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hidden" name="WOS Search for References" sheetId="2" r:id="rId6"/>
    <sheet state="visible" name="Raw Data - IPBES GA (#1645)" sheetId="3" r:id="rId7"/>
    <sheet state="hidden" name="Copy of Raw Data - IPBES GA (#1" sheetId="4" r:id="rId8"/>
    <sheet state="hidden" name="2B) References (Jaureguiberry e" sheetId="5" r:id="rId9"/>
    <sheet state="hidden" name="Copy of Enriched Data - IPBES G" sheetId="6" r:id="rId10"/>
    <sheet state="visible" name="Enriched Data - IPBES GA (#1645" sheetId="7" r:id="rId11"/>
    <sheet state="visible" name="Curated Data - IPBES GA (#156)" sheetId="8" r:id="rId12"/>
    <sheet state="visible" name="Test List" sheetId="9" r:id="rId13"/>
    <sheet state="visible" name="Query" sheetId="10" r:id="rId14"/>
  </sheets>
  <definedNames>
    <definedName hidden="1" localSheetId="1" name="_xlnm._FilterDatabase">'WOS Search for References'!$A$1:$L$160</definedName>
    <definedName hidden="1" localSheetId="3" name="_xlnm._FilterDatabase">'Copy of Raw Data - IPBES GA (#1'!$A$1:$CJ$1648</definedName>
    <definedName hidden="1" localSheetId="5" name="_xlnm._FilterDatabase">'Copy of Enriched Data - IPBES G'!$A$1:$O$229</definedName>
    <definedName hidden="1" localSheetId="6" name="_xlnm._FilterDatabase">'Enriched Data - IPBES GA (#1645'!$A$1:$O$1648</definedName>
    <definedName hidden="1" localSheetId="7" name="_xlnm._FilterDatabase">'Curated Data - IPBES GA (#156)'!$A$1:$AA$157</definedName>
  </definedNames>
  <calcPr/>
</workbook>
</file>

<file path=xl/sharedStrings.xml><?xml version="1.0" encoding="utf-8"?>
<sst xmlns="http://schemas.openxmlformats.org/spreadsheetml/2006/main" count="71493" uniqueCount="17012">
  <si>
    <t>Sheet</t>
  </si>
  <si>
    <t>Records</t>
  </si>
  <si>
    <t>What does it cover</t>
  </si>
  <si>
    <t xml:space="preserve">Raw Data </t>
  </si>
  <si>
    <t>Export of 1,647 references in Zotero is from IPBES Global Assessment 1, Chapter 2.1.
Chapter 2.1 (Status and Trends - Drivers of Change) discusses the indirect and direct drivers of biodiversity loss, as well as associated development pathways.</t>
  </si>
  <si>
    <t>Enriched Data</t>
  </si>
  <si>
    <t>Manually annotated all 228 references as ‘Y’ when they were found in Chapters 2.1.12 - 2.1.17, i.e., the chapters related to the direct drivers of biodiversity loss.
Additionally, if these annotated references were present in Web of Science, they were also marked as ‘Y’.</t>
  </si>
  <si>
    <t>Curated Data</t>
  </si>
  <si>
    <t>From all annotated references, select only those present in Chapters 2.1.12–2.1.17 (156 in total), while excluding references from grey literature (57 in total) and those that do not exist in Web of Science (15 in total).</t>
  </si>
  <si>
    <t>Query</t>
  </si>
  <si>
    <t>Web of Science query to get all records of References Selected in test list</t>
  </si>
  <si>
    <t>Publication Type</t>
  </si>
  <si>
    <t>Authors</t>
  </si>
  <si>
    <t>Article Title</t>
  </si>
  <si>
    <t>Source Title</t>
  </si>
  <si>
    <t>Document Type</t>
  </si>
  <si>
    <t>Abstract</t>
  </si>
  <si>
    <t>DOI</t>
  </si>
  <si>
    <t>DOI Link</t>
  </si>
  <si>
    <t>WoS Categories</t>
  </si>
  <si>
    <t>Date of Export</t>
  </si>
  <si>
    <t>UT (Unique WOS ID)</t>
  </si>
  <si>
    <t>Web of Science Record</t>
  </si>
  <si>
    <t>J</t>
  </si>
  <si>
    <t>Lambdon, PW; Pysek, P; Basnou, C; Hejda, M; Arianoutsou, M; Essl, F; Jarosik, V; Pergl, J; Winter, M; Anastasiu, P; Andriopoulos, P; Bazos, I; Brundu, G; Celesti-Grapow, L; Chassot, P; Delipetrou, P; Josefsson, M; Kark, S; Klotz, S; Kokkoris, Y; Kühn, I; Marchante, H; Perglová, I; Pino, J; Vilà, M; Zikos, A; Roy, D; Hulme, PE</t>
  </si>
  <si>
    <t>Alien flora of Europe:: species diversity, temporal trends, geographical patterns and research needs</t>
  </si>
  <si>
    <t>PRESLIA</t>
  </si>
  <si>
    <t>Review</t>
  </si>
  <si>
    <t>The paper provides the first estimate of the composition and structure of alien plants occurring in the wild in the European continent, based on the results of the DAISIE project (2004-2008), funded by the 6th Framework Programme of the European Union and aimed at creating an inventory of invasive species that threaten European terrestrial, freshwater and marine environments. The plant section of the DAISIE database is based on national checklists from 48 European countries/regions and Israel; for many of them the data were compiled during the project and for some countries DAISIE collected the first comprehensive checklists of alien species, based on primary data (e.g., Cyprus, Greece, R Y. R. O. Macedonia, Slovenia, Ukraine). In total, the database contains records of 5789 alien plant species in Europe (including those native to a part of Europe but alien to another part), of which 2843 are alien to Europe (of extra-European origin). The research focus was on naturalized species; there are in total 3749 naturalized aliens in Europe, of which 1780 are alien to Europe. This represents a marked increase compared to 1568 alien species reported by a previous analysis of data in Flora Europaea (1964-1980). Casual aliens were marginally considered and are represented by 1507 species with European origins and 872 species whose native range falls outside Europe. The highest diversity of alien species is concentrated in industrialized countries with a tradition of good botanical recording or intensive recent research. The highest number of all alien species, regardless of status, is reported from Belgium (1969), the United Kingdom (1779) and Czech Republic (1378). The United Kingdom (857), Germany (450), Belgium (447) and Italy (440) are countries with the most naturalized neophytes. The number of naturalized neophytes in European countries is determined mainly by the interaction of temperature and precipitation; it increases with increasing precipitation but only in climatically warm and moderately warm regions. Of the nowadays naturalized neophytes alien to Europe, 50% arrived after 1899, 25% after 1962 and 10% after 1989. At present, approximately 6.2 new species, that are capable of naturalization, are arriving each year. Most alien species have relatively restricted European distributions; half of all naturalized species occur in four or fewer countries/regions, whereas 70% of non-naturalized species occur in only one region. Alien species are drawn from 213 families, dominated by large global plant families which have a weedy tendency and have undergone major radiations in temperate regions (Asteraceae, Poaceae, Rosaceae, Fabaceae, Brassicaceae). There are 1567 genera, which have alien members in European countries, the commonest being globally-diverse genera comprising mainly urban and agricultural weeds (e.g., Amaranthus, Chenopodium and Solanum) or cultivated for ornamental purposes (Cotoneaster, the genus richest in alien species). Only a few large genera which have successfully invaded (e.g., Oenothera, Oxalis, Panicum, Helianthus) are predominantly of non-European origin. Conyza canadensis, Helianthus tuberosus and Robinia pseudoacacia are most widely distributed alien species. Of all naturalized aliens present in Europe, 64.1% occur in industrial habitats and 58.5% on arable land and in parks and gardens. Grasslands and woodlands are also highly invaded, with 37.4 and 31.5%, respectively, of all naturalized aliens in Europe present in these habitats. Mires, bogs and fens are least invaded; only approximately 10% of aliens in Euope occur there. Intentional introductions to Europe (62.8% of the total number of naturalized aliens) prevail over unintentional (37.2%). Ornamental and horticultural introductions escaped from cultivation account for the highest number of species, 52.2% of the total. Among unintentional introductions, contaminants of seed, mineral materials and other commodities are responsible for 1091 alien species introductions to Europe (76.6% of all species introduced unintentionally) and 363 species are assumed to have arrived as stowaways (directly associated with human transport but arriving independently of commodity). Most aliens in Europe have a native range in the same continent (28.6% of all donor region records are from another part of Europe where the plant is native); in terms of species numbers the contribution of Europe as a region of origin is 53.2%. Considering aliens to Europe separately, 45.8% of species have their native distribution in North and South America, 45.9% in Asia, 20.7% in Africa and 5.3% in Australasia. Based on species composition, European alien flora can be classified into five major groups: (1) north-western, comprising Scandinavia and the UK; (2) west-central, extending from Belgium and the Netherlands to Germany and Switzerland; (3) Baltic, including only the former Soviet Baltic states; (4) east-central, comprizing the remainder of central and eastern Europe; (5) southern, covering the entire Mediterranean region. The clustering patterns cut across some European bioclimatic zones; cultural factors such as regional trade links and traditional local preferences for crop, forestry and ornamental species are also important by influencing the introduced species pool. Finally, the paper evaluates a state of the art in the field of plant invasions in Europe, points to research gaps and outlines avenues of further research towards documenting alien plant invasions in Europe. The data are of varying quality and need to be further assessed with respect to the invasion status and residence time of the species included. This concerns especially the naturalized/casual status; so far, this information is available comprehensively for only 19 countries/regions of the 49 considered. Collating an integrated database on the alien flora of Europe can form a principal contribution to developing a European-wide management strategy of alien species.</t>
  </si>
  <si>
    <t>Plant Sciences</t>
  </si>
  <si>
    <t>WOS:000258002600001</t>
  </si>
  <si>
    <r>
      <rPr>
        <rFont val="Arial"/>
        <color rgb="FF1155CC"/>
        <u/>
      </rPr>
      <t>View Full Record in Web of Science</t>
    </r>
  </si>
  <si>
    <t>Seebens, H; Blackburn, TM; Dyer, EE; Genovesi, P; Hulme, PE; Jeschke, JM; Pagad, S; Pysek, P; van Kleunen, M; Winter, M; Ansong, M; Arianoutsou, M; Bacher, S; Blasius, B; Brockerhoff, EG; Brundu, G; Capinha, C; Causton, CE; Celesti-Grapow, L; Dawson, W; Dullinger, S; Economo, EP; Fuentes, N; Guénard, B; Jäger, H; Kartesz, J; Kenis, M; Kühn, I; Lenzner, B; Liebhold, AM; Mosena, A; Moser, D; Nentwig, W; Nishino, M; Pearman, D; Pergl, J; Rabitsch, W; Rojas-Sandoval, J; Roques, A; Rorke, S; Rossinelli, S; Roy, HE; Scalera, R; Schindler, S; Stajerová, K; Tokarska-Guzik, B; Walker, K; Ward, DF; Yamanaka, T; Essl, F</t>
  </si>
  <si>
    <t>Global rise in emerging alien species results from increased accessibility of new source pools</t>
  </si>
  <si>
    <t>PROCEEDINGS OF THE NATIONAL ACADEMY OF SCIENCES OF THE UNITED STATES OF AMERICA</t>
  </si>
  <si>
    <t>Article</t>
  </si>
  <si>
    <t>Our ability to predict the identity of future invasive alien species is largely based upon knowledge of prior invasion history. Emerging alien species-those never encountered as aliens before-therefore pose a significant challenge to biosecurity interventions worldwide. Understanding their temporal trends, origins, and the drivers of their spread is pivotal to improving prevention and risk assessment tools. Here, we use a database of 45,984 first records of 16,019 established alien species to investigate the temporal dynamics of occurrences of emerging alien species worldwide. Even after many centuries of invasions the rate of emergence of new alien species is still high: Onequarter of first records during 2000-2005 were of species that had not been previously recorded anywhere as alien, though with large variation across taxa. Model results show that the high proportion of emerging alien species cannot be solely explained by increases in well-known drivers such as the amount of imported commodities from historically important source regions. Instead, these dynamics reflect the incorporation of new regions into the pool of potential alien species, likely as a consequence of expanding trade networks and environmental change. This process compensates for the depletion of the historically important source species pool through successive invasions. We estimate that 1-16% of all species on Earth, depending on the taxonomic group, qualify as potential alien species. These results suggest that there remains a high proportion of emerging alien species we have yet to encounter, with future impacts that are difficult to predict.</t>
  </si>
  <si>
    <t>10.1073/pnas.1719429115</t>
  </si>
  <si>
    <r>
      <rPr>
        <rFont val="Arial"/>
        <color rgb="FF1155CC"/>
        <u/>
      </rPr>
      <t>http://dx.doi.org/10.1073/pnas.1719429115</t>
    </r>
  </si>
  <si>
    <t>Multidisciplinary Sciences</t>
  </si>
  <si>
    <t>WOS:000426671900017</t>
  </si>
  <si>
    <r>
      <rPr>
        <rFont val="Arial"/>
        <color rgb="FF1155CC"/>
        <u/>
      </rPr>
      <t>View Full Record in Web of Science</t>
    </r>
  </si>
  <si>
    <t>Newman, M; Wittenberg, AT; Cheng, LY; Compo, GP; Smith, CA</t>
  </si>
  <si>
    <t>THE EXTREME 2015/16 EL NINO, IN THE CONTEXT OF HISTORICAL CLIMATE VARIABILITY AND CHANGE</t>
  </si>
  <si>
    <t>BULLETIN OF THE AMERICAN METEOROLOGICAL SOCIETY</t>
  </si>
  <si>
    <t>10.1175/BAMS-D-17-0116.1</t>
  </si>
  <si>
    <r>
      <rPr>
        <rFont val="Arial"/>
        <color rgb="FF1155CC"/>
        <u/>
      </rPr>
      <t>http://dx.doi.org/10.1175/BAMS-D-17-0116.1</t>
    </r>
  </si>
  <si>
    <t>Meteorology &amp; Atmospheric Sciences</t>
  </si>
  <si>
    <t>WOS:000429319000004</t>
  </si>
  <si>
    <r>
      <rPr>
        <rFont val="Arial"/>
        <color rgb="FF1155CC"/>
        <u/>
      </rPr>
      <t>View Full Record in Web of Science</t>
    </r>
  </si>
  <si>
    <t>Risser, MD; Wehner, MF</t>
  </si>
  <si>
    <t>Attributable Human-Induced Changes in the Likelihood and Magnitude of the Observed Extreme Precipitation during Hurricane Harvey</t>
  </si>
  <si>
    <t>GEOPHYSICAL RESEARCH LETTERS</t>
  </si>
  <si>
    <t>Record rainfall amounts were recorded during Hurricane Harvey in the Houston, Texas, area, leading to widespread flooding. We analyze observed precipitation from the Global Historical Climatology Network with a covariate-based extreme value statistical analysis, accounting for both the external influence of global warming and the internal influence of El Nino-Southern Oscillation. We find that human-induced climate change likely increased the chances of the observed precipitation accumulations during Hurricane Harvey in the most affected areas of Houston by a factor of at least 3.5. Further, precipitation accumulations in these areas were likely increased by at least 18.8% (best estimate of 37.7%), which is larger than the 6-7% associated with an attributable warming of 1 degrees C in the Gulf of Mexico and Clausius-Clapeyron scaling. In a Granger causality sense, these statements provide lower bounds on the impact of climate change and motivate further attribution studies using dynamical climate models.</t>
  </si>
  <si>
    <t>10.1002/2017GL075888</t>
  </si>
  <si>
    <r>
      <rPr>
        <rFont val="Arial"/>
        <color rgb="FF1155CC"/>
        <u/>
      </rPr>
      <t>http://dx.doi.org/10.1002/2017GL075888</t>
    </r>
  </si>
  <si>
    <t>Geosciences, Multidisciplinary</t>
  </si>
  <si>
    <t>WOS:000422954700032</t>
  </si>
  <si>
    <r>
      <rPr>
        <rFont val="Arial"/>
        <color rgb="FF1155CC"/>
        <u/>
      </rPr>
      <t>View Full Record in Web of Science</t>
    </r>
  </si>
  <si>
    <t>Johnson, AC; Donnachie, RL; Sumpter, JP; Jurgens, MD; Moeckel, C; Pereira, MG</t>
  </si>
  <si>
    <t>An alternative approach to risk rank chemicals on the threat they pose to the aquatic environment</t>
  </si>
  <si>
    <t>SCIENCE OF THE TOTAL ENVIRONMENT</t>
  </si>
  <si>
    <t>This work presents a new and unbiased method of risk ranking chemicals based on the threat they pose to the aquatic environment. The study ranked 12 metals, 23 pesticides, 11 other persistent organic pollutants (POPs), 13 pharmaceuticals, 10 surfactants and similar compounds and 2 nanoparticles (total of 71) of concern against one another by comparing their median UK river water and median ecotoxicity effect concentrations. To complement this, by giving an assessment on potential wildlife impacts, risk ranking was also carried out by comparing the lowest 10th percentile of the effects data with the highest 90th percentile of the exposure data. In other words, risk was pared down to just toxicity versus exposure. Further modifications included incorporating bioconcentration factors, using only recent water measurements and excluding either lethal or sub-lethal effects. The top ten chemicals, based on the medians, which emerged as having the highest risk to organisms in UK surface waters using all the ecotoxicity data were copper, aluminium, zinc, ethinylestradiol (EE2), linear alkylbenzene sulfonate (LAS), triclosan, manganese, iron, methomyl and chlorpyrifos. By way of contrast, using current UK environmental quality standards as the comparator to median UK river water concentrations would have selected 6 different chemicals in the top ten. This approach revealed big differences in relative risk; for example, zinc presented a million times greater risk then metoprolol and LAS 550 times greater risk than nanosilver. With the exception of EE2, most pharmaceuticals were ranked as having a relatively low risk. (C) 2017 Elsevier B.V. All rights reserved.</t>
  </si>
  <si>
    <t>10.1016/j.scitotenv.2017.05.039</t>
  </si>
  <si>
    <r>
      <rPr>
        <rFont val="Arial"/>
        <color rgb="FF1155CC"/>
        <u/>
      </rPr>
      <t>http://dx.doi.org/10.1016/j.scitotenv.2017.05.039</t>
    </r>
  </si>
  <si>
    <t>Environmental Sciences</t>
  </si>
  <si>
    <t>WOS:000405253500033</t>
  </si>
  <si>
    <r>
      <rPr>
        <rFont val="Arial"/>
        <color rgb="FF1155CC"/>
        <u/>
      </rPr>
      <t>View Full Record in Web of Science</t>
    </r>
  </si>
  <si>
    <t>Emanuel, K</t>
  </si>
  <si>
    <t>Assessing the present and future probability of Hurricane Harvey's rainfall</t>
  </si>
  <si>
    <t>We estimate, for current and future climates, the annual probability of areally averaged hurricane rain of Hurricane Harvey's magnitude by downscaling large numbers of tropical cyclones from three climate reanalyses and six climate models. For the state of Texas, we estimate that the annual probability of 500 mm of area-integrated rainfall was about 1% in the period 1981-2000 and will increase to 18% over the period 2081-2100 under Intergovernmental Panel on Climate Change (IPCC) AR5 representative concentration pathway 8.5. If the frequency of such event is increasingly linearly between these two periods, then in 2017 the annual probability would be 6%, a sixfold increase since the late 20th century.</t>
  </si>
  <si>
    <t>10.1073/pnas.1716222114</t>
  </si>
  <si>
    <r>
      <rPr>
        <rFont val="Arial"/>
        <color rgb="FF1155CC"/>
        <u/>
      </rPr>
      <t>http://dx.doi.org/10.1073/pnas.1716222114</t>
    </r>
  </si>
  <si>
    <t>WOS:000416891600045</t>
  </si>
  <si>
    <r>
      <rPr>
        <rFont val="Arial"/>
        <color rgb="FF1155CC"/>
        <u/>
      </rPr>
      <t>View Full Record in Web of Science</t>
    </r>
  </si>
  <si>
    <t>Dawson, W; Moser, D; van Kleunen, M; Kreft, H; Pergl, J; Pysek, P; Weigelt, P; Winter, M; Lenzner, B; Blackburn, TM; Dyer, EE; Cassey, P; Scrivens, SL; Economo, EP; Guénard, B; Capinha, C; Seebens, H; García-Díaz, P; Nentwig, W; García-Berthou, E; Casal, C; Mandrak, NE; Fuller, P; Meyer, C; Essl, F</t>
  </si>
  <si>
    <t>Global hotspots and correlates of alien species richness across taxonomic groups</t>
  </si>
  <si>
    <t>NATURE ECOLOGY &amp; EVOLUTION</t>
  </si>
  <si>
    <t>Human-mediated transport beyond biogeographic barriers has led to the introduction and establishment of alien species in new regions worldwide. However, we lack a global picture of established alien species richness for multiple taxonomic groups. Here, we assess global patterns and potential drivers of established alien species richness across eight taxonomic groups (amphibians, ants, birds, freshwater fishes, mammals, vascular plants, reptiles and spiders) for 186 islands and 423 mainland regions. Hotspots of established alien species richness are predominantly island and coastal mainland regions. Regions with greater gross domestic product per capita, human population density, and area have higher established alien richness, with strongest effects emerging for islands. Ants and reptiles, birds and mammals, and vascular plants and spiders form pairs of taxonomic groups with the highest spatial congruence in established alien richness, but drivers explaining richness differ between the taxa in each pair. Across all taxonomic groups, our results highlight the need to prioritize prevention of further alien species introductions to island and coastal mainland regions globally.</t>
  </si>
  <si>
    <t>10.1038/s41559-017-0186</t>
  </si>
  <si>
    <r>
      <rPr>
        <rFont val="Arial"/>
        <color rgb="FF1155CC"/>
        <u/>
      </rPr>
      <t>http://dx.doi.org/10.1038/s41559-017-0186</t>
    </r>
  </si>
  <si>
    <t>Ecology; Evolutionary Biology</t>
  </si>
  <si>
    <t>WOS:000417179000015</t>
  </si>
  <si>
    <r>
      <rPr>
        <rFont val="Arial"/>
        <color rgb="FF1155CC"/>
        <u/>
      </rPr>
      <t>View Full Record in Web of Science</t>
    </r>
  </si>
  <si>
    <t>Geyer, R; Jambeck, JR; Law, KL</t>
  </si>
  <si>
    <t>Production, use, and fate of all plastics ever made</t>
  </si>
  <si>
    <t>SCIENCE ADVANCES</t>
  </si>
  <si>
    <t>Plastics have outgrown most man-made materials and have long been under environmental scrutiny. However, robust global information, particularly about their end-of-life fate, is lacking. By identifying and synthesizing dispersed data on production, use, and end-of-life management of polymer resins, synthetic fibers, and additives, we present the first global analysis of all mass-produced plastics ever manufactured. We estimate that 8300 million metric tons (Mt) as of virgin plastics have been produced to date. 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</si>
  <si>
    <t>10.1126/sciadv.1700782</t>
  </si>
  <si>
    <r>
      <rPr>
        <rFont val="Arial"/>
        <color rgb="FF1155CC"/>
        <u/>
      </rPr>
      <t>http://dx.doi.org/10.1126/sciadv.1700782</t>
    </r>
  </si>
  <si>
    <t>WOS:000411588000033</t>
  </si>
  <si>
    <r>
      <rPr>
        <rFont val="Arial"/>
        <color rgb="FF1155CC"/>
        <u/>
      </rPr>
      <t>View Full Record in Web of Science</t>
    </r>
  </si>
  <si>
    <t>L'Heureux, ML; Takahashi, K; Watkins, AB; Barnston, AG; Becker, EJ; Di Liberto, TE; Gamble, F; Gottschalck, J; Halpert, MS; Huang, BY; Mosquera-Väsquez, K; Wittenberg, AT</t>
  </si>
  <si>
    <t>OBSERVING AND PREDICTING THE 2015/16 EL NINO</t>
  </si>
  <si>
    <t>The El Nino of 2015/16 rivaled the major El Nino events of 1982/83 and 1997/98, showcasing advancements in operational observing and prediction systems, while offering challenges for the future.</t>
  </si>
  <si>
    <t>10.1175/BAMS-D-16-0009.1</t>
  </si>
  <si>
    <r>
      <rPr>
        <rFont val="Arial"/>
        <color rgb="FF1155CC"/>
        <u/>
      </rPr>
      <t>http://dx.doi.org/10.1175/BAMS-D-16-0009.1</t>
    </r>
  </si>
  <si>
    <t>WOS:000406502800006</t>
  </si>
  <si>
    <r>
      <rPr>
        <rFont val="Arial"/>
        <color rgb="FF1155CC"/>
        <u/>
      </rPr>
      <t>View Full Record in Web of Science</t>
    </r>
  </si>
  <si>
    <t>Lebreton, LCM; Van der Zwet, J; Damsteeg, JW; Slat, B; Andrady, A; Reisser, J</t>
  </si>
  <si>
    <t>River plastic emissions to the world's oceans</t>
  </si>
  <si>
    <t>NATURE COMMUNICATIONS</t>
  </si>
  <si>
    <t>Plastics in the marine environment have become a major concern because of their persistence at sea, and adverse consequences to marine life and potentially human health. Implementing mitigation strategies requires an understanding and quantification of marine plastic sources, taking spatial and temporal variability into account. Here we present a global model of plastic inputs from rivers into oceans based on waste management, population density and hydrological information. Our model is calibrated against measurements available in the literature. We estimate that between 1.15 and 2.41 million tonnes of plastic waste currently enters the ocean every year from rivers, with over 74% of emissions occurring between May and October. The top 20 polluting rivers, mostly located in Asia, account for 67% of the global total. The findings of this study provide baseline data for ocean plastic mass balance exercises, and assist in prioritizing future plastic debris monitoring and mitigation strategies.</t>
  </si>
  <si>
    <t>10.1038/ncomms15611</t>
  </si>
  <si>
    <r>
      <rPr>
        <rFont val="Arial"/>
        <color rgb="FF1155CC"/>
        <u/>
      </rPr>
      <t>http://dx.doi.org/10.1038/ncomms15611</t>
    </r>
  </si>
  <si>
    <t>WOS:000402803800001</t>
  </si>
  <si>
    <r>
      <rPr>
        <rFont val="Arial"/>
        <color rgb="FF1155CC"/>
        <u/>
      </rPr>
      <t>View Full Record in Web of Science</t>
    </r>
  </si>
  <si>
    <t>Altieri, AH; Harrison, SB; Seemann, J; Collin, R; Diaz, RJ; Knowlton, N</t>
  </si>
  <si>
    <t>Tropical dead zones and mass mortalities on coral reefs</t>
  </si>
  <si>
    <t>Degradation of coastal water quality in the form of low dissolved oxygen levels (hypoxia) can harm biodiversity, ecosystem function, and human wellbeing. Extreme hypoxic conditions along the coast, leading to what are often referred to as dead zones, are known primarily from temperate regions. However, little is known about the potential threat of hypoxia in the tropics, even though the known risk factors, including eutrophication and elevated temperatures, are common. Here we document an unprecedented hypoxic event on the Caribbean coast of Panama and assess the risk of dead zones to coral reefs worldwide. The event caused coral bleaching and massive mortality of corals and other reef-associated organisms, but observed shifts in community structure combined with laboratory experiments revealed that not all coral species are equally sensitive to hypoxia. Analyses of global databases showed that coral reefs are associated with more than half of the known tropical dead zones worldwide, with &gt;10% of all coral reefs at elevated risk for hypoxia based on local and global risk factors. Hypoxic events in the tropics and associated mortality events have likely been underreported, perhaps by an order of magnitude, because of the lack of local scientific capacity for their detection. Monitoring and management plans for coral reef resilience should incorporate the growing threat of coastal hypoxia and include support for increased detection and research capacity.</t>
  </si>
  <si>
    <t>10.1073/pnas.1621517114</t>
  </si>
  <si>
    <r>
      <rPr>
        <rFont val="Arial"/>
        <color rgb="FF1155CC"/>
        <u/>
      </rPr>
      <t>http://dx.doi.org/10.1073/pnas.1621517114</t>
    </r>
  </si>
  <si>
    <t>WOS:000398159000048</t>
  </si>
  <si>
    <r>
      <rPr>
        <rFont val="Arial"/>
        <color rgb="FF1155CC"/>
        <u/>
      </rPr>
      <t>View Full Record in Web of Science</t>
    </r>
  </si>
  <si>
    <t>Seebens, H; Blackburn, TM; Dyer, EE; Genovesi, P; Hulme, PE; Jeschke, JM; Pagad, S; Pysek, P; Winter, M; Arianoutsou, M; Bacher, S; Blasius, B; Brundu, G; Capinha, C; Celesti-Grapow, L; Dawson, W; Dullinger, S; Fuentes, N; Jäger, H; Kartesz, J; Kenis, M; Kreft, H; Kühn, I; Lenzner, B; Liebhold, A; Mosena, A; Moser, D; Nishino, M; Pearman, D; Pergl, J; Rabitsch, W; Rojas-Sandoval, J; Roques, A; Rorke, S; Rossinelli, S; Roy, HE; Scalera, R; Schindler, S; Stajerová, K; Tokarska-Guzik, B; van Kleunen, M; Walker, K; Weigelt, P; Yamanaka, T; Essl, F</t>
  </si>
  <si>
    <t>No saturation in the accumulation of alien species worldwide</t>
  </si>
  <si>
    <t>Although research on human-mediated exchanges of species has substantially intensified during the last centuries, we know surprisingly little about temporal dynamics of alien species accumulations across regions and taxa. Using a novel database of 45,813 first records of 16,926 established alien species, we show that the annual rate of first records worldwide has increased during the last 200 years, with 37% of all first records reported most recently (1970-2014). Inter-continental and inter-taxonomic variation can be largely attributed to the diaspora of European settlers in the nineteenth century and to the acceleration in trade in the twentieth century. For all taxonomic groups, the increase in numbers of alien species does not show any sign of saturation and most taxa even show increases in the rate of first records over time. This highlights that past efforts to mitigate invasions have not been effective enough to keep up with increasing globalization.</t>
  </si>
  <si>
    <t>10.1038/ncomms14435</t>
  </si>
  <si>
    <r>
      <rPr>
        <rFont val="Arial"/>
        <color rgb="FF1155CC"/>
        <u/>
      </rPr>
      <t>http://dx.doi.org/10.1038/ncomms14435</t>
    </r>
  </si>
  <si>
    <t>WOS:000394221600001</t>
  </si>
  <si>
    <r>
      <rPr>
        <rFont val="Arial"/>
        <color rgb="FF1155CC"/>
        <u/>
      </rPr>
      <t>View Full Record in Web of Science</t>
    </r>
  </si>
  <si>
    <t>Arroita, M; Flores, L; Larrañaga, A; Martínez, A; Martínez-Santos, M; Pereda, O; Ruiz-Romera, E; Solagaistua, L; Elosegi, A</t>
  </si>
  <si>
    <t>Water abstraction impacts stream ecosystem functioning via wetted-channel contraction</t>
  </si>
  <si>
    <t>FRESHWATER BIOLOGY</t>
  </si>
  <si>
    <t>Water abstraction is rapidly increasing worldwide in order to respond to escalating demands for water, food and energy. Abstraction can alter the hydrological regime of streams and rivers, reduce in-stream habitats, change water quality and affect fluvial communities. It can also impair ecosystem functioning, although this aspect has been seldom assessed. We experimentally tested the effect of water abstraction on stream functioning in a headwater mountain stream using a before and after control-impact (BACI) design. We quantified changes in water physicochemical properties, biofilm biomass and activity (exo-enzymes and metabolism), and ecosystem processes (nutrient cycling, organic matter retention and breakdown). Water abstraction did not affect water physicochemical properties, but reduced the biomass and the alkaline phosphatase activity of biofilm per surface unit, the areal uptake of nutrients, and the travel distance of organic matter. It did not affect the biofilm metabolism and breakdown of submerged leaf litter, but decreased the total breakdown. The impacts were larger when analysed per unit of channel length. All variables, except benthic chlorophyll-a, were significantly reduced by abstraction, due to the contraction of the wetted channel. The decrease in the biomass and activity of biofilm, as well as in nutrient uptake and total organic matter breakdown observed in this study could increase nutrient concentration in downstream reaches and reduce the energy transfer to higher trophic levels. Ecosystem services of permanent headwater streams are likely to be compromised with the reduction of wetted-channel width.</t>
  </si>
  <si>
    <t>10.1111/fwb.12864</t>
  </si>
  <si>
    <r>
      <rPr>
        <rFont val="Arial"/>
        <color rgb="FF1155CC"/>
        <u/>
      </rPr>
      <t>http://dx.doi.org/10.1111/fwb.12864</t>
    </r>
  </si>
  <si>
    <t>Ecology; Marine &amp; Freshwater Biology</t>
  </si>
  <si>
    <t>WOS:000393793100003</t>
  </si>
  <si>
    <r>
      <rPr>
        <rFont val="Arial"/>
        <color rgb="FF1155CC"/>
        <u/>
      </rPr>
      <t>View Full Record in Web of Science</t>
    </r>
  </si>
  <si>
    <t>Hattich, GSI; Listmann, L; Raab, J; Ozod-Seradj, D; Reusch, TBH; Matthiessen, B</t>
  </si>
  <si>
    <t>Inter- and intraspecific phenotypic plasticity of three phytoplankton species in response to ocean acidification</t>
  </si>
  <si>
    <t>BIOLOGY LETTERS</t>
  </si>
  <si>
    <t>Phenotypic plasticity describes the phenotypic adjustment of the same genotype to different environmental conditions and is best described by a reaction norm. We focus on the effect of ocean acidification on inter-and intraspecific reaction norms of three globally important phytoplankton species (Emiliania huxleyi, Gephyrocapsa oceanica and Chaetoceros affinis). Despite significant differences in growth rates between the species, they all showed a high potential for phenotypic buffering (similar growth rates between ambient and high CO2 conditions). Only three coccolithophore genotypes showed a reduced growth in high CO2. Diverging responses to high CO2 of single coccolithophore genotypes compared with the respective mean species responses, however, raise the question of whether an extrapolation to the population level is possible from single-genotype experiments. We therefore compared the mean response of all tested genotypes with a total species response comprising the same genotypes, which was not significantly different in the coccolithophores. Assessing species reaction norms to different environmental conditions on short time scale in a genotype-mix could thus reduce sampling effort while increasing predictive power.</t>
  </si>
  <si>
    <t>10.1098/rsbl.2016.0774</t>
  </si>
  <si>
    <r>
      <rPr>
        <rFont val="Arial"/>
        <color rgb="FF1155CC"/>
        <u/>
      </rPr>
      <t>http://dx.doi.org/10.1098/rsbl.2016.0774</t>
    </r>
  </si>
  <si>
    <t>Biology; Ecology; Evolutionary Biology</t>
  </si>
  <si>
    <t>WOS:000396015400004</t>
  </si>
  <si>
    <r>
      <rPr>
        <rFont val="Arial"/>
        <color rgb="FF1155CC"/>
        <u/>
      </rPr>
      <t>View Full Record in Web of Science</t>
    </r>
  </si>
  <si>
    <t>Hoegh-Guldberg, O; Poloczanska, ES; Skirving, W; Dove, S</t>
  </si>
  <si>
    <t>Coral Reef Ecosystems under Climate Change and Ocean Acidification</t>
  </si>
  <si>
    <t>FRONTIERS IN MARINE SCIENCE</t>
  </si>
  <si>
    <t>Coral reefs are found in a wide range of environments, where they provide food and habitat to a large range of organisms as well as providing many other ecological goods and services. Warm-water coral reefs, for example, occupy shallow sunlit, warm, and alkaline waters in order to grow and calcify at the high rates necessary to build and maintain their calcium carbonate structures. At deeper locations (40-150 m), mesophotic (low light) coral reefs accumulate calcium carbonate at much lower rates (if at all in some cases) yet remain important as habitat for a wide range of organisms, including those important for fisheries. Finally, even deeper, down to 2,000 m or more, the so-called cold-water coral reefs are found in the dark depths. Despite their importance, coral reefs are facing significant challenges from human activities including pollution, over-harvesting, physical destruction, and climate change. In the latter case, even lower greenhouse gas emission scenarios (such as Representative Concentration Pathway RCP 4.5) are likely drive the elimination of most warm-water coral reefs by 2040-2050. Cold-water corals are also threatened by warming temperatures and ocean acidification although evidence of the direct effect of climate change is less clear. Evidence that coral reefs can adapt at rates which are sufficient for them to keep up with rapid ocean warming and acidification is minimal, especially given that corals are long-lived and hence have slow rates of evolution. Conclusions that coral reefs will migrate to higher latitudes as they warm are equally unfounded, with the observations of tropical species appearing at high latitudes necessary but not sufficient evidence that entire coral reef ecosystems are shifting. On the contrary, coral reefs are likely to degrade rapidly over the next 20 years, presenting fundamental challenges for the 500 million people who derive food, income, coastal protection, and a range of other services from coral reefs. Unless rapid advances to the goals of the Paris Climate Change Agreement occur over the next decade, hundreds of millions of people are likely to face increasing amounts of poverty and social disruption, and, in some cases, regional insecurity.</t>
  </si>
  <si>
    <t>10.3389/fmars.2017.00158</t>
  </si>
  <si>
    <r>
      <rPr>
        <rFont val="Arial"/>
        <color rgb="FF1155CC"/>
        <u/>
      </rPr>
      <t>http://dx.doi.org/10.3389/fmars.2017.00158</t>
    </r>
  </si>
  <si>
    <t>Environmental Sciences; Marine &amp; Freshwater Biology</t>
  </si>
  <si>
    <t>WOS:000457690600158</t>
  </si>
  <si>
    <r>
      <rPr>
        <rFont val="Arial"/>
        <color rgb="FF1155CC"/>
        <u/>
      </rPr>
      <t>View Full Record in Web of Science</t>
    </r>
  </si>
  <si>
    <t>Potapov, P; Hansen, MC; Laestadius, L; Turubanova, S; Yaroshenko, A; Thies, C; Smith, W; Zhuravleva, I; Komarova, A; Minnemeyer, S; Esipova, E</t>
  </si>
  <si>
    <t>The last frontiers of wilderness: Tracking loss of intact forest landscapes from 2000 to 2013</t>
  </si>
  <si>
    <t>An intact forest landscape (IFL) is a seamless mosaic of forest and naturally treeless ecosystems with no remotely detected signs of human activity and a minimum area of 500 km(2). IFLs are critical for stabilizing terrestrial carbon storage, harboring biodiversity, regulating hydrological regimes, and providing other ecosystem functions. Although the remaining IFLs comprise only 20% of tropical forest area, they account for 40% of the total aboveground tropical forest carbon. We show that global IFL extent has been reduced by 7.2% since the year 2000. An increasing rate of global IFL area reduction was found, largely driven by the tripling of IFL tropical forest loss in 2011-2013 compared to that in 2001-2003. Industrial logging, agricultural expansion, fire, and mining/resource extraction were the primary causes of IFL area reduction. Protected areas (International Union for Conservation of Nature categories I to III) were found to have a positive effect in slowing the reduction of IFL area from timber harvesting but were less effective in limiting agricultural expansion. The certification of logging concessions under responsible management had a negligible impact on slowing IFL fragmentation in the Congo Basin. Fragmentation of IFLs by logging and establishment of roads and other infrastructure initiates a cascade of changes that lead to landscape transformation and loss of conservation values. Given that only 12% of the global IFL area is protected, our results illustrate the need for planning and investment in carbon sequestration and biodiversity conservation efforts that target the most valuable remaining forests, as identified using the IFL approach.</t>
  </si>
  <si>
    <t>10.1126/sciadv.1600821</t>
  </si>
  <si>
    <r>
      <rPr>
        <rFont val="Arial"/>
        <color rgb="FF1155CC"/>
        <u/>
      </rPr>
      <t>http://dx.doi.org/10.1126/sciadv.1600821</t>
    </r>
  </si>
  <si>
    <t>WOS:000393789900007</t>
  </si>
  <si>
    <r>
      <rPr>
        <rFont val="Arial"/>
        <color rgb="FF1155CC"/>
        <u/>
      </rPr>
      <t>View Full Record in Web of Science</t>
    </r>
  </si>
  <si>
    <t>Heron, SF; Maynard, JA; van Hooidonk, R; Eakin, CM</t>
  </si>
  <si>
    <t>Warming Trends and Bleaching Stress of the World's Coral Reefs 1985-2012</t>
  </si>
  <si>
    <t>SCIENTIFIC REPORTS</t>
  </si>
  <si>
    <t>Coral reefs across the world's oceans are in the midst of the longest bleaching event on record (from 2014 to at least 2016). As many of the world's reefs are remote, there is limited information on how past thermal conditions have influenced reef composition and current stress responses. Using satellite temperature data for 1985-2012, the analysis we present is the first to quantify, for global reef locations, spatial variations in warming trends, thermal stress events and temperature variability at reef-scale (-4 km). Among over 60,000 reef pixels globally, 97% show positive SST trends during the study period with 60% warming significantly. Annual trends exceeded summertime trends at most locations. This indicates that the period of summer-like temperatures has become longer through the record, with a corresponding shortening of the 'winter' reprieve from warm temperatures. The frequency of bleaching-level thermal stress increased three-fold between 1985-91 and 2006-12 -a trend climate model projections suggest will continue. The thermal history data products developed enable needed studies relating thermal history to bleaching resistance and community composition. Such analyses can help identify reefs more resilient to thermal stress.</t>
  </si>
  <si>
    <t>10.1038/srep38402</t>
  </si>
  <si>
    <r>
      <rPr>
        <rFont val="Arial"/>
        <color rgb="FF1155CC"/>
        <u/>
      </rPr>
      <t>http://dx.doi.org/10.1038/srep38402</t>
    </r>
  </si>
  <si>
    <t>WOS:000389239400001</t>
  </si>
  <si>
    <r>
      <rPr>
        <rFont val="Arial"/>
        <color rgb="FF1155CC"/>
        <u/>
      </rPr>
      <t>View Full Record in Web of Science</t>
    </r>
  </si>
  <si>
    <t>van der Sluis, T; Pedroli, B; Kristensen, SBP; Cosor, GL; Pavlis, E</t>
  </si>
  <si>
    <t>Changing land use intensity in Europe - Recent processes in selected case studies</t>
  </si>
  <si>
    <t>LAND USE POLICY</t>
  </si>
  <si>
    <t>In recent decades the intensification of agricultural production in many European countries has been one of the key components of land-use change. The impact of agricultural intensification varies according to national and local contexts and a greater understanding of the drivers of intensification will help to mitigate against its negative impacts and harness potential benefits. This paper analyses changes in land use intensity in six case studies in Europe. A total of 437 landowners were interviewed and their responses were analysed in relation to changes in land use intensity and agricultural production between 2001 and 2011. In the case studies in Western and Eastern Europe we observed stabilisation during the last decade, and no clear tendency of increase or decrease of land use intensity. The use of fertilizers and pesticides seems to have decreased in our cases in Western Europe, which is contrary to trends in Eastern Europe. Agricultural production remained stable in almost all cases, except for an increase in Austria and Romania which may indicate that the farming efficiency has increased. A statistical analysis showed a division between study areas in Romania and Austria (increasing land use intensity) versus those in the Netherlands, Denmark and Greece (decreasing). In the Mediterranean cases we observe a process where agriculture is becoming increasingly marginalised, at the same time as changes in function with regard to urbanisation and recreational land uses have taken place. Logistic regression highlighted the importance of farm size and farmer type in understanding changes in land use intensity. The dominant pattern of stabilisation which has occurred over the past 10 years may also partly be a result of effective EU and national environmental and agricultural policies, which are increasingly concerned with improving environmental conditions in rural areas. (C) 2015 Elsevier Ltd. All rights reserved.</t>
  </si>
  <si>
    <t>10.1016/j.landusepol.2014.12.005</t>
  </si>
  <si>
    <r>
      <rPr>
        <rFont val="Arial"/>
        <color rgb="FF1155CC"/>
        <u/>
      </rPr>
      <t>http://dx.doi.org/10.1016/j.landusepol.2014.12.005</t>
    </r>
  </si>
  <si>
    <t>Environmental Studies</t>
  </si>
  <si>
    <t>WOS:000382341200071</t>
  </si>
  <si>
    <r>
      <rPr>
        <rFont val="Arial"/>
        <color rgb="FF1155CC"/>
        <u/>
      </rPr>
      <t>View Full Record in Web of Science</t>
    </r>
  </si>
  <si>
    <t>Friedrich, T; Timmermann, A; Tigchelaar, M; Timm, OE; Ganopolski, A</t>
  </si>
  <si>
    <t>Nonlinear climate sensitivity and its implications for future greenhouse warming</t>
  </si>
  <si>
    <t>Global mean surface temperatures are rising in response to anthropogenic greenhouse gas emissions. The magnitude of this warming at equilibrium for a given radiative forcing-referred to as specific equilibrium climate sensitivity (S)-is still subject to uncertainties. We estimate global mean temperature variations and S using a 784,000-year-long field reconstruction of sea surface temperatures and a transient paleoclimate model simulation. Our results reveal that S is strongly dependent on the climate background state, with significantly larger values attained during warm phases. Using the Representative Concentration Pathway 8.5 for future greenhouse radiative forcing, we find that the range of paleo-based estimates of Earth's future warming by 2100 CE overlaps with the upper range of climate simulations conducted as part of the Coupled Model Inter-comparison Project Phase 5 (CMIP5). Furthermore, we find that within the 21st century, global mean temperatures will very likely exceed maximum levels reconstructed for the last 784,000 years. On the basis of temperature data from eight glacial cycles, our results provide an independent validation of the magnitude of current CMIP5 warming projections.</t>
  </si>
  <si>
    <t>10.1126/sciadv.1501923</t>
  </si>
  <si>
    <r>
      <rPr>
        <rFont val="Arial"/>
        <color rgb="FF1155CC"/>
        <u/>
      </rPr>
      <t>http://dx.doi.org/10.1126/sciadv.1501923</t>
    </r>
  </si>
  <si>
    <t>WOS:000391267800002</t>
  </si>
  <si>
    <r>
      <rPr>
        <rFont val="Arial"/>
        <color rgb="FF1155CC"/>
        <u/>
      </rPr>
      <t>View Full Record in Web of Science</t>
    </r>
  </si>
  <si>
    <t>Shannon, G; McKenna, MF; Angeloni, LM; Crooks, KR; Fristrup, KM; Brown, E; Warner, KA; Nelson, MD; White, C; Briggs, J; McFarland, S; Wittemyer, G</t>
  </si>
  <si>
    <t>A synthesis of two decades of research documenting the effects of noise on wildlife</t>
  </si>
  <si>
    <t>BIOLOGICAL REVIEWS</t>
  </si>
  <si>
    <t>Global increases in environmental noise levels arising from expansion ofhuman populations, transportation networks, and resource extraction have catalysed a recent surge of research into the effects of noise on wildlife. Synthesising a coherent understanding of the biological consequences of noise from this literature is challenging. Taxonomic groups vary in auditory capabilities.. wide range of noise sources and exposure levels occur, and many kinds of biological responses have been observed, ranging faint individual behaviours to changes in ecological conununities. Also, noise is one of several environmental effects generated by human activities, so researchers must contend with potentially confounding explanations for biological responses. Nonetheless, it is clear that noise presents diverse threats to species and ecosystems and salient patterns are emerging to help inform future natural resource-management decisions. We conducted a systematic and standardised review of the scientific literature published from 1990 to 2013 on the effects of anthropogenic noise on wildlife, including both terrestrial and aquatic studies. Research to date has concentrated predominantly On European and North American species that rely on vocal corrununication, with approximately two-thirds of the data set focussing on songbirds and marine mammals. The majority of studies documented effects from noise, including altered vocal behaviour to mitigate masking, reduced abundance in noisy habitats, changes in vigilance and foraging behaviour, and impacts on individual fitness and the structure of ecological communities. This literature survey shows that terrestrial wildlife responses begin at noise levels of approximately 40 dIlA, and 20% of papers documented impacts below 50 dBA. Our analysis highlights the utility of existing scientific information concerning, the effects of anthropogenic noise on Wikllife for predicting potential outcomes of noise exposure and implementing meaningful mitigation measures. future research directions that Would support more comprehensive predictions regarding the magnitude and severity of noise impacts include: broadening taxonomic and geographical scope, exploring interacting stressors, conducting larger-scale studies, testing mitigation approaches, standardising reporting of acoustic metrics, and assessing the biological response to noise-source removal or mitigation. The broad volume of existing information concerning the effects of anthropogenic, noise on wildlife offers a valuable resource to assist scientists, industry, and natural-resource managers in predicting potential ()incomes of noise exposure.</t>
  </si>
  <si>
    <t>10.1111/brv.12207</t>
  </si>
  <si>
    <r>
      <rPr>
        <rFont val="Arial"/>
        <color rgb="FF1155CC"/>
        <u/>
      </rPr>
      <t>http://dx.doi.org/10.1111/brv.12207</t>
    </r>
  </si>
  <si>
    <t>Biology</t>
  </si>
  <si>
    <t>WOS:000385570300006</t>
  </si>
  <si>
    <r>
      <rPr>
        <rFont val="Arial"/>
        <color rgb="FF1155CC"/>
        <u/>
      </rPr>
      <t>View Full Record in Web of Science</t>
    </r>
  </si>
  <si>
    <t>Schandl, H; Hatfield-Dodds, S; Wiedmann, T; Geschke, A; Cai, YY; West, J; Newth, D; Baynes, T; Lenzen, M; Owen, A</t>
  </si>
  <si>
    <t>Decoupling global environmental pressure and economic growth: scenarios for energy use, materials use and carbon emissions</t>
  </si>
  <si>
    <t>JOURNAL OF CLEANER PRODUCTION</t>
  </si>
  <si>
    <t>In recent decades economic growth and increased human wellbeing around the globe have come at the cost of fast growing natural resource use (including materials and energy) and carbon emissions, leading to converging pressures of declining resource security, rising and increasingly volatile natural resource prices, and climate change. We ask whether well-designed policies can reduce global material and energy use, and carbon emissions, with only minimal impacts on improvements in living standards. We use a novel approach of combined economic and environmental modelling to assess the potential for decoupling for 13 world regions and globally. We apply a production (territorial) and consumption approach to discuss regional differences in natural resource use and carbon emissions across three stylized policy outlooks: a reference case with no significant changes to environment and climate policies; a 'high efficiency' outlook involving a global carbon price rising from $50 to $236 (constant price) per tonne of CO2 between 2010 and 2050 and improvements in resource efficiency (rising from 1.5% historically to between 3.5% and 4.5% in the scenarios); and a 'medium efficiency' outlook midway between the 'no change' and 'high' outlooks. We find that global energy use will continue to grow rapidly under all three scenarios from 17 billion tonnes of oil equivalent (toe) in 2010 to between 30 and 36 billion toe. Carbon emissions would be considerably lower with a global carbon price, less than half the level of the reference case (29-37 billion tonnes of CO2 instead of 74 billion tonnes) and also material use would grow much more slowly under a carbon price and significant investment to increase resource efficiency (95 instead of 180 billion tonnes of materials). We find that OECD economies have significant potential to reduce their material throughput and carbon emissions with little impact on economic growth, and that developing economies such as China could expand their economies at much lower environmental cost. Globally, the effects of very strong abatement and resource efficiency policies on economic growth and employment until 2050 are negligible. Our study suggests that decarbonization and dematerialization are possible with well-designed policy settings and would not contradict efforts to raise human wellbeing and standards of living. The research demonstrates the usefulness of scenarios for unpacking environmental and economic outcomes of policy alternatives. The findings have important implications for future economic opportunities in a highly resource efficient and low carbon global economy to set human development and achieving the sustainable development goals on a more resilient path. Crown Copyright (C) 2015 Published by Elsevier Ltd. All rights reserved.</t>
  </si>
  <si>
    <t>10.1016/j.jclepro.2015.06.100</t>
  </si>
  <si>
    <r>
      <rPr>
        <rFont val="Arial"/>
        <color rgb="FF1155CC"/>
        <u/>
      </rPr>
      <t>http://dx.doi.org/10.1016/j.jclepro.2015.06.100</t>
    </r>
  </si>
  <si>
    <t>Green &amp; Sustainable Science &amp; Technology; Engineering, Environmental; Environmental Sciences</t>
  </si>
  <si>
    <t>WOS:000380624400004</t>
  </si>
  <si>
    <r>
      <rPr>
        <rFont val="Arial"/>
        <color rgb="FF1155CC"/>
        <u/>
      </rPr>
      <t>View Full Record in Web of Science</t>
    </r>
  </si>
  <si>
    <t>Venter, O; Sanderson, EW; Magrach, A; Allan, JR; Beher, J; Jones, KR; Possingham, HP; Laurance, WF; Wood, P; Fekete, BM; Levy, MA; Watson, JEM</t>
  </si>
  <si>
    <t>Global terrestrial Human Footprint maps for 1993 and 2009</t>
  </si>
  <si>
    <t>SCIENTIFIC DATA</t>
  </si>
  <si>
    <t>Article; Data Paper</t>
  </si>
  <si>
    <t>Remotely-sensed and bottom-up survey information were compiled on eight variables measuring the direct and indirect human pressures on the environment globally in 1993 and 2009. This represents not only the most current information of its type, but also the first temporally-consistent set of Human Footprint maps. Data on human pressures were acquired or developed for: 1) built environments, 2) population density, 3) electric infrastructure, 4) crop lands, 5) pasture lands, 6) roads, 7) railways, and 8) navigable waterways. Pressures were then overlaid to create the standardized Human Footprint maps for all non-Antarctic land areas. A validation analysis using scored pressures from 3114 x 1 km(2) random sample plots revealed strong agreement with the Human Footprint maps. We anticipate that the Human Footprint maps will find a range of uses as proxies for human disturbance of natural systems. The updated maps should provide an increased understanding of the human pressures that drive macro-ecological patterns, as well as for tracking environmental change and informing conservation science and application.</t>
  </si>
  <si>
    <t>10.1038/sdata.2016.67</t>
  </si>
  <si>
    <r>
      <rPr>
        <rFont val="Arial"/>
        <color rgb="FF1155CC"/>
        <u/>
      </rPr>
      <t>http://dx.doi.org/10.1038/sdata.2016.67</t>
    </r>
  </si>
  <si>
    <t>WOS:000390229900001</t>
  </si>
  <si>
    <r>
      <rPr>
        <rFont val="Arial"/>
        <color rgb="FF1155CC"/>
        <u/>
      </rPr>
      <t>View Full Record in Web of Science</t>
    </r>
  </si>
  <si>
    <t>Early, R; Bradley, BA; Dukes, JS; Lawler, JJ; Olden, JD; Blumenthal, DM; Gonzalez, P; Grosholz, ED; Ibañez, I; Miller, LP; Sorte, CJB; Tatem, AJ</t>
  </si>
  <si>
    <t>Global threats from invasive alien species in the twenty-first century and national response capacities</t>
  </si>
  <si>
    <t>Invasive alien species (IAS) threaten human livelihoods and biodiversity globally. Increasing globalization facilitates IAS arrival, and environmental changes, including climate change, facilitate IAS establishment. Here we provide the first global, spatial analysis of the terrestrial threat from IAS in light of twenty-first century globalization and environmental change, and evaluate national capacities to prevent and manage species invasions. We find that one-sixth of the global land surface is highly vulnerable to invasion, including substantial areas in developing economies and biodiversity hotspots. The dominant invasion vectors differ between high-income countries (imports, particularly of plants and pets) and low-income countries (air travel). Uniting data on the causes of introduction and establishment can improve early-warning and eradication schemes. Most countries have limited capacity to act against invasions. In particular, we reveal a clear need for proactive invasion strategies in areas with high poverty levels, high biodiversity and low historical levels of invasion.</t>
  </si>
  <si>
    <t>10.1038/ncomms12485</t>
  </si>
  <si>
    <r>
      <rPr>
        <rFont val="Arial"/>
        <color rgb="FF1155CC"/>
        <u/>
      </rPr>
      <t>http://dx.doi.org/10.1038/ncomms12485</t>
    </r>
  </si>
  <si>
    <t>WOS:000381947800001</t>
  </si>
  <si>
    <r>
      <rPr>
        <rFont val="Arial"/>
        <color rgb="FF1155CC"/>
        <u/>
      </rPr>
      <t>View Full Record in Web of Science</t>
    </r>
  </si>
  <si>
    <t>Weller, RA; Farrar, JT; Buckley, J; Mathew, S; Venkatesan, R; Lekha, JS; Chaudhuri, D; Kumar, NS; Kumar, BP</t>
  </si>
  <si>
    <t>Air-Sea Interaction in the Bay of Bengal</t>
  </si>
  <si>
    <t>OCEANOGRAPHY</t>
  </si>
  <si>
    <t>Recent observations of surface meteorology and exchanges of heat, freshwater, and momentum between the ocean and the atmosphere in the Bay of Bengal are presented. These observations characterize air-sea interaction at 18 degrees N, 89.5 degrees E from December 2014 to January 2016 and also at other locations in the northern Bay of Bengal. Monsoonal variability dominated the records, with winds to the northeast in summer and to the southwest in winter. This variability included a strong annual cycle in the atmospheric forcing of the ocean in the Bay of Bengal, with the winter monsoon marked by sustained ocean heat loss resulting in ocean cooling, and the summer monsoon marked by strong storm events with dark skies and rain that also resulted in ocean cooling. The spring intermonsoon was a period of clear skies and low winds, when strong solar heating and weak wind-driven mixing led to ocean warming. The fall intermonsoon was a transitional period, with some storm events but also with enough clear skies and sunlight that ocean surface temperature rose again. Mooring and shipboard observations are used to examine the ability of model-based surface fluxes to represent air-sea interaction in the Bay of Bengal; the model-based fluxes have significant errors. The surface forcing observed at 18 degrees N is also used together with a one-dimensional ocean model to illustrate the potential for local air-sea interaction to drive upper-ocean variability in the Bay of Bengal.</t>
  </si>
  <si>
    <t>10.5670/oceanog.2016.36</t>
  </si>
  <si>
    <r>
      <rPr>
        <rFont val="Arial"/>
        <color rgb="FF1155CC"/>
        <u/>
      </rPr>
      <t>http://dx.doi.org/10.5670/oceanog.2016.36</t>
    </r>
  </si>
  <si>
    <t>Oceanography</t>
  </si>
  <si>
    <t>WOS:000380572500007</t>
  </si>
  <si>
    <r>
      <rPr>
        <rFont val="Arial"/>
        <color rgb="FF1155CC"/>
        <u/>
      </rPr>
      <t>View Full Record in Web of Science</t>
    </r>
  </si>
  <si>
    <t>Critchell, K; Lambrechts, J</t>
  </si>
  <si>
    <t>Modelling accumulation of marine plastics in the coastal zone; what are the dominant physical processes?</t>
  </si>
  <si>
    <t>ESTUARINE COASTAL AND SHELF SCIENCE</t>
  </si>
  <si>
    <t>Anthropogenic marine debris, mainly of plastic origin, is accumulating in estuarine and coastal environments around the world causing damage to fauna, flora and habitats. Plastics also have the potential to accumulate in the food web, as well as causing economic losses to tourism and sea-going industries. If we are to manage this increasing threat, we must first understand where debris is accumulating and why these locations are different to others that do not accumulate large amounts of marine debris. This paper demonstrates an advection-diffusion model that includes beaching, settling, resuspension/re-floating, degradation and topographic effects on the wind in nearshore waters to quantify the relative importance of these physical processes governing plastic debris accumulation. The aim of this paper is to prioritise research that will improve modelling outputs in the future. We have found that the physical characteristic of the source location has by far the largest effect on the fate of the debris. The diffusivity, used to parameterise the sub-grid scale movements, and the relationship between debris resuspension/re-floating from beaches and the wind shadow created by high islands also has a dramatic impact on the modelling results. The rate of degradation of macroplastics into microplastics also have a large influence in the result of the modelling. The other processes presented (settling, wind drift velocity) also help determine the fate of debris, but to a lesser degree. These findings may help prioritise research on physical processes that affect plastic accumulation, leading to more accurate modelling, and subsequently management in the future. (C) 2016 Elsevier Ltd. All rights reserved.</t>
  </si>
  <si>
    <t>10.1016/j.ecss.2016.01.036</t>
  </si>
  <si>
    <r>
      <rPr>
        <rFont val="Arial"/>
        <color rgb="FF1155CC"/>
        <u/>
      </rPr>
      <t>http://dx.doi.org/10.1016/j.ecss.2016.01.036</t>
    </r>
  </si>
  <si>
    <t>Marine &amp; Freshwater Biology; Oceanography</t>
  </si>
  <si>
    <t>WOS:000374199400013</t>
  </si>
  <si>
    <r>
      <rPr>
        <rFont val="Arial"/>
        <color rgb="FF1155CC"/>
        <u/>
      </rPr>
      <t>View Full Record in Web of Science</t>
    </r>
  </si>
  <si>
    <t>Viña, A; McConnell, WJ; Yang, HB; Xu, ZC; Liu, JG</t>
  </si>
  <si>
    <t>Effects of conservation policy on China's forest recovery</t>
  </si>
  <si>
    <t>Forest loss is one of the most pervasive land surface transformations on Earth, with drastic effects on global climate, ecosystems, and human well-being. As part of biodiversity conservation and climate change mitigation efforts, many countries, including China, have been implementing large-scale policies to conserve and restore forests. However, little is known about the effectiveness of these policies, and information on China's forest dynamics at the national level has mainly relied on official statistics. In response to international calls for improved reliability and transparency of information on biodiversity conservation and climate change mitigation efforts, it is crucial to independently verify government statistics. Furthermore, if forest recovery is verified, it is essential to assess the degree to which this recovery is attributable to policy, within the context of other relevant factors. We assess the dynamics of forest cover in China between 2000 and 2010 and evaluate the effectiveness of one of the largest forest conservation programs in the world-the Natural Forest Conservation Program (NFCP). Results indicate that forest cover has significantly increased in around 1.6% of China's territory and that the areas exhibiting forest gain experienced a combined increase in net primary productivity (ca. 0.9 Tg of carbon). Among the variables evaluated at county level, the NFCP exhibited a significantly positive relation with forest gain, whereas reduction in rural labor showed a negative relationship with both forest loss and gain. Findings such as these have global implications for forest conservation and climate change mitigation efforts.</t>
  </si>
  <si>
    <t>10.1126/sciadv.1500965</t>
  </si>
  <si>
    <r>
      <rPr>
        <rFont val="Arial"/>
        <color rgb="FF1155CC"/>
        <u/>
      </rPr>
      <t>http://dx.doi.org/10.1126/sciadv.1500965</t>
    </r>
  </si>
  <si>
    <t>WOS:000379620200006</t>
  </si>
  <si>
    <r>
      <rPr>
        <rFont val="Arial"/>
        <color rgb="FF1155CC"/>
        <u/>
      </rPr>
      <t>View Full Record in Web of Science</t>
    </r>
  </si>
  <si>
    <t>Wilkinson, JL; Hooda, PS; Barker, J; Barton, S; Swinden, J</t>
  </si>
  <si>
    <t>Ecotoxic pharmaceuticals, personal care products, and other emerging contaminants: A review of environmental, receptor-mediated, developmental, and epigenetic toxicity with discussion of proposed toxicity to humans</t>
  </si>
  <si>
    <t>CRITICAL REVIEWS IN ENVIRONMENTAL SCIENCE AND TECHNOLOGY</t>
  </si>
  <si>
    <t>Pharmaceuticals and personal care products (PPCPs), other emerging contaminants (ECs), and metabolites thereof are ubiquitous in the environment, both built and natural. While such compounds have been environmentally present for some time, new pharmaceuticals and replacements for other ECs phased out due to regulatory limitations are continually being introduced to market. Non-target lower organisms are exposed through affected water, atmospheric emissions, precipitation, sediments, among other routes. Biological disruption/dysfunction (such as endocrine, developmental, and epigenetic disruption) has been reported in lower organisms exposed to trace levels of PPCPs and other ECs. Such disruption/dysfunction may not be exclusively present as traditional toxic response (e.g., cancer or death) but may only slightly alter natural biological processes as a result of exposure to an exogenous chemical (e.g., an increased heart rate or altered size of dorsal fat pads in fish). The epigenome and endocrine system appear to be relatively sensitive to many PPCPs/ECs, particularly during early development. Humans are exposed to ECs such as plasticizers and perfluorinated compounds (PFCs) mainly through ingestion (food and contaminated liquid) as well as interaction with day-to-day products (detergents, musk compounds in fragrances, etc.). Few, if any, studies have investigated trace-level toxicity of such ECs to humans as direct-exposure trials are highly unethical. However, numerous epidemiological links exist between the presence of contaminants in humans (blood, urine, and tissues) and the occurrence of diseases or other phenotypic alterations. Despite mounting interest and research, such trace-level effects on humans are greatly debated and often criticized. This paper reviews the current understanding of PPCP/EC toxicity. Discussion of general biological disruption/dysfunction of the following seven classes of PPCP/ECs is included: analgesics, antibiotics, antineoplastic compounds, beta-blockers, endocrine disrupting compounds, PFCs, and plasticizers. A review of receptor-mediated toxicity, non-monotonic dose response relationships, developmental toxicity, and environmental epigenetics is also included. Lastly, an overview of the proposed toxicity to humans is provided including discussion of significant criticism and direction of future research.</t>
  </si>
  <si>
    <t>10.1080/10643389.2015.1096876</t>
  </si>
  <si>
    <r>
      <rPr>
        <rFont val="Arial"/>
        <color rgb="FF1155CC"/>
        <u/>
      </rPr>
      <t>http://dx.doi.org/10.1080/10643389.2015.1096876</t>
    </r>
  </si>
  <si>
    <t>WOS:000371027600002</t>
  </si>
  <si>
    <r>
      <rPr>
        <rFont val="Arial"/>
        <color rgb="FF1155CC"/>
        <u/>
      </rPr>
      <t>View Full Record in Web of Science</t>
    </r>
  </si>
  <si>
    <t>Dixon, MJR; Loh, J; Davidson, NC; Beltrame, C; Freeman, R; Walpole, M</t>
  </si>
  <si>
    <t>Tracking global change in ecosystem area: The Wetland Extent Trends index</t>
  </si>
  <si>
    <t>BIOLOGICAL CONSERVATION</t>
  </si>
  <si>
    <t>We present a method for estimating broad trends in ecosystem area based on incomplete and heterogeneous data, developing a proof-of-concept for the first indicator of change in area of natural wetland, the Wetland Extent Trends (WET) index. We use a variation of the Living Planet Index method, which is used for measuring global trends in wild vertebrate species abundance. The analysis is based on a database containing 1100 wetland extent time-series records and the method identifies and addresses ecological and biogeographic biases in the dataset Globally, the natural WET index, excluding human-made wetlands, declined by about 30% on average between 1970 and 2008. Declines varied between regions from about 50% in Europe to about 17% in Oceania over the same period. The WET index fills an important gap in the ecosystem coverage of global biodiversity indicators and can track changes related to a number of current international policy objectives. The same method could be applied to other datasets to create indicators for other ecosystems with incomplete global data. (C) 2015 Elsevier Ltd. All rights reserved.</t>
  </si>
  <si>
    <t>10.1016/j.biocon.2015.10.023</t>
  </si>
  <si>
    <r>
      <rPr>
        <rFont val="Arial"/>
        <color rgb="FF1155CC"/>
        <u/>
      </rPr>
      <t>http://dx.doi.org/10.1016/j.biocon.2015.10.023</t>
    </r>
  </si>
  <si>
    <t>Biodiversity Conservation; Ecology; Environmental Sciences</t>
  </si>
  <si>
    <t>WOS:000368963700004</t>
  </si>
  <si>
    <r>
      <rPr>
        <rFont val="Arial"/>
        <color rgb="FF1155CC"/>
        <u/>
      </rPr>
      <t>View Full Record in Web of Science</t>
    </r>
  </si>
  <si>
    <t>Isobe, A; Uchida, K; Tokai, T; Iwasaki, S</t>
  </si>
  <si>
    <t>East Asian seas: A hot spot of pelagic microplastics</t>
  </si>
  <si>
    <t>MARINE POLLUTION BULLETIN</t>
  </si>
  <si>
    <t>To investigate concentrations of pelagic micro- (&lt;5 mm in size) and mesoplastics (&gt;5 mm) in the East Asian seas around Japan, field surveys using two vessels were conducted concurrently in summer 2014. The total particle count (pieces km(-2)) was computed based on observed concentrations (pieces m(-3)) of small plastic fragments (both micro- and mesoplastics) collected using neuston nets. The total particle count of microplastics within the study area was 1,720,000 pieces km(-2), 16 times greater than in the North Pacific and 27 times greater than in the world oceans. The proportion of mesoplastics increased upstream of the northeastward ocean currents, such that the small plastic fragments collected in the present surveys were considered to have originated in the Yellow Sea and East China Sea southwest of the study area. (C) 2015 The Authors. Published by Elsevier Ltd.</t>
  </si>
  <si>
    <t>10.1016/j.marpolbul.2015.10.042</t>
  </si>
  <si>
    <r>
      <rPr>
        <rFont val="Arial"/>
        <color rgb="FF1155CC"/>
        <u/>
      </rPr>
      <t>http://dx.doi.org/10.1016/j.marpolbul.2015.10.042</t>
    </r>
  </si>
  <si>
    <t>WOS:000367107600019</t>
  </si>
  <si>
    <r>
      <rPr>
        <rFont val="Arial"/>
        <color rgb="FF1155CC"/>
        <u/>
      </rPr>
      <t>View Full Record in Web of Science</t>
    </r>
  </si>
  <si>
    <t>Blackburn, TM; Dyer, E; Su, S; Cassey, P</t>
  </si>
  <si>
    <t>Long after the event, or four things we (should) know about bird invasions</t>
  </si>
  <si>
    <t>JOURNAL OF ORNITHOLOGY</t>
  </si>
  <si>
    <t>Article; Proceedings Paper</t>
  </si>
  <si>
    <t>The most significant single event in the study of alien bird invasions occurred in 1981, with the publication of John L. Long's seminal book ``Introduced birds of the world'' (full title: Introduced birds of the world: The worldwide history, distribution and influence of birds introduced to new environments''; David &amp; Charles Ltd., Newton Abbot, UK). The significance of this book derives not just from its content, but also from its timing, coincident with the 1982 Scientific Committee on Problems of the Environment (SCOPE) programme on the ecology of biological invasions. It was not long before studies started to appear that exploited the data in Long's book to address the questions posed by SCOPE regarding alien invasions. As a result, we arguably have a more complete understanding of the invasion process for birds than for any other taxon. Nevertheless, there are still some key issues in the study of bird invasions where understanding is not all it should be. The aim of this review is to highlight four of these issues by arguing that (1) we do not know half so much about bird invasions as we think; (2) propagule pressure promotes invasions; (3) colonization pressure matters; (4) there is no evidence that escape from parasites promotes alien (bird) invasions. We expect some of the views expressed to be controversial, and others less so, but either way we hope this paper will stimulate others to provide better evidence for-or against-our propositions.</t>
  </si>
  <si>
    <t>10.1007/s10336-015-1155-z</t>
  </si>
  <si>
    <r>
      <rPr>
        <rFont val="Arial"/>
        <color rgb="FF1155CC"/>
        <u/>
      </rPr>
      <t>http://dx.doi.org/10.1007/s10336-015-1155-z</t>
    </r>
  </si>
  <si>
    <t>Ornithology</t>
  </si>
  <si>
    <t>WOS:000367457200003</t>
  </si>
  <si>
    <r>
      <rPr>
        <rFont val="Arial"/>
        <color rgb="FF1155CC"/>
        <u/>
      </rPr>
      <t>View Full Record in Web of Science</t>
    </r>
  </si>
  <si>
    <t>Burke, M; Hsiang, SM; Miguel, E</t>
  </si>
  <si>
    <t>Global non-linear effect of temperature on economic production</t>
  </si>
  <si>
    <t>NATURE</t>
  </si>
  <si>
    <t>Growing evidence demonstrates that climatic conditions can have a profound impact on the functioning of modern human societies(1,2), but effects on economic activity appear inconsistent. Fundamental productive elements of modern economies, such as workers and crops, exhibit highly non-linear responses to local temperature even in wealthy countries(3,4). In contrast, aggregate macroeconomic productivity of entire wealthy countries is reported not to respond to temperature(5), while poor countries respond only linearly(5,6). Resolving this conflict between micro and macro observations is critical to understanding the role of wealth in coupled human-natural systems(7,8) and to anticipating the global impact of climate change(9,10). Here we unify these seemingly contradictory results by accounting for non-linearity at the macro scale. We show that overall economic productivity is non-linear in temperature for all countries, with productivity peaking at an annual average temperature of 13 degrees C and declining strongly at higher temperatures. The relationship is globally generalizable, unchanged since 1960, and apparent for agricultural and non-agricultural activity in both rich and poor countries. These results provide the first evidence that economic activity in all regions is coupled to the global climate and establish a new empirical foundation for modelling economic loss in response to climate change(11,12), with important implications. If future adaptation mimics past adaptation, unmitigated warming is expected to reshape the global economy by reducing average global incomes roughly 23% by 2100 and widening global income inequality, relative to scenarios without climate change. In contrast to prior estimates, expected global losses are approximately linear in global mean temperature, with median losses many times larger than leading models indicate.</t>
  </si>
  <si>
    <t>10.1038/nature15725</t>
  </si>
  <si>
    <r>
      <rPr>
        <rFont val="Arial"/>
        <color rgb="FF1155CC"/>
        <u/>
      </rPr>
      <t>http://dx.doi.org/10.1038/nature15725</t>
    </r>
  </si>
  <si>
    <t>WOS:000364396700045</t>
  </si>
  <si>
    <r>
      <rPr>
        <rFont val="Arial"/>
        <color rgb="FF1155CC"/>
        <u/>
      </rPr>
      <t>View Full Record in Web of Science</t>
    </r>
  </si>
  <si>
    <t>Alexander, P; Rounsevell, MDA; Dislich, C; Dodson, JR; Engström, K; Moran, D</t>
  </si>
  <si>
    <t>Drivers for global agricultural land use change: The nexus of diet, population, yield and bioenergy</t>
  </si>
  <si>
    <t>GLOBAL ENVIRONMENTAL CHANGE-HUMAN AND POLICY DIMENSIONS</t>
  </si>
  <si>
    <t>The nexus of population growth and changing diets has increased the demands placed on agriculture to supply food for human consumption, animal feed and fuel. Rising incomes lead to dietary changes, from staple crops, towards commodities with greater land requirements, e.g. meat and dairy products. Despite yield improvements partially offsetting increases in demand, agricultural land has still been expanding, causing potential harm to ecosystems, e.g. through deforestation. We use country-level panel data (1961-2011) to allocate the land areas used to produce food for human consumption, waste and biofuels, and to attribute the food production area changes to diet, population and yields drivers. The results show that the production of animal products dominates agricultural land use and land use change over the 50-year period, accounting for 65% of land use change. The rate of extensification of animal production was found to have reduced more recently, principally due to the smaller effect of population growth. The area used for bioenergy was shown to be relatively small, but formed a substantial contribution (36%) to net agricultural expansion in the most recent period. Nevertheless, in comparison to dietary shifts in animal products, bioenergy accounted for less than a tenth of the increase in demand for agricultural land. Population expansion has been the largest driver for agricultural land use change, but dietary changes are a significant and growing driver. China was a notable exception, where dietary transitions dominate food consumption changes, due to rapidly rising incomes. This suggests that future dietary changes will become the principal driver for land use change, pointing to the potential need for demand-side measures to regulate agricultural expansion. (C) 2015 Elsevier Ltd. All rights reserved.</t>
  </si>
  <si>
    <t>10.1016/j.gloenvcha.2015.08.011</t>
  </si>
  <si>
    <r>
      <rPr>
        <rFont val="Arial"/>
        <color rgb="FF1155CC"/>
        <u/>
      </rPr>
      <t>http://dx.doi.org/10.1016/j.gloenvcha.2015.08.011</t>
    </r>
  </si>
  <si>
    <t>Environmental Sciences; Environmental Studies; Geography</t>
  </si>
  <si>
    <t>WOS:000366767100014</t>
  </si>
  <si>
    <r>
      <rPr>
        <rFont val="Arial"/>
        <color rgb="FF1155CC"/>
        <u/>
      </rPr>
      <t>View Full Record in Web of Science</t>
    </r>
  </si>
  <si>
    <t>Williams, R; Wright, AJ; Ashe, E; Blight, LK; Bruintjes, R; Canessa, R; Clark, CW; Cullis-Suzuki, S; Dakin, DT; Erbe, C; Hammond, PS; Merchant, ND; O'Hara, PD; Purser, J; Radford, AN; Simpson, SD; Thomas, L; Wale, MA</t>
  </si>
  <si>
    <t>Impacts of anthropogenic noise on marine life: Publication patterns, new discoveries, and future directions in research and management</t>
  </si>
  <si>
    <t>OCEAN &amp; COASTAL MANAGEMENT</t>
  </si>
  <si>
    <t>Anthropogenic underwater noise is now recognized as a world-wide problem, and recent studies have shown a broad range of negative effects in a variety of taxa. Underwater noise from shipping is increasingly recognized as a significant and pervasive pollutant with the potential to impact marine ecosystems on a global scale. We reviewed six regional case studies as examples of recent research and management activities relating to ocean noise in a variety of taxonomic groups, locations, and approaches. However, as no six projects could ever cover all taxa, sites and noise sources, a brief bibliometric analysis places these case studies into the broader historical and topical context of the peer-reviewed ocean noise literature as a whole. The case studies highlighted emerging knowledge of impacts, including the ways that non-injurious effects can still accumulate at the population level, and detailed approaches to guide ocean noise management. They build a compelling case that a number of anthropogenic noise types can affect a variety of marine taxa. Meanwhile, the bibliometric analyses revealed an increasing diversity of ocean noise topics covered and journal outlets since the 1940s. This could be seen in terms of both the expansion of the literature from more physical interests to ecological impacts of noise, management and policy, and consideration of a widening range of taxa. However, if our scientific knowledge base is ever to get ahead of the curve of rapid industrialization of the ocean, we are going to have to identify naive populations and relatively pristine seas, and construct mechanistic models, so that we can predict impacts before they occur, and guide effective mitigation for the most vulnerable populations. (C) 2015 Elsevier Ltd.</t>
  </si>
  <si>
    <t>10.1016/j.ocecoaman.2015.05.021</t>
  </si>
  <si>
    <r>
      <rPr>
        <rFont val="Arial"/>
        <color rgb="FF1155CC"/>
        <u/>
      </rPr>
      <t>http://dx.doi.org/10.1016/j.ocecoaman.2015.05.021</t>
    </r>
  </si>
  <si>
    <t>Oceanography; Water Resources</t>
  </si>
  <si>
    <t>WOS:000364252300004</t>
  </si>
  <si>
    <r>
      <rPr>
        <rFont val="Arial"/>
        <color rgb="FF1155CC"/>
        <u/>
      </rPr>
      <t>View Full Record in Web of Science</t>
    </r>
  </si>
  <si>
    <t>Rochman, CM; Tahir, A; Williams, SL; Baxa, DV; Lam, R; Miller, JT; Teh, FC; Werorilangi, S; Teh, SJ</t>
  </si>
  <si>
    <t>Anthropogenic debris in seafood: Plastic debris and fibers from textiles in fish and bivalves sold for human consumption</t>
  </si>
  <si>
    <t>The ubiquity of anthropogenic debris in hundreds of species of wildlife and the toxicity of chemicals associated with it has begun to raise concerns regarding the presence of anthropogenic debris in seafood. We assessed the presence of anthropogenic debris in fishes and shellfish on sale for human consumption. We sampled from markets in Makassar, Indonesia, and from California, USA. All fish and shellfish were identified to species where possible. Anthropogenic debris was extracted from the digestive tracts of fish and whole shellfish using a 10% KOH solution and quantified under a dissecting microscope. In Indonesia, anthropogenic debris was found in 28% of individual fish and in 55% of all species. Similarly, in the USA, anthropogenic debris was found in 25% of individual fish and in 67% of all species. Anthropogenic debris was also found in 33% of individual shellfish sampled. All of the anthropogenic debris recovered from fish in Indonesia was plastic, whereas anthropogenic debris recovered from fish in the USA was primarily fibers. Variations in debris types likely reflect different sources and waste management strategies between countries. We report some of the first findings of plastic debris in fishes directly sold for human consumption raising concerns regarding human health.</t>
  </si>
  <si>
    <t>10.1038/srep14340</t>
  </si>
  <si>
    <r>
      <rPr>
        <rFont val="Arial"/>
        <color rgb="FF1155CC"/>
        <u/>
      </rPr>
      <t>http://dx.doi.org/10.1038/srep14340</t>
    </r>
  </si>
  <si>
    <t>WOS:000361664300001</t>
  </si>
  <si>
    <r>
      <rPr>
        <rFont val="Arial"/>
        <color rgb="FF1155CC"/>
        <u/>
      </rPr>
      <t>View Full Record in Web of Science</t>
    </r>
  </si>
  <si>
    <t>Lelieveld, J; Evans, JS; Fnais, M; Giannadaki, D; Pozzer, A</t>
  </si>
  <si>
    <t>The contribution of outdoor air pollution sources to premature mortality on a global scale</t>
  </si>
  <si>
    <t>Assessment of the global burden of disease is based on epidemiological cohort studies that connect premature mortality to a wide range of causes(1-5), including the long-term health impacts of ozone and fine particulate matter with a diameter smaller than 2.5 micrometres (PM2.5)(3-9). It has proved difficult to quantify premature mortality related to air pollution, notably in regions where air quality is not monitored, and also because the toxicity of particles from various sources may vary(10). Here we use a global atmospheric chemistry model to investigate the link between prematuremortality and seven emission source categories in urban and rural environments. In accord with the global burden of disease for 2010 (ref. 5), we calculate that outdoor air pollution, mostly by PM2.5, leads to 3.3 (95 per cent confidence interval 1.61-4.81) million premature deaths per year worldwide, predominantly in Asia. We primarily assume that all particles are equally toxic(5), but also include a sensitivity study that accounts for differential toxicity. We find that emissions from residential energy use such as heating and cooking, prevalent in India and China, have the largest impact on premature mortality globally, being even more dominant if carbonaceous particles are assumed to be most toxic. Whereas in much of the USA and in a few other countries emissions from traffic and power generation are important, in eastern USA, Europe, Russia and East Asia agricultural emissions make the largest relative contribution to PM2.5, with the estimate of overall health impact depending on assumptions regarding particle toxicity. Model projections based on a business-as-usual emission scenario indicate that the contribution of outdoor air pollution to premature mortality could double by 2050.</t>
  </si>
  <si>
    <t>10.1038/nature15371</t>
  </si>
  <si>
    <r>
      <rPr>
        <rFont val="Arial"/>
        <color rgb="FF1155CC"/>
        <u/>
      </rPr>
      <t>http://dx.doi.org/10.1038/nature15371</t>
    </r>
  </si>
  <si>
    <t>WOS:000361297900041</t>
  </si>
  <si>
    <r>
      <rPr>
        <rFont val="Arial"/>
        <color rgb="FF1155CC"/>
        <u/>
      </rPr>
      <t>View Full Record in Web of Science</t>
    </r>
  </si>
  <si>
    <t>King, AD; Donat, MG; Fischer, EM; Hawkins, E; Alexander, LV; Karoly, DJ; Dittus, AJ; Lewis, SC; Perkins, SE</t>
  </si>
  <si>
    <t>The timing of anthropogenic emergence in simulated climate extremes</t>
  </si>
  <si>
    <t>ENVIRONMENTAL RESEARCH LETTERS</t>
  </si>
  <si>
    <t>Determining the time of emergence of climates altered from their natural state by anthropogenic influences can help inform the development of adaptation and mitigation strategies to climate change. Previous studies have examined the time of emergence of climate averages. However, at the global scale, the emergence of changes in extreme events, which have the greatest societal impacts, has not been investigated before. Based on state-of-the-art climate models, we show that temperature extremes generally emerge slightly later from their quasi-natural climate state than seasonal means, due to greater variability in extremes. Nevertheless, according to model evidence, both hot and cold extremes have already emerged across many areas. Remarkably, even precipitation extremes that have very large variability are projected to emerge in the coming decades in Northern Hemisphere winters associated with a wettening trend. Based on our findings we expect local temperature and precipitation extremes to already differ significantly from their previous quasi-natural state at many locations or to do so in the near future. Our findings have implications for climate impacts and detection and attribution studies assessing observed changes in regional climate extremes by showing whether they will likely find a fingerprint of anthropogenic climate change.</t>
  </si>
  <si>
    <t>10.1088/1748-9326/10/9/094015</t>
  </si>
  <si>
    <r>
      <rPr>
        <rFont val="Arial"/>
        <color rgb="FF1155CC"/>
        <u/>
      </rPr>
      <t>http://dx.doi.org/10.1088/1748-9326/10/9/094015</t>
    </r>
  </si>
  <si>
    <t>Environmental Sciences; Meteorology &amp; Atmospheric Sciences</t>
  </si>
  <si>
    <t>WOS:000367141000018</t>
  </si>
  <si>
    <r>
      <rPr>
        <rFont val="Arial"/>
        <color rgb="FF1155CC"/>
        <u/>
      </rPr>
      <t>View Full Record in Web of Science</t>
    </r>
  </si>
  <si>
    <t>Gattuso, JP; Magnan, A; Billé, R; Cheung, WWL; Howes, EL; Joos, F; Allemand, D; Bopp, L; Cooley, SR; Eakin, CM; Hoegh-Guldberg, O; Kelly, RP; Pörtner, HO; Rogers, AD; Baxter, JM; Laffoley, D; Osborn, D; Rankovic, A; Rochette, J; Sumaila, UR; Treyer, S; Turley, C</t>
  </si>
  <si>
    <t>Contrasting futures for ocean and society from different anthropogenic CO2 emissions scenarios</t>
  </si>
  <si>
    <t>SCIENCE</t>
  </si>
  <si>
    <t>The ocean moderates anthropogenic climate change at the cost of profound alterations of its physics, chemistry, ecology, and services. Here, we evaluate and compare the risks of impacts on marine and coastal ecosystems-and the goods and services they provide-for growing cumulative carbon emissions under two contrasting emissions scenarios. The current emissions trajectory would rapidly and significantly alter many ecosystems and the associated services on which humans heavily depend. A reduced emissions scenario-consistent with the Copenhagen Accord's goal of a global temperature increase of less than 2 degrees C-is much more favorable to the ocean but still substantially alters important marine ecosystems and associated goods and services. The management options to address ocean impacts narrow as the ocean warms and acidifies. Consequently, any new climate regime that fails to minimize ocean impacts would be incomplete and inadequate.</t>
  </si>
  <si>
    <t>10.1126/science.aac4722</t>
  </si>
  <si>
    <r>
      <rPr>
        <rFont val="Arial"/>
        <color rgb="FF1155CC"/>
        <u/>
      </rPr>
      <t>http://dx.doi.org/10.1126/science.aac4722</t>
    </r>
  </si>
  <si>
    <t>WOS:000357280800052</t>
  </si>
  <si>
    <r>
      <rPr>
        <rFont val="Arial"/>
        <color rgb="FF1155CC"/>
        <u/>
      </rPr>
      <t>View Full Record in Web of Science</t>
    </r>
  </si>
  <si>
    <t>Halpern, BS; Frazier, M; Potapenko, J; Casey, KS; Koenig, K; Longo, C; Lowndes, JS; Rockwood, RC; Selig, ER; Selkoe, KA; Walbridge, S</t>
  </si>
  <si>
    <t>Spatial and temporal changes in cumulative human impacts on the world's ocean</t>
  </si>
  <si>
    <t>Human pressures on the ocean are thought to be increasing globally, yet we know little about their patterns of cumulative change, which pressures are most responsible for change, and which places are experiencing the greatest increases. Managers and policymakers require such information to make strategic decisions and monitor progress towards management objectives. Here we calculate and map recent change over 5 years in cumulative impacts to marine ecosystems globally from fishing, climate change, and ocean- and land-based stressors. Nearly 66% of the ocean and 77% of national jurisdictions show increased human impact, driven mostly by climate change pressures. Five percent of the ocean is heavily impacted with increasing pressures, requiring management attention. Ten percent has very low impact with decreasing pressures. Our results provide large-scale guidance about where to prioritize management efforts and affirm the importance of addressing climate change to maintain and improve the condition of marine ecosystems.</t>
  </si>
  <si>
    <t>10.1038/ncomms8615</t>
  </si>
  <si>
    <r>
      <rPr>
        <rFont val="Arial"/>
        <color rgb="FF1155CC"/>
        <u/>
      </rPr>
      <t>http://dx.doi.org/10.1038/ncomms8615</t>
    </r>
  </si>
  <si>
    <t>WOS:000358857000008</t>
  </si>
  <si>
    <r>
      <rPr>
        <rFont val="Arial"/>
        <color rgb="FF1155CC"/>
        <u/>
      </rPr>
      <t>View Full Record in Web of Science</t>
    </r>
  </si>
  <si>
    <t>Richey, AS; Thomas, BF; Lo, MH; Reager, JT; Famiglietti, JS; Voss, K; Swenson, S; Rodell, M</t>
  </si>
  <si>
    <t>Quantifying renewable groundwater stress with GRACE</t>
  </si>
  <si>
    <t>WATER RESOURCES RESEARCH</t>
  </si>
  <si>
    <t>Groundwater is an increasingly important water supply source globally. Understanding the amount of groundwater used versus the volume available is crucial to evaluate future water availability. We present a groundwater stress assessment to quantify the relationship between groundwater use and availability in the world's 37 largest aquifer systems. We quantify stress according to a ratio of groundwater use to availability, which we call the Renewable Groundwater Stress ratio. The impact of quantifying groundwater use based on nationally reported groundwater withdrawal statistics is compared to a novel approach to quantify use based on remote sensing observations from the Gravity Recovery and Climate Experiment (GRACE) satellite mission. Four characteristic stress regimes are defined: Overstressed, Variable Stress, Human-dominated Stress, and Unstressed. The regimes are a function of the sign of use (positive or negative) and the sign of groundwater availability, defined as mean annual recharge. The ability to mitigate and adapt to stressed conditions, where use exceeds sustainable water availability, is a function of economic capacity and land use patterns. Therefore, we qualitatively explore the relationship between stress and anthropogenic biomes. We find that estimates of groundwater stress based on withdrawal statistics are unable to capture the range of characteristic stress regimes, especially in regions dominated by sparsely populated biome types with limited cropland. GRACE-based estimates of use and stress can holistically quantify the impact of groundwater use on stress, resulting in both greater magnitudes of stress and more variability of stress between regions.</t>
  </si>
  <si>
    <t>10.1002/2015WR017349</t>
  </si>
  <si>
    <r>
      <rPr>
        <rFont val="Arial"/>
        <color rgb="FF1155CC"/>
        <u/>
      </rPr>
      <t>http://dx.doi.org/10.1002/2015WR017349</t>
    </r>
  </si>
  <si>
    <t>Environmental Sciences; Limnology; Water Resources</t>
  </si>
  <si>
    <t>WOS:000360080200019</t>
  </si>
  <si>
    <r>
      <rPr>
        <rFont val="Arial"/>
        <color rgb="FF1155CC"/>
        <u/>
      </rPr>
      <t>View Full Record in Web of Science</t>
    </r>
  </si>
  <si>
    <t>Capinha, C; Essl, F; Seebens, H; Moser, D; Pereira, HM</t>
  </si>
  <si>
    <t>The dispersal of alien species redefines biogeography in the Anthropocene</t>
  </si>
  <si>
    <t>It has been argued that globalization in human-mediated dispersal of species breaks down biogeographic boundaries, yet empirical tests are still missing. We used data on native and alien ranges of terrestrial gastropods to analyze dissimilarities in species composition among 56 globally distributed regions. We found that native ranges confirm the traditional biogeographic realms, reflecting natural dispersal limitations. However, the distributions of gastropods after human transport are primarily explained by the prevailing climate and, to a smaller extent, by distance and trade relationships. Our findings show that human-mediated dispersal is causing a breakdown of biogeographic barriers, and that climate and to some extent socioeconomic relationships will define biogeography in an era of global change.</t>
  </si>
  <si>
    <t>10.1126/science.aaa8913</t>
  </si>
  <si>
    <r>
      <rPr>
        <rFont val="Arial"/>
        <color rgb="FF1155CC"/>
        <u/>
      </rPr>
      <t>http://dx.doi.org/10.1126/science.aaa8913</t>
    </r>
  </si>
  <si>
    <t>WOS:000356011500053</t>
  </si>
  <si>
    <r>
      <rPr>
        <rFont val="Arial"/>
        <color rgb="FF1155CC"/>
        <u/>
      </rPr>
      <t>View Full Record in Web of Science</t>
    </r>
  </si>
  <si>
    <t>Busch, DS; O'Donnell, MJ; Hauri, C; Mach, KJ; Poach, M; Doney, SC; Signorini, SR</t>
  </si>
  <si>
    <t>Understanding, Characterizing, and Communicating Responses to Ocean Acidification CHALLENGES AND UNCERTAINTIES</t>
  </si>
  <si>
    <t>Over the past decade, ocean acidification (OA) has emerged as a major concern in ocean science. The field of OA is based on certainties-update of carbon dioxide into the global ocean alters its carbon chemistry, and many marine organisms, especially calcifiers, are sensitive to this change. However, the field must accommodate uncertainties about the seriousness of these impacts as it synthesizes and draws conclusions from multiple disciplines. There is pressure from stakeholders to expeditiously inform society about the extent to which OA will impact marine ecosystems and the people who depend on them. Ultimately, decisions about actions related to OA require evaluating risks about the likelihood and magnitude of these impacts. As the scientific literature accumulates, some of the uncertainty related to single-species sensitivity to OA is diminishing. Difficulties remain in scaling laboratory results to species and ecosystem responses in nature, though modeling exercises provide useful insight. As recognition of OA grows scientists' ability to communicate the certainties and uncertainties of our knowledge on OA is crucial for interaction with decision makers. In this regard, there are a number of valuable practices that can be drawn from other fields, especially the global climate change community. A generally accepted set of best practices that scientists follow in their discussions of uncertainty would be helpful for the community engaged in ocean acidification.</t>
  </si>
  <si>
    <t>10.5670/oceanog.2015.29</t>
  </si>
  <si>
    <r>
      <rPr>
        <rFont val="Arial"/>
        <color rgb="FF1155CC"/>
        <u/>
      </rPr>
      <t>http://dx.doi.org/10.5670/oceanog.2015.29</t>
    </r>
  </si>
  <si>
    <t>WOS:000357231700007</t>
  </si>
  <si>
    <r>
      <rPr>
        <rFont val="Arial"/>
        <color rgb="FF1155CC"/>
        <u/>
      </rPr>
      <t>View Full Record in Web of Science</t>
    </r>
  </si>
  <si>
    <t>Österblom, H; Jouffray, JB; Folke, C; Crona, B; Troell, M; Merrie, A; Rockström, J</t>
  </si>
  <si>
    <t>Transnational Corporations as 'Keystone Actors' in Marine Ecosystems</t>
  </si>
  <si>
    <t>PLOS ONE</t>
  </si>
  <si>
    <t>Keystone species have a disproportionate influence on the structure and function of ecosystems. Here we analyze whether a keystone-like pattern can be observed in the relationship between transnational corporations and marine ecosystems globally. We show how thirteen corporations control 11-16% of the global marine catch (9-13 million tons) and 19-40% of the largest and most valuable stocks, including species that play important roles in their respective ecosystem. They dominate all segments of seafood production, operate through an extensive global network of subsidiaries and are profoundly involved in fisheries and aquaculture decision-making. Based on our findings, we define these companies as keystone actors of the Anthropocene. The phenomenon of keystone actors represents an increasingly important feature of the human-dominated world. Sustainable leadership by keystone actors could result in cascading effects throughout the entire seafood industry and enable a critical transition towards improved management of marine living resources and ecosystems.</t>
  </si>
  <si>
    <t>10.1371/journal.pone.0127533</t>
  </si>
  <si>
    <r>
      <rPr>
        <rFont val="Arial"/>
        <color rgb="FF1155CC"/>
        <u/>
      </rPr>
      <t>http://dx.doi.org/10.1371/journal.pone.0127533</t>
    </r>
  </si>
  <si>
    <t>WOS:000355185600087</t>
  </si>
  <si>
    <r>
      <rPr>
        <rFont val="Arial"/>
        <color rgb="FF1155CC"/>
        <u/>
      </rPr>
      <t>View Full Record in Web of Science</t>
    </r>
  </si>
  <si>
    <t>Stehle, S; Schulz, R</t>
  </si>
  <si>
    <t>Agricultural insecticides threaten surface waters at the global scale</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</si>
  <si>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similar to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similar to 90% of global cropland. Most importantly, of the 11,300 MICs, 52.4% (5,915 cases; 68.5% of the sites) exceeded the RTL for either surface water (RTLSW) or sediments. Thus, the biological integrity of global water resources is at a substantial risk. RTLSW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t>
  </si>
  <si>
    <t>10.1073/pnas.1500232112</t>
  </si>
  <si>
    <r>
      <rPr>
        <rFont val="Arial"/>
        <color rgb="FF1155CC"/>
        <u/>
      </rPr>
      <t>http://dx.doi.org/10.1073/pnas.1500232112</t>
    </r>
  </si>
  <si>
    <t>WOS:000353953800062</t>
  </si>
  <si>
    <r>
      <rPr>
        <rFont val="Arial"/>
        <color rgb="FF1155CC"/>
        <u/>
      </rPr>
      <t>View Full Record in Web of Science</t>
    </r>
  </si>
  <si>
    <t>Dalin, C; Qiu, H; Hanasaki, N; Mauzerall, DL; Rodriguez-Iturbe, I</t>
  </si>
  <si>
    <t>Balancing water resource conservation and food security in China</t>
  </si>
  <si>
    <t>China's economic growth is expected to continue into the next decades, accompanied by sustained urbanization and industrialization. The associated increase in demand for land, water resources, and rich foods will deepen the challenge of sustainably feeding the population and balancing agricultural and environmental policies. We combine a hydrologic model with an economic model to project China's future food trade patterns and embedded water resources by 2030 and to analyze the effects of targeted irrigation reductions on this system, notably on national agricultural water consumption and food self-sufficiency. We simulate interprovincial and international food trade with a general equilibrium welfare model and a linear programming optimization, and we obtain province-level estimates of commodities' virtual water content with a hydrologic model. We find that reducing irrigated land in regions highly dependent on scarce river flow and nonrenewable groundwater resources, such as Inner Mongolia and the greater Beijing area, can improve the efficiency of agriculture and trade regarding water resources. It can also avoid significant consumption of irrigation water across China (up to 14.8 km(3)/y, reduction by 14%), while incurring relatively small decreases in national food self-sufficiency (e.g., by 3% for wheat). Other researchers found that a national, rather than local, water policywould have similar effects on food production but would only reduce irrigation water consumption by 5%.</t>
  </si>
  <si>
    <t>10.1073/pnas.1504345112</t>
  </si>
  <si>
    <r>
      <rPr>
        <rFont val="Arial"/>
        <color rgb="FF1155CC"/>
        <u/>
      </rPr>
      <t>http://dx.doi.org/10.1073/pnas.1504345112</t>
    </r>
  </si>
  <si>
    <t>WOS:000352856800038</t>
  </si>
  <si>
    <r>
      <rPr>
        <rFont val="Arial"/>
        <color rgb="FF1155CC"/>
        <u/>
      </rPr>
      <t>View Full Record in Web of Science</t>
    </r>
  </si>
  <si>
    <t>Petrie, B; Barden, R; Kasprzyk-Hordern, B</t>
  </si>
  <si>
    <t>A review on emerging contaminants in wastewaters and the environment: Current knowledge, understudied areas and recommendations for future monitoring</t>
  </si>
  <si>
    <t>WATER RESEARCH</t>
  </si>
  <si>
    <t>This review identifies understudied areas of emerging contaminant (EC) research in wastewaters and the environment, and recommends direction for future monitoring. Non-regulated trace organic ECs including pharmaceuticals, illicit drugs and personal care products are focused on due to ongoing policy initiatives and the expectant broadening of environmental legislation. These ECs are ubiquitous in the aquatic environment, mainly derived from the discharge of municipal wastewater effluents. Their presence is of concern due to the possible ecological impact (e.g., endocrine disruption) to biota within the environment. To better understand their fate in wastewaters and in the environment, a standardised approach to sampling is needed. This ensures representative data is attained and facilitates a better understanding of spatial and temporal trends of EC occurrence. During, wastewater treatment, there is a lack of suspended particulate matter analysis due to further preparation requirements and a lack of good analytical approaches. This results in the under-reporting of several ECs entering wastewater treatment works (WwTWs) and the aquatic environment. Also, sludge can act as a concentrating medium for some chemicals during wastewater treatment. The majority of treated sludge is applied directly to agricultural land without analysis for ECs. As a result there is a paucity of information on the fate of ECs in soils and consequently, there has been no driver to investigate the toxicity to exposed terrestrial organisms. Therefore a more holistic approach to environmental monitoring is required, such that the fate and impact of ECs in all exposed environmental compartments are studied. The traditional analytical approach of applying targeted screening with low resolution mass spectrometry (e.g., triple quadrupoles) results in numerous chemicals such as transformation products going undetected. These can exhibit similar toxicity to the parent EC, demonstrating the necessity of using an integrated analytical approach which compliments targeted and non-targeted screening with biological assays to measure ecological impact. With respect to current :toxicity testing protocols, failure to consider the enantiomeric distribution of chiral compounds found in the environment, and the possible toxicological differences between enantiomers is concerning. Such information is essential for the development of more accurate environmental risk assessment. (C) 2014 The Authors. Published by Elsevier Ltd. This is an open access article under the CC BY license (http://creativecommons.org/licenses/by/3.0/).</t>
  </si>
  <si>
    <t>10.1016/j.watres.2014.08.053</t>
  </si>
  <si>
    <r>
      <rPr>
        <rFont val="Arial"/>
        <color rgb="FF1155CC"/>
        <u/>
      </rPr>
      <t>http://dx.doi.org/10.1016/j.watres.2014.08.053</t>
    </r>
  </si>
  <si>
    <t>Engineering, Environmental; Environmental Sciences; Water Resources</t>
  </si>
  <si>
    <t>WOS:000353605000002</t>
  </si>
  <si>
    <r>
      <rPr>
        <rFont val="Arial"/>
        <color rgb="FF1155CC"/>
        <u/>
      </rPr>
      <t>View Full Record in Web of Science</t>
    </r>
  </si>
  <si>
    <t>Aichele, R; Felbermayr, G</t>
  </si>
  <si>
    <t>KYOTO AND CARBON LEAKAGE: AN EMPIRICAL ANALYSIS OF THE CARBON CONTENT OF BILATERAL TRADE</t>
  </si>
  <si>
    <t>REVIEW OF ECONOMICS AND STATISTICS</t>
  </si>
  <si>
    <t>Has the Kyoto Protocol induced carbon leakage? We conduct the first empirical ex post evaluation of the protocol. We derive a theoretical gravity equation for the carbon dioxide content of trade, which accounts for intermediate inputs, both domestic and imported. The structure of our new panel database of the carbon content of sectoral bilateral trade flows allows controlling for the endogenous selection of countries into the Kyoto Protocol. Binding commitments under Kyoto have increased committed countries' embodied carbon imports from noncommitted countries by around 8% and the emission intensity of their imports by about 3%. Hence, Kyoto has indeed led to leakage.</t>
  </si>
  <si>
    <t>10.1162/REST_a_00438</t>
  </si>
  <si>
    <r>
      <rPr>
        <rFont val="Arial"/>
        <color rgb="FF1155CC"/>
        <u/>
      </rPr>
      <t>http://dx.doi.org/10.1162/REST_a_00438</t>
    </r>
  </si>
  <si>
    <t>Economics; Social Sciences, Mathematical Methods</t>
  </si>
  <si>
    <t>WOS:000350556700008</t>
  </si>
  <si>
    <r>
      <rPr>
        <rFont val="Arial"/>
        <color rgb="FF1155CC"/>
        <u/>
      </rPr>
      <t>View Full Record in Web of Science</t>
    </r>
  </si>
  <si>
    <t>Haddad, NM; Brudvig, LA; Clobert, J; Davies, KF; Gonzalez, A; Holt, RD; Lovejoy, TE; Sexton, JO; Austin, MP; Collins, CD; Cook, WM; Damschen, EI; Ewers, RM; Foster, BL; Jenkins, CN; King, AJ; Laurance, WF; Levey, DJ; Margules, CR; Melbourne, BA; Nicholls, AO; Orrock, JL; Song, DX; Townshend, JR</t>
  </si>
  <si>
    <t>Habitat fragmentation and its lasting impact on Earth's ecosystems</t>
  </si>
  <si>
    <t>We conducted an analysis of global forest cover to reveal that 70% of remaining forest is within 1 km of the forest's edge, subject to the degrading effects of fragmentation. A synthesis of fragmentation experiments spanning multiple biomes and scales, five continents, and 35 years demonstrates that habitat fragmentation reduces biodiversity by 13 to 75% and impairs key ecosystem functions by decreasing biomass and altering nutrient cycles. Effects are greatest in the smallest and most isolated fragments, and they magnify with the passage of time. These findings indicate an urgent need for conservation and restoration measures to improve landscape connectivity, which will reduce extinction rates and help maintain ecosystem services.</t>
  </si>
  <si>
    <t>10.1126/sciadv.1500052</t>
  </si>
  <si>
    <r>
      <rPr>
        <rFont val="Arial"/>
        <color rgb="FF1155CC"/>
        <u/>
      </rPr>
      <t>http://dx.doi.org/10.1126/sciadv.1500052</t>
    </r>
  </si>
  <si>
    <t>WOS:000216591000009</t>
  </si>
  <si>
    <r>
      <rPr>
        <rFont val="Arial"/>
        <color rgb="FF1155CC"/>
        <u/>
      </rPr>
      <t>View Full Record in Web of Science</t>
    </r>
  </si>
  <si>
    <t>Jambeck, JR; Geyer, R; Wilcox, C; Siegler, TR; Perryman, M; Andrady, A; Narayan, R; Law, KL</t>
  </si>
  <si>
    <t>Plastic waste inputs from land into the ocean</t>
  </si>
  <si>
    <t>Plastic debris in the marine environment is widely documented, but the quantity of plastic entering the ocean from waste generated on land is unknown. By linking worldwide data on solid waste, population density, and economic status, we estimated the mass of land-based plastic waste entering the ocean. We calculate that 275 million metric tons (MT) of plastic waste was generated in 192 coastal countries in 2010, with 4.8 to 12.7 million MT entering the ocean. Population size and the quality of waste management systems largely determine which countries contribute the greatest mass of uncaptured waste available to become plastic marine debris. Without waste management infrastructure improvements, the cumulative quantity of plastic waste available to enter the ocean from land is predicted to increase by an order of magnitude by 2025.</t>
  </si>
  <si>
    <t>10.1126/science.1260352</t>
  </si>
  <si>
    <r>
      <rPr>
        <rFont val="Arial"/>
        <color rgb="FF1155CC"/>
        <u/>
      </rPr>
      <t>http://dx.doi.org/10.1126/science.1260352</t>
    </r>
  </si>
  <si>
    <t>WOS:000349221300047</t>
  </si>
  <si>
    <r>
      <rPr>
        <rFont val="Arial"/>
        <color rgb="FF1155CC"/>
        <u/>
      </rPr>
      <t>View Full Record in Web of Science</t>
    </r>
  </si>
  <si>
    <t>Cai, WJ; Wang, GJ; Santoso, A; McPhaden, MJ; Wu, LX; Jin, FF; Timmermann, A; Collins, M; Vecchi, G; Lengaigne, M; England, MH; Dommenget, D; Takahashi, K; Guilyardi, E</t>
  </si>
  <si>
    <t>Increased frequency of extreme La Nina events under greenhouse warming</t>
  </si>
  <si>
    <t>NATURE CLIMATE CHANGE</t>
  </si>
  <si>
    <t>The El Nino/Southern Oscillation is Earth's most prominent source of interannual climate variability, alternating irregularly between El Nino and La Nina, and resulting in global disruption of weather patterns, ecosystems, fisheries and agriculture(1-5). The 1998-1999 extreme La Nina event that followed the 1997-1998 extreme El Nino event(6) switched extreme El Nino-induced severe droughts to devastating floods in western Pacific countries, and vice versa in the southwestern United States(4,7). During extreme La Nina events, cold sea surface conditions develop in the central Pacific(8,9), creating an enhanced temperature gradient from the Maritime continent to the central Pacific. Recent studies have revealed robust changes in El Nino characteristics in response to simulated future greenhouse warming(10-12), but how La Nina will change remains unclear. Here we present climate modelling evidence, from simulations conducted for the Coupled Model Intercomparison Project phase 5 (ref. 13), for a near doubling in the frequency of future extreme La Nina events, from one in every 23 years to one in every 13 years. This occurs because projected faster mean warming of the Maritime continent than the central Pacific, enhanced upper ocean vertical temperature gradients, and increased frequency of extreme El Nino events are conducive to development of the extreme La Nina events. Approximately 75% of the increase occurs in years following extreme El Nino events, thus projecting more frequent swings between opposite extremes from one year to the next.</t>
  </si>
  <si>
    <t>10.1038/NCLIMATE2492</t>
  </si>
  <si>
    <r>
      <rPr>
        <rFont val="Arial"/>
        <color rgb="FF1155CC"/>
        <u/>
      </rPr>
      <t>http://dx.doi.org/10.1038/NCLIMATE2492</t>
    </r>
  </si>
  <si>
    <t>Environmental Sciences; Environmental Studies; Meteorology &amp; Atmospheric Sciences</t>
  </si>
  <si>
    <t>WOS:000350327700022</t>
  </si>
  <si>
    <r>
      <rPr>
        <rFont val="Arial"/>
        <color rgb="FF1155CC"/>
        <u/>
      </rPr>
      <t>View Full Record in Web of Science</t>
    </r>
  </si>
  <si>
    <t>Mekonnen, MM; Pahlow, M; Aldaya, MM; Zarate, E; Hoekstra, AY</t>
  </si>
  <si>
    <t>Sustainability, Efficiency and Equitability of Water Consumption and Pollution in Latin America and the Caribbean</t>
  </si>
  <si>
    <t>SUSTAINABILITY</t>
  </si>
  <si>
    <t>This paper assesses the sustainability, efficiency and equity of water use in Latin America and the Caribbean (LAC) by means of a geographic Water Footprint Assessment (WFA). It aims to provide understanding of water use from both a production and consumption point of view. The study identifies priority basins and areas from the perspectives of blue water scarcity, water pollution and deforestation. Wheat, fodder crops and sugarcane are identified as priority products related to blue water scarcity. The domestic sector is the priority sector regarding water pollution from nitrogen. Soybean and pasture are priority products related to deforestation. We estimate that consumptive water use in crop production could be reduced by 37% and nitrogen-related water pollution by 44% if water footprints were reduced to certain specified benchmark levels. The average WF per consumer in the region is 28% larger than the global average and varies greatly, from 912 m(3)/year per capita in Nicaragua to 3468 m(3)/year in Bolivia. Ironically, the LAC region shows significant levels of undernourishment, although there is abundant water and food production in the region and substantial use of land and water for producing export crops like soybean.</t>
  </si>
  <si>
    <t>10.3390/su7022086</t>
  </si>
  <si>
    <r>
      <rPr>
        <rFont val="Arial"/>
        <color rgb="FF1155CC"/>
        <u/>
      </rPr>
      <t>http://dx.doi.org/10.3390/su7022086</t>
    </r>
  </si>
  <si>
    <t>Green &amp; Sustainable Science &amp; Technology; Environmental Sciences; Environmental Studies</t>
  </si>
  <si>
    <t>WOS:000350217700053</t>
  </si>
  <si>
    <r>
      <rPr>
        <rFont val="Arial"/>
        <color rgb="FF1155CC"/>
        <u/>
      </rPr>
      <t>View Full Record in Web of Science</t>
    </r>
  </si>
  <si>
    <t>Navarro-Ortega, A; Acuña, V; Bellin, A; Burek, P; Cassiani, G; Choukr-Allah, R; Dolédec, S; Elosegi, A; Ferrari, F; Ginebreda, A; Grathwohl, P; Jones, C; Rault, PK; Kok, K; Koundouri, P; Ludwig, RP; Merz, R; Milacic, R; Muñoz, I; Nikulin, G; Paniconi, C; Paunovic, M; Petrovic, M; Sabater, L; Sabater, S; Skoulikidis, NT; Slob, A; Teutsch, G; Voulvoulis, N; Barceló, D</t>
  </si>
  <si>
    <t>Managing the effects of multiple stressors on aquatic ecosystems under water scarcity. The GLOBAQUA project</t>
  </si>
  <si>
    <t>Water scarcity is a serious environmental problem in many European regions, and will likely increase in the near future as a consequence of increased abstraction and climate change. Water scarcity exacerbates the effects of multiple stressors, and thus results in decreased water quality. It impacts river ecosystems, threatens the services they provide, and it will force managers and policy-makers to change their current practices. The EU-FP7 project GLOBAQUA aims at identifying the prevalence, interaction and linkages between stressors, and to assess their effects on the chemical and ecological status of freshwater ecosystems in order to improve water management practice and policies. GLOBAQUA assembles a multidisciplinary team of 21 European plus 2 non-European scientific institutions, as well as water authorities and river basin managers. The project includes experts in hydrology, chemistry, biology, geomorphology, modelling, socio-economics, governance science, knowledge brokerage, and policy advocacy. GLOBAQUA studies six river basins (Ebro, Adige, Sava, Evrotas, Anglian and Souss Massa) affected by water scarcity, and aims to answer the following questions: how does water scarcity interact with other existing stressors in the study river basins? How will these interactions change according to the different scenarios of future global change? Which will be the foreseeable consequences for river ecosystems? How will these in turn affect the services the ecosystems provide? How should management and policies be adapted to minimise the ecological, economic and societal consequences? These questions will be approached by combining data-mining, field- and laboratory-based research, and modelling. Here, we outline the general structure of the project and the activities to be conducted within the fourteen work-packages of GLOBAQUA. (C) 2014 The Authors. Published by Elsevier B.V.</t>
  </si>
  <si>
    <t>10.1016/j.scitotenv.2014.06.081</t>
  </si>
  <si>
    <r>
      <rPr>
        <rFont val="Arial"/>
        <color rgb="FF1155CC"/>
        <u/>
      </rPr>
      <t>http://dx.doi.org/10.1016/j.scitotenv.2014.06.081</t>
    </r>
  </si>
  <si>
    <t>WOS:000345729000002</t>
  </si>
  <si>
    <r>
      <rPr>
        <rFont val="Arial"/>
        <color rgb="FF1155CC"/>
        <u/>
      </rPr>
      <t>View Full Record in Web of Science</t>
    </r>
  </si>
  <si>
    <t>van Vliet, J; de Groot, HLF; Rietveld, P; Verburg, PH</t>
  </si>
  <si>
    <t>Manifestations and underlying drivers of agricultural land use change in Europe</t>
  </si>
  <si>
    <t>LANDSCAPE AND URBAN PLANNING</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</si>
  <si>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</si>
  <si>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10.1016/j.landurbplan.2014.09.001</t>
  </si>
  <si>
    <r>
      <rPr>
        <rFont val="Arial"/>
        <color rgb="FF1155CC"/>
        <u/>
      </rPr>
      <t>http://dx.doi.org/10.1016/j.landurbplan.2014.09.001</t>
    </r>
  </si>
  <si>
    <t>Ecology; Environmental Studies; Geography; Geography, Physical; Regional &amp; Urban Planning; Urban Studies</t>
  </si>
  <si>
    <t>WOS:000346540600003</t>
  </si>
  <si>
    <r>
      <rPr>
        <rFont val="Arial"/>
        <color rgb="FF1155CC"/>
        <u/>
      </rPr>
      <t>View Full Record in Web of Science</t>
    </r>
  </si>
  <si>
    <t>Eriksen, M; Lebreton, LCM; Carson, HS; Thiel, M; Moore, CJ; Borerro, JC; Galgani, F; Ryan, PG; Reisser, J</t>
  </si>
  <si>
    <t>Plastic Pollution in the World's Oceans: More than 5 Trillion Plastic Pieces Weighing over 250,000 Tons Afloat at Sea</t>
  </si>
  <si>
    <t>Plastic pollution is ubiquitous throughout the marine environment, yet estimates of the global abundance and weight of floating plastics have lacked data, particularly from the Southern Hemisphere and remote regions. Here we report an estimate of the total number of plastic particles and their weight floating in the world's oceans from 24 expeditions (2007-2013) across all five sub-tropical gyres, costal Australia, Bay of Bengal and the Mediterranean Sea conducting surface net tows (N=680) and visual survey transects of large plastic debris (N=891). Using an oceanographic model of floating debris dispersal calibrated by our data, and correcting for wind-driven vertical mixing, we estimate a minimum of 5.25 trillion particles weighing 268,940 tons. When comparing between four size classes, two microplastic &lt;4.75 mm and meso- and macroplastic &gt;4.75 mm, a tremendous loss of microplastics is observed from the sea surface compared to expected rates of fragmentation, suggesting there are mechanisms at play that remove &lt;4.75 mm plastic particles from the ocean surface.</t>
  </si>
  <si>
    <t>10.1371/journal.pone.0111913</t>
  </si>
  <si>
    <r>
      <rPr>
        <rFont val="Arial"/>
        <color rgb="FF1155CC"/>
        <u/>
      </rPr>
      <t>http://dx.doi.org/10.1371/journal.pone.0111913</t>
    </r>
  </si>
  <si>
    <t>WOS:000346611400007</t>
  </si>
  <si>
    <r>
      <rPr>
        <rFont val="Arial"/>
        <color rgb="FF1155CC"/>
        <u/>
      </rPr>
      <t>View Full Record in Web of Science</t>
    </r>
  </si>
  <si>
    <t>Brodin, T; Piovano, S; Fick, J; Klaminder, J; Heynen, M; Jonsson, M</t>
  </si>
  <si>
    <t>Ecological effects of pharmaceuticals in aquatic systems-impacts through behavioural alterations</t>
  </si>
  <si>
    <t>PHILOSOPHICAL TRANSACTIONS OF THE ROYAL SOCIETY B-BIOLOGICAL SCIENCES</t>
  </si>
  <si>
    <t>The study of animal behaviour is important for both ecology and ecotoxicology, yet research in these two fields is currently developing independently. Here, we synthesize the available knowledge on drug-induced behavioural alterations in fish, discuss potential ecological consequences and report results from an experiment in which we quantify both uptake and behavioural impact of a psychiatric drug on a predatory fish (Perca fluviatilis) and its invertebrate prey (Coenagrion hastulatum). We show that perch became more active while damselfly behaviour was unaffected, illustrating that behavioural effects of pharmaceuticals can differ between species. Furthermore, we demonstrate that prey consumption can be an important exposure route as on average 46% of the pharmaceutical in ingested prey accumulated in the predator. This suggests that investigations of exposure through bioconcentration, where trophic interactions and subsequent bioaccumulation of exposed individuals are ignored, underestimate exposure. Wildlife may therefore be exposed to higher levels of behaviourally altering pharmaceuticals than predictions based on commonly used exposure assays and pharmaceutical concentrations found in environmental monitoring programmes.</t>
  </si>
  <si>
    <t>10.1098/rstb.2013.0580</t>
  </si>
  <si>
    <r>
      <rPr>
        <rFont val="Arial"/>
        <color rgb="FF1155CC"/>
        <u/>
      </rPr>
      <t>http://dx.doi.org/10.1098/rstb.2013.0580</t>
    </r>
  </si>
  <si>
    <t>WOS:000343114500010</t>
  </si>
  <si>
    <r>
      <rPr>
        <rFont val="Arial"/>
        <color rgb="FF1155CC"/>
        <u/>
      </rPr>
      <t>View Full Record in Web of Science</t>
    </r>
  </si>
  <si>
    <t>De Longueville, F; Hountondji, Y; Ozer, P; Henry, S</t>
  </si>
  <si>
    <t>The Air Quality in African Rural Environments. Preliminary Implications for Health: The Case of Respiratory Disease in the Northern Benin</t>
  </si>
  <si>
    <t>WATER AIR AND SOIL POLLUTION</t>
  </si>
  <si>
    <t>Recently, the World Health Organization's International Association for Research on Cancer classified outdoor air pollution as carcinogenic to humans and puts air pollution in the same category as tobacco smoke, UVradiation, and plutonium. The ambient air is polluted by emissions from motor vehicles, industrial processes, power generation, household combustion of solid fuel, and other sources. Dust storms lead to particulate levels that exceed internationally recommended levels, especially near the Sahara. However, this source of air pollution appears to be under-studied, particularly in the literature devoted to human health impacts in West Africa. More than 50 % of the total dust emitted into the atmosphere comes from the Sahara. These aerosols contribute to increase the concentrations of particles smaller than 10 mu m (PM10), which are breathable particles. This study is the first designed to assess the real impact of Saharan dust on air quality and respiratory health of children in a region ofWest Africa. Dust events having affected the Northern Benin during the dry seasons between 2003 and 2007 were determined. The analyzed health data are the monthly rates of acute lower respiratory infections (ALRI). Over the entire study period, 61 days of dust events were observed in the region. They recorded on average a daily PM10 concentration of 1017 mu g m(-3), more than 18 times higher than that calculated on all days without dust events. The study also highlighted a mean increase of 12.5 % of ALRI rates during the months recording dust events. The use of daily health data should help to refine these initial results in the future.</t>
  </si>
  <si>
    <t>10.1007/s11270-014-2186-4</t>
  </si>
  <si>
    <r>
      <rPr>
        <rFont val="Arial"/>
        <color rgb="FF1155CC"/>
        <u/>
      </rPr>
      <t>http://dx.doi.org/10.1007/s11270-014-2186-4</t>
    </r>
  </si>
  <si>
    <t>Environmental Sciences; Meteorology &amp; Atmospheric Sciences; Water Resources</t>
  </si>
  <si>
    <t>WOS:000343913200027</t>
  </si>
  <si>
    <r>
      <rPr>
        <rFont val="Arial"/>
        <color rgb="FF1155CC"/>
        <u/>
      </rPr>
      <t>View Full Record in Web of Science</t>
    </r>
  </si>
  <si>
    <t>Lal, R</t>
  </si>
  <si>
    <t>Soil conservation and ecosystem services</t>
  </si>
  <si>
    <t>INTERNATIONAL SOIL AND WATER CONSERVATION RESEARCH</t>
  </si>
  <si>
    <t>Accelerated soil erosion, driven by anthropogenic activities such as conversion of natural ecosystems to agroecosystems and mechanical tillage, has numerous adverse impacts on ecosystem services. In addition to degrading soil quality and reducing agronomic/ biomass productivity on-site through a decrease in use-efficiency of inputs, off-site impacts of accelerated erosion include eutrophication and contamination, sedimentation of reservoirs and waterways, and emissions of greenhouse gases (e. g., CO2, CH4 and N2O). While advancing food and nutritional security, adoption of restorative land use and recommended management practices are important to strengthening numerous ecosystem services such as improving water quality and renewability, increasing below and above-ground biodiversity, enhancing soil resilience to climate change and extreme events, and mitigating climate change by sequestering C in soil and reducing the emission of CO2, CH4 and N2O. An effective control of accelerated erosion is essential to sustainable development and improving the environment.</t>
  </si>
  <si>
    <t>10.1016/S2095-6339(15)30021-6</t>
  </si>
  <si>
    <r>
      <rPr>
        <rFont val="Arial"/>
        <color rgb="FF1155CC"/>
        <u/>
      </rPr>
      <t>http://dx.doi.org/10.1016/S2095-6339(15)30021-6</t>
    </r>
  </si>
  <si>
    <t>Environmental Sciences; Soil Science; Water Resources</t>
  </si>
  <si>
    <t>WOS:000435740500003</t>
  </si>
  <si>
    <r>
      <rPr>
        <rFont val="Arial"/>
        <color rgb="FF1155CC"/>
        <u/>
      </rPr>
      <t>View Full Record in Web of Science</t>
    </r>
  </si>
  <si>
    <t>Malaj, E; von der Ohe, PC; Grote, M; Kühne, R; Mondy, CP; Usseglio-Polatera, P; Brack, W; Schäfer, RB</t>
  </si>
  <si>
    <t>Organic chemicals jeopardize the health of freshwater ecosystems on the continental scale</t>
  </si>
  <si>
    <t>Organic chemicals can contribute to local and regional losses of freshwater biodiversity and ecosystem services. However, their overall relevance regarding larger spatial scales remains unknown. Here, we present, to our knowledge, the first risk assessment of organic chemicals on the continental scale comprising 4,000 European monitoring sites. Organic chemicals were likely to exert acute lethal and chronic long-term effects on sensitive fish, invertebrate, or algae species in 14% and 42% of the sites, respectively. Of the 223 chemicals monitored, pesticides, tributyltin, polycyclic aromatic hydrocarbons, and brominated flame retardants were the major contributors to the chemical risk. Their presence was related to agricultural and urban areas in the upstream catchment. The risk of potential acute lethal and chronic long-term effects increased with the number of ecotoxicologically relevant chemicals analyzed at each site. As most monitoring programs considered in this study only included a subset of these chemicals, our assessment likely underestimates the actual risk. Increasing chemical risk was associated with deterioration in the quality status of fish and invertebrate communities. Our results clearly indicate that chemical pollution is a large-scale environmental problem and requires far-reaching, holistic mitigation measures to preserve and restore ecosystem health.</t>
  </si>
  <si>
    <t>10.1073/pnas.1321082111</t>
  </si>
  <si>
    <r>
      <rPr>
        <rFont val="Arial"/>
        <color rgb="FF1155CC"/>
        <u/>
      </rPr>
      <t>http://dx.doi.org/10.1073/pnas.1321082111</t>
    </r>
  </si>
  <si>
    <t>WOS:000338118900055</t>
  </si>
  <si>
    <r>
      <rPr>
        <rFont val="Arial"/>
        <color rgb="FF1155CC"/>
        <u/>
      </rPr>
      <t>View Full Record in Web of Science</t>
    </r>
  </si>
  <si>
    <t>Nepstad, D; McGrath, D; Stickler, C; Alencar, A; Azevedo, A; Swette, B; Bezerra, T; DiGiano, M; Shimada, J; da Motta, RS; Armijo, E; Castello, L; Brando, P; Hansen, MC; McGrath-Horn, M; Carvalho, O; Hess, L</t>
  </si>
  <si>
    <t>Slowing Amazon deforestation through public policy and interventions in beef and soy supply chains</t>
  </si>
  <si>
    <t>The recent 70% decline in deforestation in the Brazilian Amazon suggests that it is possible to manage the advance of a vast agricultural frontier. Enforcement of laws, interventions in soy and beef supply chains, restrictions on access to credit, and expansion of protected areas appear to have contributed to this decline, as did a decline in the demand for new deforestation. The supply chain interventions that fed into this deceleration are precariously dependent on corporate risk management, and public policies have relied excessively on punitive measures. Systems for delivering positive incentives for farmers to forgo deforestation have been designed but not fully implemented. Territorial approaches to deforestation have been effective and could consolidate progress in slowing deforestation while providing a framework for addressing other important dimensions of sustainable development.</t>
  </si>
  <si>
    <t>10.1126/science.1248525</t>
  </si>
  <si>
    <r>
      <rPr>
        <rFont val="Arial"/>
        <color rgb="FF1155CC"/>
        <u/>
      </rPr>
      <t>http://dx.doi.org/10.1126/science.1248525</t>
    </r>
  </si>
  <si>
    <t>WOS:000336791200038</t>
  </si>
  <si>
    <r>
      <rPr>
        <rFont val="Arial"/>
        <color rgb="FF1155CC"/>
        <u/>
      </rPr>
      <t>View Full Record in Web of Science</t>
    </r>
  </si>
  <si>
    <t>Franzke, CLE</t>
  </si>
  <si>
    <t>WARMING TRENDS Nonlinear climate change</t>
  </si>
  <si>
    <t>Editorial Material</t>
  </si>
  <si>
    <t>10.1038/nclimate2245</t>
  </si>
  <si>
    <r>
      <rPr>
        <rFont val="Arial"/>
        <color rgb="FF1155CC"/>
        <u/>
      </rPr>
      <t>http://dx.doi.org/10.1038/nclimate2245</t>
    </r>
  </si>
  <si>
    <t>WOS:000337138700011</t>
  </si>
  <si>
    <r>
      <rPr>
        <rFont val="Arial"/>
        <color rgb="FF1155CC"/>
        <u/>
      </rPr>
      <t>View Full Record in Web of Science</t>
    </r>
  </si>
  <si>
    <t>Moschet, C; Wittmer, I; Simovic, J; Junghans, M; Piazzoli, A; Singer, H; Stamm, C; Leu, C; Hollender, J</t>
  </si>
  <si>
    <t>How a Complete Pesticide Screening Changes the Assessment of Surface Water Quality</t>
  </si>
  <si>
    <t>ENVIRONMENTAL SCIENCE &amp; TECHNOLOGY</t>
  </si>
  <si>
    <t>A comprehensive assessment of pesticides in surface waters is challenging due to the large number of potential contaminants. Most scientific studies and routine monitoring programs include only 15-40 pesticides, which leads to error-prone interpretations. In the present study, an extensive analytical screening was carried out using liquid chromatography-high-resolution mass spectrometry, covering 86% of all polar organic pesticides sold in Switzerland and applied to agricultural or urban land (in total 249 compounds), plus 134 transformation products; each of which could be quantified in the low ng/L range. Five medium-sized rivers, containing large areas of diverse crops and urban settlements within the respective catchments, were sampled between March and July 2012. More than 100 parent compounds and 40 transformation products were detected in total, between 30 and compounds in each two-week composite sample in concentrations up to 1500 ng/L. The sum of pesticide concentrations was above 1000 ng/L in 78% of samples. The chronic environmental quality standard was exceeded for 19 single substances; using a mixture toxicity approach, exceedances occurred over the whole measurement period in all rivers. With scenario calculations including only 30-40 frequently measured pesticides, the number of detected substances and the mixture toxicity would be underestimated on average by a factor of 2. Thus, selecting a subset of substances to assess the surface water quality may be sufficient, but a comprehensive screening yields substantially more confidence.</t>
  </si>
  <si>
    <t>10.1021/es500371t</t>
  </si>
  <si>
    <r>
      <rPr>
        <rFont val="Arial"/>
        <color rgb="FF1155CC"/>
        <u/>
      </rPr>
      <t>http://dx.doi.org/10.1021/es500371t</t>
    </r>
  </si>
  <si>
    <t>Engineering, Environmental; Environmental Sciences</t>
  </si>
  <si>
    <t>WOS:000336415200011</t>
  </si>
  <si>
    <r>
      <rPr>
        <rFont val="Arial"/>
        <color rgb="FF1155CC"/>
        <u/>
      </rPr>
      <t>View Full Record in Web of Science</t>
    </r>
  </si>
  <si>
    <t>Haddeland, I; Heinke, J; Biemans, H; Eisner, S; Flörke, M; Hanasaki, N; Konzmann, M; Ludwig, F; Masaki, Y; Schewe, J; Stacke, T; Tessler, ZD; Wada, Y; Wisser, D</t>
  </si>
  <si>
    <t>Global water resources affected by human interventions and climate change</t>
  </si>
  <si>
    <t>Humans directly change the dynamics of the water cycle through dams constructed for water storage, and through water withdrawals for industrial, agricultural, or domestic purposes. Climate change is expected to additionally affect water supply and demand. Here, analyses of climate change and direct human impacts on the terrestrial water cycle are presented and compared using a multimodel approach. Seven global hydrological models have been forced with multiple climate projections, and with and without taking into account impacts of human interventions such as dams and water withdrawals on the hydrological cycle. Model results are analyzed for different levels of global warming, allowing for analyses in line with temperature targets for climate change mitigation. The results indicate that direct human impacts on the water cycle in some regions, e. g., parts of Asia and in the western United States, are of the same order of magnitude, or even exceed impacts to be expected for moderate levels of global warming (+2 K). Despite some spread in model projections, irrigation water consumption is generally projected to increase with higher global mean temperatures. Irrigation water scarcity is particularly large in parts of southern and eastern Asia, and is expected to become even larger in the future.</t>
  </si>
  <si>
    <t>10.1073/pnas.1222475110</t>
  </si>
  <si>
    <r>
      <rPr>
        <rFont val="Arial"/>
        <color rgb="FF1155CC"/>
        <u/>
      </rPr>
      <t>http://dx.doi.org/10.1073/pnas.1222475110</t>
    </r>
  </si>
  <si>
    <t>WOS:000332560300026</t>
  </si>
  <si>
    <r>
      <rPr>
        <rFont val="Arial"/>
        <color rgb="FF1155CC"/>
        <u/>
      </rPr>
      <t>View Full Record in Web of Science</t>
    </r>
  </si>
  <si>
    <t>Cazenave, A; Le Cozannet, G</t>
  </si>
  <si>
    <t>Sea level rise and its coastal impacts</t>
  </si>
  <si>
    <t>EARTHS FUTURE</t>
  </si>
  <si>
    <t>Global warming in response to accumulation of human-induced greenhouse gases inside the atmosphere has already caused several visible consequences, among them increase of the Earth's mean temperature and ocean heat content, melting of glaciers, and loss of ice from the Greenland and Antarctica ice sheets. Ocean warming and land ice melt in turn are causing sea level to rise. Sea level rise and its impacts on coastal zones have become a question of growing interest in the scientific community, as well as in the media and public. In this review paper, we summarize the most up-to-date knowledge about sea level rise and its causes, highlighting the regional variability that superimposes the global mean rise. We also present sea level projections for the 21st century under different warming scenarios. We next address the issue of the sea level rise impacts. We question whether there is already observational evidence of coastal impacts of sea level rise and highlight the fact that results differ from one location to another. This suggests that the response of coastal systems to sea level rise is highly dependent on local natural and human settings. We finally show that in spite of remaining uncertainties about future sea levels and related impacts, it becomes possible to provide preliminary assessment of regional impacts of sea level rise.</t>
  </si>
  <si>
    <t>10.1002/2013EF000188</t>
  </si>
  <si>
    <r>
      <rPr>
        <rFont val="Arial"/>
        <color rgb="FF1155CC"/>
        <u/>
      </rPr>
      <t>http://dx.doi.org/10.1002/2013EF000188</t>
    </r>
  </si>
  <si>
    <t>Environmental Sciences; Geosciences, Multidisciplinary; Meteorology &amp; Atmospheric Sciences</t>
  </si>
  <si>
    <t>WOS:000358125500001</t>
  </si>
  <si>
    <r>
      <rPr>
        <rFont val="Arial"/>
        <color rgb="FF1155CC"/>
        <u/>
      </rPr>
      <t>View Full Record in Web of Science</t>
    </r>
  </si>
  <si>
    <t>Rickson, RJ</t>
  </si>
  <si>
    <t>Can control of soil erosion mitigate water pollution by sediments?</t>
  </si>
  <si>
    <t>The detrimental impact of sediment and associated pollutants on water quality is widely acknowledged, with many watercourses in the UK failing to meet the standard of 'good ecological status'. Catchment sediment budgets show that hill slope erosion processes can be significant sources of waterborne sediment, with rates of erosion likely to increase given predicted future weather patterns. However, linking on-site erosion rates with off-site impacts is complicated because of the limited data on soil erosion rates in the UK and the dynamic nature of the source pathway receptor continuum over space and time. Even so, soil erosion control measures are designed to reduce sediment production (source) and mobilisation/transport (pathway) on hill slopes, with consequent mitigation of pollution incidents in watercourses (receptors). The purpose of this paper is to review the scientific evidence of the effectiveness of erosion control measures used in the UK to reduce sediment loads of hill slope origin in watercourses. Although over 73 soil erosion mitigation measures have been identified from the literature, empirical data on erosion control effectiveness are limited. Baseline comparisons for the 18 measures where data do exist reveal erosion control effectiveness is highly variable over time and between study locations. Given the limitations of the evidence base in terms of geographical coverage and duration of monitoring, performance of the different measures cannot be extrapolated to other areas. This uncertainty in effectiveness has implications for implementing erosion/sediment risk reduction policies, where quantified targets are stipulated, as is the case in the EU Freshwater Fish and draft Soil Framework Directives. Also, demonstrating technical effectiveness of erosion control measures alone will not encourage uptake by land managers: quantifying the costs and benefits of adopting erosion mitigation is equally important, but these are uncertain and difficult to express in monetary terms. (C) 2013 Elsevier B.V. All rights reserved.</t>
  </si>
  <si>
    <t>10.1016/j.scitotenv.2013.05.057</t>
  </si>
  <si>
    <r>
      <rPr>
        <rFont val="Arial"/>
        <color rgb="FF1155CC"/>
        <u/>
      </rPr>
      <t>http://dx.doi.org/10.1016/j.scitotenv.2013.05.057</t>
    </r>
  </si>
  <si>
    <t>WOS:000331776000125</t>
  </si>
  <si>
    <r>
      <rPr>
        <rFont val="Arial"/>
        <color rgb="FF1155CC"/>
        <u/>
      </rPr>
      <t>View Full Record in Web of Science</t>
    </r>
  </si>
  <si>
    <t>Gypens, N; Borges, AV</t>
  </si>
  <si>
    <t>Increase in dimethylsulfide (DMS) emissions due to eutrophication of coastal waters offsets their reduction due to ocean acidification</t>
  </si>
  <si>
    <t>Available information from manipulative experiments suggested that the emission of dimethylsulfide (DMS) would decrease in response to the accumulation of anthropogenic CO2 in the ocean (ocean acidification). However, in coastal environments, the carbonate chemistry of surface waters was also strongly modified by eutrophication and related changes in biological activity (increased primary production and change in phytoplankton dominance) during the last 50 years. Here, we tested the hypothesis that DMS emissions in marine coastal environments also strongly responded to eutrophication in addition to ocean acidification at decadal timescales. We used the R-MIRO-BIOGAS model in the eutrophied Southern Bight of the North Sea characterized by intense blooms of Phaeocystis that are high producers of dimethylsulfoniopropionate (DMSP), the precursor of DMS. We showed that, for the period from 1951 to 2007, eutrophication actually led to an increase of DMS emissions much stronger than the response of DMS emissions to ocean acidification.</t>
  </si>
  <si>
    <t>10.3389/fmars.2014.00004</t>
  </si>
  <si>
    <r>
      <rPr>
        <rFont val="Arial"/>
        <color rgb="FF1155CC"/>
        <u/>
      </rPr>
      <t>http://dx.doi.org/10.3389/fmars.2014.00004</t>
    </r>
  </si>
  <si>
    <t>WOS:000485310600004</t>
  </si>
  <si>
    <r>
      <rPr>
        <rFont val="Arial"/>
        <color rgb="FF1155CC"/>
        <u/>
      </rPr>
      <t>View Full Record in Web of Science</t>
    </r>
  </si>
  <si>
    <t>Kanemoto, K; Moran, D; Lenzen, M; Geschke, A</t>
  </si>
  <si>
    <t>International trade undermines national emission reduction targets: New evidence from air pollution</t>
  </si>
  <si>
    <t>Many developed countries in Annex B of the Kyoto Protocol have been able to report decreasing emissions, and some have officially fulfilled their CO2 reduction commitments. This is in part because current reporting and regulatory regimes allow these countries to displace emissions intensive production offshore. Using a new highly detailed account of emissions embodied in international trade we investigate this phenomenon of emissions leakage. We independently confirm previous findings that adjusting for trade, developed countries emissions have increased, not decreased. We find that the sectors successfully holding or lowering their domestic emissions are often the same as those increasing their imports of embodied CO2. We also find that the fastest growing flow paths of embodied CO2 largely originate outside the Kyoto Annex B signatory nations. Finally, we find that historically the same phenomenon of emissions displacement has already occurred for air pollution, with the result that despite aggressive legislation in major emitters total global air pollution emissions have increased. If regulatory policies do not account for embodied imports, global emissions are likely to rise even if developed countries emitters enforce strong national emissions targets. (C) 2013 Elsevier Ltd. All rights reserved.</t>
  </si>
  <si>
    <t>10.1016/j.gloenvcha.2013.09.008</t>
  </si>
  <si>
    <r>
      <rPr>
        <rFont val="Arial"/>
        <color rgb="FF1155CC"/>
        <u/>
      </rPr>
      <t>http://dx.doi.org/10.1016/j.gloenvcha.2013.09.008</t>
    </r>
  </si>
  <si>
    <t>WOS:000333506100007</t>
  </si>
  <si>
    <r>
      <rPr>
        <rFont val="Arial"/>
        <color rgb="FF1155CC"/>
        <u/>
      </rPr>
      <t>View Full Record in Web of Science</t>
    </r>
  </si>
  <si>
    <t>Sato, T; Qadir, M; Yamamoto, S; Endo, T; Zahoor, A</t>
  </si>
  <si>
    <t>Global, regional, and country level need for data on wastewater generation, treatment, and use</t>
  </si>
  <si>
    <t>AGRICULTURAL WATER MANAGEMENT</t>
  </si>
  <si>
    <t>Irrigation with wastewater supports agricultural production and the livelihoods of millions of smallholder farmers in many parts of the world. Considering the importance of better wastewater management at the local and national levels, there is a need for updated national data on wastewater generation, treatment, and use, which would also assist in regional and global wastewater assessments. While searching data and literature in published or electronic forms for 181 countries, we find that only 55 countries have data available on all three aspects of wastewater - generation, treatment, and use. The number of countries with one or two aspects of wastewater generation, treatment, and use is 69, while there is no information available from 57 countries. Of the available information, only 37% of the data could be categorized as recent (reported during 2008-2012). The available data suggest that high-income countries on average treat 70% of the generated wastewater, followed by upper-middle-income countries (38%), lower-middle-income countries (28%), and low-income countries, where only 8% of the wastewater generated is treated. The availability of current information on wastewater generation, treatment, and use is crucially important for policy makers, researchers, and practitioners, as well as public institutions, to develop national and local action plans aiming at safe and productive use of wastewater in agriculture, aquaculture, and agroforestry systems. The country level information aggregated at the regional and global levels would help in identifying the gaps in pertinent data availability and assessing the potential of wastewater in food, feed, and fish production at different scales. (C) 2013 Elsevier B.V. All rights reserved.</t>
  </si>
  <si>
    <t>10.1016/j.agwat.2013.08.007</t>
  </si>
  <si>
    <r>
      <rPr>
        <rFont val="Arial"/>
        <color rgb="FF1155CC"/>
        <u/>
      </rPr>
      <t>http://dx.doi.org/10.1016/j.agwat.2013.08.007</t>
    </r>
  </si>
  <si>
    <t>Agronomy; Water Resources</t>
  </si>
  <si>
    <t>WOS:000326559900001</t>
  </si>
  <si>
    <r>
      <rPr>
        <rFont val="Arial"/>
        <color rgb="FF1155CC"/>
        <u/>
      </rPr>
      <t>View Full Record in Web of Science</t>
    </r>
  </si>
  <si>
    <t>Six, KD; Kloster, S; Ilyina, T; Archer, SD; Zhang, K; Maier-Reimer, E</t>
  </si>
  <si>
    <t>Global warming amplified by reduced sulphur fluxes as a result of ocean acidification</t>
  </si>
  <si>
    <t>Climate change and decreasing seawater pH (ocean acidification)(1) have widely been considered as uncoupled consequences of the anthropogenic CO2 perturbation(2,3). Recently, experiments in seawater enclosures (mesocosms) showed that concentrations of dimethylsulphide (DMS), a biogenic sulphur compound, were markedly lower in a low-pH (e)nvironment4. Marine DMS emissions are the largest natural source of atmospheric sulphur(5) and changes in their strength have the potential to alter the Earth's radiation budget(6). Here we establish observational-based relationships between pH changes and DMS concentrations to estimate changes in future DMS emissions with Earth system model(7) climate simulations. Global DMS emissions decrease by about 18(+/-3)% in 2100 compared with pre-industrial times as a result of the combined effects of ocean acidification and climate change. The reduced DMS emissions induce a significant additional radiative forcing, of which 83% is attributed to the impact of ocean acidification, tantamount to an equilibrium temperature response between 0.23 and 0.48 K. Our results indicate that ocean acidification has the potential to exacerbate anthropogenic warming through a mechanism that is not considered at present in projections of future climate change.</t>
  </si>
  <si>
    <t>10.1038/NCLIMATE1981</t>
  </si>
  <si>
    <r>
      <rPr>
        <rFont val="Arial"/>
        <color rgb="FF1155CC"/>
        <u/>
      </rPr>
      <t>http://dx.doi.org/10.1038/NCLIMATE1981</t>
    </r>
  </si>
  <si>
    <t>WOS:000330125100016</t>
  </si>
  <si>
    <r>
      <rPr>
        <rFont val="Arial"/>
        <color rgb="FF1155CC"/>
        <u/>
      </rPr>
      <t>View Full Record in Web of Science</t>
    </r>
  </si>
  <si>
    <t>Hoornweg, D; Bhada-Tata, P; Kennedy, C</t>
  </si>
  <si>
    <t>Waste production must peak this century</t>
  </si>
  <si>
    <t>10.1038/502615a</t>
  </si>
  <si>
    <r>
      <rPr>
        <rFont val="Arial"/>
        <color rgb="FF1155CC"/>
        <u/>
      </rPr>
      <t>http://dx.doi.org/10.1038/502615a</t>
    </r>
  </si>
  <si>
    <t>WOS:000326293200021</t>
  </si>
  <si>
    <r>
      <rPr>
        <rFont val="Arial"/>
        <color rgb="FF1155CC"/>
        <u/>
      </rPr>
      <t>View Full Record in Web of Science</t>
    </r>
  </si>
  <si>
    <t>Meyfroidt, P; Lambin, EF; Erb, KH; Hertel, TW</t>
  </si>
  <si>
    <t>Globalization of land use: distant drivers of land change and geographic displacement of land use</t>
  </si>
  <si>
    <t>CURRENT OPINION IN ENVIRONMENTAL SUSTAINABILITY</t>
  </si>
  <si>
    <t>Several streams of research have recently converged to identify the growing importance of distant drivers of land change, interconnections between social-ecological systems that are separated geographically, and the indirect consequences of land use changes. Local to national-scale interventions to promote sustainable land use may have unintended effects owing to a displacement of land use within and across countries. Such leakage or 'indirect land use change' critically depends on international geographies of trade. Computing various material flows and environmental indicators embodied in international trade highlights the differences between producer and consumer-based biophysical accounting. Causal attribution of the links between material and monetary flows across countries, and actual land changes and environmental impacts at local level requires a combination of economic simulation models, statistical studies, place-based empirical studies, value chain analyses, and biophysical accounting.</t>
  </si>
  <si>
    <t>10.1016/j.cosust.2013.04.003</t>
  </si>
  <si>
    <r>
      <rPr>
        <rFont val="Arial"/>
        <color rgb="FF1155CC"/>
        <u/>
      </rPr>
      <t>http://dx.doi.org/10.1016/j.cosust.2013.04.003</t>
    </r>
  </si>
  <si>
    <t>Green &amp; Sustainable Science &amp; Technology; Environmental Sciences</t>
  </si>
  <si>
    <t>WOS:000325843700002</t>
  </si>
  <si>
    <r>
      <rPr>
        <rFont val="Arial"/>
        <color rgb="FF1155CC"/>
        <u/>
      </rPr>
      <t>View Full Record in Web of Science</t>
    </r>
  </si>
  <si>
    <t>Beketov, MA; Kefford, BJ; Schäfer, RB; Liess, M</t>
  </si>
  <si>
    <t>Pesticides reduce regional biodiversity of stream invertebrates</t>
  </si>
  <si>
    <t>The biodiversity crisis is one of the greatest challenges facing humanity, but our understanding of the drivers remains limited. Thus, after decades of studies and regulation efforts, it remains unknown whether to what degree and at what concentrations modern agricultural pesticides cause regional-scale species losses. We analyzed the effects of pesticides on the regional taxa richness of stream invertebrates in Europe (Germany and France) and Australia (southern Victoria). Pesticides caused statistically significant effects on both the species and family richness in both regions, with losses in taxa up to 42% of the recorded taxonomic pools. Furthermore, the effects in Europe were detected at concentrations that current legislation considers environmentally protective. Thus, the current ecological risk assessment of pesticides falls short of protecting biodiversity, and new approaches linking ecology and ecotoxicology are needed.</t>
  </si>
  <si>
    <t>10.1073/pnas.1305618110</t>
  </si>
  <si>
    <r>
      <rPr>
        <rFont val="Arial"/>
        <color rgb="FF1155CC"/>
        <u/>
      </rPr>
      <t>http://dx.doi.org/10.1073/pnas.1305618110</t>
    </r>
  </si>
  <si>
    <t>WOS:000321978000046</t>
  </si>
  <si>
    <r>
      <rPr>
        <rFont val="Arial"/>
        <color rgb="FF1155CC"/>
        <u/>
      </rPr>
      <t>View Full Record in Web of Science</t>
    </r>
  </si>
  <si>
    <t>Krausmann, F; Erb, KH; Gingrich, S; Haberl, H; Bondeau, A; Gaube, V; Lauk, C; Plutzar, C; Searchinger, TD</t>
  </si>
  <si>
    <t>Global human appropriation of net primary production doubled in the 20th century</t>
  </si>
  <si>
    <t>Global increases in population, consumption, and gross domestic product raise concerns about the sustainability of the current and future use of natural resources. The human appropriation of net primary production (HANPP) provides a useful measure of human intervention into the biosphere. The productive capacity of land is appropriated by harvesting or burning biomass and by converting natural ecosystems to managed lands with lower productivity. This work analyzes trends in HANPP from 1910 to 2005 and finds that although human population has grown fourfold and economic output 17-fold, global HANPP has only doubled. Despite this increase in efficiency, HANPP has still risen from 6.9 Gt of carbon per y in 1910 to 14.8 GtC/y in 2005, i.e., from 13% to 25% of the net primary production of potential vegetation. Biomass harvested per capita and year has slightly declined despite growth in consumption because of a decline in reliance on bioenergy and higher conversion efficiencies of primary biomass to products. The rise in efficiency is overwhelmingly due to increased crop yields, albeit frequently associated with substantial ecological costs, such as fossil energy inputs, soil degradation, and biodiversity loss. If humans can maintain the past trend lines in efficiency gains, we estimate that HANPP might only grow to 27-29% by 2050, but providing large amounts of bioenergy could increase global HANPP to 44%. This result calls for caution in refocusing the energy economy on land-based resources and for strategies that foster the continuation of increases in land-use efficiency without excessively increasing ecological costs of intensification.</t>
  </si>
  <si>
    <t>10.1073/pnas.1211349110</t>
  </si>
  <si>
    <r>
      <rPr>
        <rFont val="Arial"/>
        <color rgb="FF1155CC"/>
        <u/>
      </rPr>
      <t>http://dx.doi.org/10.1073/pnas.1211349110</t>
    </r>
  </si>
  <si>
    <t>WOS:000321500200066</t>
  </si>
  <si>
    <r>
      <rPr>
        <rFont val="Arial"/>
        <color rgb="FF1155CC"/>
        <u/>
      </rPr>
      <t>View Full Record in Web of Science</t>
    </r>
  </si>
  <si>
    <t>Van Dijk, TC; Van Staalduinen, MA; Van der Sluijs, JP</t>
  </si>
  <si>
    <t>Macro-Invertebrate Decline in Surface Water Polluted with Imidacloprid</t>
  </si>
  <si>
    <t>Imidacloprid is one of the most widely used insecticides in the world. Its concentration in surface water exceeds the water quality norms in many parts of the Netherlands. Several studies have demonstrated harmful effects of this neonicotinoid to a wide range of non-target species. Therefore we expected that surface water pollution with imidacloprid would negatively impact aquatic ecosystems. Availability of extensive monitoring data on the abundance of aquatic macro-invertebrate species, and on imidacloprid concentrations in surface water in the Netherlands enabled us to test this hypothesis. Our regression analysis showed a significant negative relationship (P&lt;0.001) between macro-invertebrate abundance and imidacloprid concentration for all species pooled. A significant negative relationship was also found for the orders Amphipoda, Basommatophora, Diptera, Ephemeroptera and Isopoda, and for several species separately. The order Odonata had a negative relationship very close to the significance threshold of 0.05 (P &lt;0.051). However, in accordance with previous research, a positive relationship was found for the order Actinedida. We used the monitoring field data to test whether the existing three water quality norms for imidacloprid in the Netherlands are protective in real conditions. Our data show that macrofauna abundance drops sharply between 13 and 67 ng l(-1). For aquatic ecosystem protection, two of the norms are not protective at all while the strictest norm of 13 ng l(-1) (MTR) seems somewhat protective. In addition to the existing experimental evidence on the negative effects of imidacloprid on invertebrate life, our study, based on data from large-scale field monitoring during multiple years, shows that serious concern about the far-reaching consequences of the abundant use of imidacloprid for aquatic ecosystems is justified.</t>
  </si>
  <si>
    <t>10.1371/journal.pone.0062374</t>
  </si>
  <si>
    <r>
      <rPr>
        <rFont val="Arial"/>
        <color rgb="FF1155CC"/>
        <u/>
      </rPr>
      <t>http://dx.doi.org/10.1371/journal.pone.0062374</t>
    </r>
  </si>
  <si>
    <t>WOS:000319167000043</t>
  </si>
  <si>
    <r>
      <rPr>
        <rFont val="Arial"/>
        <color rgb="FF1155CC"/>
        <u/>
      </rPr>
      <t>View Full Record in Web of Science</t>
    </r>
  </si>
  <si>
    <t>Chidumayo, EN; Gumbo, DJ</t>
  </si>
  <si>
    <t>The environmental impacts of charcoal production in tropical ecosystems of the world: A synthesis</t>
  </si>
  <si>
    <t>ENERGY FOR SUSTAINABLE DEVELOPMENT</t>
  </si>
  <si>
    <t>Charcoal production in tropical regions of the world is often perceived to have devastating ecological and environmental effects and governments, public forestry institutions and non government organizations have been particularly concerned about these charcoal-related impacts. The most commonly cited impact is deforestation, i.e., the clearance of forest or woodland. At a small spatial scale this may indeed be the case but on a larger landscape scale charcoal production most frequently results only in forest degradation. Much of the charcoal in tropical countries is commonly made in traditional earth and pit kilns with a wood-to-charcoal conversion rate of about 20% and in 2009 the contribution of charcoal production to deforestation in tropical countries with the highest rates of deforestation is estimated at less than 7%. A large proportion of the area utilized for charcoal production has the potential for rapid forest recovery especially with good post-harvest management. There are conflicting reports on the effects of deforestation on catchment hydrology with the majority of small catchment studies indicating increased runoff and low evapotranspiration while studies of large basins have shown no such changes. Emissions of greenhouse gases from charcoal production in tropical ecosystems in 2009 are estimated at 71.2 million t for carbon dioxide and 1.3 million t for methane. The failure of past charcoal policies to address environmental impacts and achieve sustainability can be attributed to erroneous assumptions and predictions by national and international organizations regarding wood-based fuels. Possible ways of enhancing charcoal policies' legitimacy and therefore effective implementation are multi-stakeholder participation and demonstration of coherence with globally recognized principles, goals and relevant international regimes, such as the Millennium Development Goals (MDGs). In this way charcoal production can significantly contribute to poverty reduction and environmental sustainability. (C) 2012 International Energy Initiative. Published by Elsevier Inc. All rights reserved.</t>
  </si>
  <si>
    <t>10.1016/j.esd.2012.07.004</t>
  </si>
  <si>
    <r>
      <rPr>
        <rFont val="Arial"/>
        <color rgb="FF1155CC"/>
        <u/>
      </rPr>
      <t>http://dx.doi.org/10.1016/j.esd.2012.07.004</t>
    </r>
  </si>
  <si>
    <t>Green &amp; Sustainable Science &amp; Technology; Energy &amp; Fuels</t>
  </si>
  <si>
    <t>WOS:000317091400003</t>
  </si>
  <si>
    <r>
      <rPr>
        <rFont val="Arial"/>
        <color rgb="FF1155CC"/>
        <u/>
      </rPr>
      <t>View Full Record in Web of Science</t>
    </r>
  </si>
  <si>
    <t>Ausubel, JH; Wernick, IK; Waggoner, PE</t>
  </si>
  <si>
    <t>Peak Farmland and the Prospect for Land Sparing</t>
  </si>
  <si>
    <t>POPULATION AND DEVELOPMENT REVIEW</t>
  </si>
  <si>
    <t>10.1111/j.1728-4457.2013.00561.x</t>
  </si>
  <si>
    <r>
      <rPr>
        <rFont val="Arial"/>
        <color rgb="FF1155CC"/>
        <u/>
      </rPr>
      <t>http://dx.doi.org/10.1111/j.1728-4457.2013.00561.x</t>
    </r>
  </si>
  <si>
    <t>Demography; Sociology</t>
  </si>
  <si>
    <t>WOS:000315224500015</t>
  </si>
  <si>
    <r>
      <rPr>
        <rFont val="Arial"/>
        <color rgb="FF1155CC"/>
        <u/>
      </rPr>
      <t>View Full Record in Web of Science</t>
    </r>
  </si>
  <si>
    <t>Klimont, Z; Smith, SJ; Cofala, J</t>
  </si>
  <si>
    <t>The last decade of global anthropogenic sulfur dioxide: 2000-2011 emissions</t>
  </si>
  <si>
    <t>The evolution of global and regional anthropogenic SO2 emissions in the last decade has been estimated through a bottom-up calculation. After increasing until about 2006, we estimate a declining trend continuing until 2011. However, there is strong spatial variability, with North America and Europe continuing to reduce emissions, with an increasing role of Asia and international shipping. China remains a key contributor, but the introduction of stricter emission limits followed by an ambitious program of installing flue gas desulfurization on power plants resulted in a significant decline in emissions from the energy sector and stabilization of total Chinese SO2 emissions. Comparable mitigation strategies are not yet present in several other Asian countries and industrial sectors in general, while emissions from international shipping are expected to start declining soon following an international agreement to reduce the sulfur content of fuel oil. The estimated trends in global SO2 emissions are within the range of representative concentration pathway (RCP) projections and the uncertainty previously estimated for the year 2005.</t>
  </si>
  <si>
    <t>10.1088/1748-9326/8/1/014003</t>
  </si>
  <si>
    <r>
      <rPr>
        <rFont val="Arial"/>
        <color rgb="FF1155CC"/>
        <u/>
      </rPr>
      <t>http://dx.doi.org/10.1088/1748-9326/8/1/014003</t>
    </r>
  </si>
  <si>
    <t>WOS:000316998300011</t>
  </si>
  <si>
    <r>
      <rPr>
        <rFont val="Arial"/>
        <color rgb="FF1155CC"/>
        <u/>
      </rPr>
      <t>View Full Record in Web of Science</t>
    </r>
  </si>
  <si>
    <t>Simberloff, D; Martin, JL; Genovesi, P; Maris, V; Wardle, DA; Aronson, J; Courchamp, F; Galil, B; García-Berthou, E; Pascal, M; Pysek, P; Sousa, R; Tabacchi, E; Vilà, M</t>
  </si>
  <si>
    <t>Impacts of biological invasions: what's what and the way forward</t>
  </si>
  <si>
    <t>TRENDS IN ECOLOGY &amp; EVOLUTION</t>
  </si>
  <si>
    <t>Study of the impacts of biological invasions, a pervasive component of global change, has generated remarkable understanding of the mechanisms and consequences of the spread of introduced populations. The growing field of invasion science, poised at a crossroads where ecology, social sciences, resource management, and public perception meet, is increasingly exposed to critical scrutiny from several perspectives. Although the rate of biological invasions, elucidation of their consequences, and knowledge about mitigation are growing rapidly, the very need for invasion science is disputed. Here, we highlight recent progress in understanding invasion impacts and management, and discuss the challenges that the discipline faces in its science and interactions with society.</t>
  </si>
  <si>
    <t>10.1016/j.tree.2012.07.013</t>
  </si>
  <si>
    <r>
      <rPr>
        <rFont val="Arial"/>
        <color rgb="FF1155CC"/>
        <u/>
      </rPr>
      <t>http://dx.doi.org/10.1016/j.tree.2012.07.013</t>
    </r>
  </si>
  <si>
    <t>Ecology; Evolutionary Biology; Genetics &amp; Heredity</t>
  </si>
  <si>
    <t>WOS:000314142100012</t>
  </si>
  <si>
    <r>
      <rPr>
        <rFont val="Arial"/>
        <color rgb="FF1155CC"/>
        <u/>
      </rPr>
      <t>View Full Record in Web of Science</t>
    </r>
  </si>
  <si>
    <t>S</t>
  </si>
  <si>
    <t>Stammer, D; Cazenave, A; Ponte, RM; Tamisiea, ME</t>
  </si>
  <si>
    <t>Causes for Contemporary Regional Sea Level Changes</t>
  </si>
  <si>
    <t>ANNUAL REVIEW OF MARINE SCIENCE, VOL 5</t>
  </si>
  <si>
    <t>Review; Book Chapter</t>
  </si>
  <si>
    <t>Regional sea level changes can deviate substantially from those of the global mean, can vary on a broad range of timescales, and in some regions can even lead to a reversal of long-term global mean sea level trends. The underlying causes are associated with dynamic variations in the ocean circulation as part of climate modes of variability and with an isostatic adjustment of Earth's crust to past and ongoing changes in polar ice masses and continental water storage. Relative to the coastline, sea level is also affected by processes such as earthquakes and anthropogenically induced subsidence. Present-day regional sea level changes appear to be caused primarily by natural climate variability. However, the imprint of anthropogenic effects on regional sea level-whether due to changes in the atmospheric forcing or to mass variations in the system-will grow with time as climate change progresses, and toward the end of the twenty-first century, regional sea level patterns will be a superposition of climate variability modes and natural and anthropogenically induced static sea level patterns. Attribution and predictions of ongoing and future sea level changes require an expanded and sustained climate observing system.</t>
  </si>
  <si>
    <t>10.1146/annurev-marine-121211-172406</t>
  </si>
  <si>
    <r>
      <rPr>
        <rFont val="Arial"/>
        <color rgb="FF1155CC"/>
        <u/>
      </rPr>
      <t>http://dx.doi.org/10.1146/annurev-marine-121211-172406</t>
    </r>
  </si>
  <si>
    <t>Geochemistry &amp; Geophysics; Marine &amp; Freshwater Biology; Oceanography</t>
  </si>
  <si>
    <t>WOS:000316390400003</t>
  </si>
  <si>
    <r>
      <rPr>
        <rFont val="Arial"/>
        <color rgb="FF1155CC"/>
        <u/>
      </rPr>
      <t>View Full Record in Web of Science</t>
    </r>
  </si>
  <si>
    <t>Houghton, RA</t>
  </si>
  <si>
    <t>Carbon emissions and the drivers of deforestation and forest degradation in the tropics</t>
  </si>
  <si>
    <t>The net emissions of carbon from deforestation and degradation in the tropics, including the draining and burning of peat swamps in SE Asia, averaged similar to 1.4 (+/- 0.5) PgC yr(-1) over the period 1990-2010. Most (60-90%) of the emissions were from deforestation; degradation (or reductions of biomass density within forests) is more difficult to document but results from harvest of wood and the re-clearing of fallow forests within the shifting cultivation cycle. The main driver of deforestation is agriculture, whether permanent or shifting, and whether for food crops or pasture. The relative contribution of deforestation and degradation to anthropogenic carbon emissions has been declining, but reducing emissions from land, along with reduced emissions from fossil fuels, could help stabilize the CO2 concentration of the atmosphere.</t>
  </si>
  <si>
    <t>10.1016/j.cosust.2012.06.006</t>
  </si>
  <si>
    <r>
      <rPr>
        <rFont val="Arial"/>
        <color rgb="FF1155CC"/>
        <u/>
      </rPr>
      <t>http://dx.doi.org/10.1016/j.cosust.2012.06.006</t>
    </r>
  </si>
  <si>
    <t>WOS:000312418600003</t>
  </si>
  <si>
    <r>
      <rPr>
        <rFont val="Arial"/>
        <color rgb="FF1155CC"/>
        <u/>
      </rPr>
      <t>View Full Record in Web of Science</t>
    </r>
  </si>
  <si>
    <t>Sallenger, AH; Doran, KS; Howd, PA</t>
  </si>
  <si>
    <t>Hotspot of accelerated sea-level rise on the Atlantic coast of North America</t>
  </si>
  <si>
    <t>Climate warming does not force sea-level rise (SLR) at the same rate everywhere. Rather, there are spatial variations of SLR superimposed on a global average rise. These variations are forced by dynamic processes(1-4), arising from circulation and variations in temperature and/or salinity, and by static equilibrium processes(5), arising from mass redistributions changing gravity and the Earth's rotation and shape. These sea-level variations form unique spatial patterns, yet there are very few observations verifying predicted patterns or fingerprints(6). Here, we present evidence of recently accelerated SLR in a unique 1,000-km-long hotspot on the highly populated North American Atlantic coast north of Cape Hatteras and show that it is consistent with a modelled fingerprint of dynamic SLR. Between 1950-1979 and 1980-2009, SLR rate increases in this northeast hotspot were similar to 3-4 times higher than the global average. Modelled dynamic plus steric SLR by 2100 at New York City ranges with Intergovernmental Panel on Climate Change scenario from 36 to 51 cm (ref. 3); lower emission scenarios project 24-36 cm (ref. 7). Extrapolations from data herein range from 20 to 29 cm. SLR superimposed on storm surge, wave run-up and set-up will increase the vulnerability of coastal cities to flooding, and beaches and wetlands to deterioration.</t>
  </si>
  <si>
    <t>10.1038/NCLIMATE1597</t>
  </si>
  <si>
    <r>
      <rPr>
        <rFont val="Arial"/>
        <color rgb="FF1155CC"/>
        <u/>
      </rPr>
      <t>http://dx.doi.org/10.1038/NCLIMATE1597</t>
    </r>
  </si>
  <si>
    <t>WOS:000312433700023</t>
  </si>
  <si>
    <r>
      <rPr>
        <rFont val="Arial"/>
        <color rgb="FF1155CC"/>
        <u/>
      </rPr>
      <t>View Full Record in Web of Science</t>
    </r>
  </si>
  <si>
    <t>Miettinen, J; Hooijer, A; Shi, CH; Tollenaar, D; Vernimmen, R; Liew, SC; Malins, C; Page, SE</t>
  </si>
  <si>
    <t>Extent of industrial plantations on Southeast Asian peatlands in 2010 with analysis of historical expansion and future projections</t>
  </si>
  <si>
    <t>GLOBAL CHANGE BIOLOGY BIOENERGY</t>
  </si>
  <si>
    <t>Tropical peatlands cover over 25 Mha in Southeast Asia and are estimated to contain around 70 Gt of carbon. Peat swamp forest ecosystems are an important part of the region's natural resources supporting unique flora and fauna endemic to Southeast Asia. Over recent years, industrial plantation development on peatland, especially for oil palm cultivation, has created intense debate due to its potentially adverse social and environmental effects. The lack of objective up-to-date information on the extent of industrial plantations has complicated quantification of their regional and global environmental consequences, both in terms of loss of forest and biodiversity as well as increases in carbon emissions. Based on visual interpretation of high-resolution (30 m) satellite images, we find that industrial plantations covered over 3.1 Mha (20%) of the peatlands of Peninsular Malaysia, Sumatra and Borneo in 2010, surpassing the area of Belgium and causing an annual carbon emission from peat decomposition of 230310 Mt CO2e. The majority (62%) of the plantations were located on the island of Sumatra, and over two-thirds (69%) of all industrial plantations were developed for oil palm cultivation, with the remainder mostly being Acacia plantations for paper pulp production. Historical analysis shows strong acceleration of plantation development in recent years: 70% of all industrial plantations have been established since 2000 and only 4% of the current plantation area existed in 1990. Business-as-usual projections of future conversion rates, based on historical rates over the past two decades, indicate that 69 Mha of peatland in insular Southeast Asia may be converted to plantations by the year 2020, unless land use planning policies or markets for products change. This would increase the annual carbon emission to somewhere between 380 and 920 Mt CO2e by 2020 depending on water management practices and the extent of plantations.</t>
  </si>
  <si>
    <t>10.1111/j.1757-1707.2012.01172.x</t>
  </si>
  <si>
    <r>
      <rPr>
        <rFont val="Arial"/>
        <color rgb="FF1155CC"/>
        <u/>
      </rPr>
      <t>http://dx.doi.org/10.1111/j.1757-1707.2012.01172.x</t>
    </r>
  </si>
  <si>
    <t>Agronomy; Biotechnology &amp; Applied Microbiology; Energy &amp; Fuels</t>
  </si>
  <si>
    <t>WOS:000309450100028</t>
  </si>
  <si>
    <r>
      <rPr>
        <rFont val="Arial"/>
        <color rgb="FF1155CC"/>
        <u/>
      </rPr>
      <t>View Full Record in Web of Science</t>
    </r>
  </si>
  <si>
    <t>Hosonuma, N; Herold, M; De Sy, V; De Fries, RS; Brockhaus, M; Verchot, L; Angelsen, A; Romijn, E</t>
  </si>
  <si>
    <t>An assessment of deforestation and forest degradation drivers in developing countries</t>
  </si>
  <si>
    <t>Countries are encouraged to identify drivers of deforestation and forest degradation in the development of national strategies and action plans for REDD+. In this letter we provide an assessment of proximate drivers of deforestation and forest degradation by synthesizing empirical data reported by countries as part of their REDD+ readiness activities, CIFOR country profiles, UNFCCC national communications and scientific literature. Based on deforestation rate and remaining forest cover 100 (sub) tropical non-Annex I countries were grouped into four forest transition phases. Driver data of 46 countries were summarized for each phase and by continent, and were used as a proxy to estimate drivers for the countries with missing data. The deforestation drivers are similar in Africa and Asia, while degradation drivers are more similar in Latin America and Asia. Commercial agriculture is the most important driver of deforestation, followed by subsistence agriculture. Timber extraction and logging drives most of the degradation, followed by fuelwood collection and charcoal production, uncontrolled fire and livestock grazing. The results reflect the most up to date and comprehensive overview of current national-level data availability on drivers, which is expected to improve over time within the frame of the UNFCCC REDD+ process.</t>
  </si>
  <si>
    <t>10.1088/1748-9326/7/4/044009</t>
  </si>
  <si>
    <r>
      <rPr>
        <rFont val="Arial"/>
        <color rgb="FF1155CC"/>
        <u/>
      </rPr>
      <t>http://dx.doi.org/10.1088/1748-9326/7/4/044009</t>
    </r>
  </si>
  <si>
    <t>WOS:000312696400013</t>
  </si>
  <si>
    <r>
      <rPr>
        <rFont val="Arial"/>
        <color rgb="FF1155CC"/>
        <u/>
      </rPr>
      <t>View Full Record in Web of Science</t>
    </r>
  </si>
  <si>
    <t>Alcantara, C; Kuemmerle, T; Prishchepov, AV; Radeloff, VC</t>
  </si>
  <si>
    <t>Mapping abandoned agriculture with multi-temporal MODIS satellite data</t>
  </si>
  <si>
    <t>REMOTE SENSING OF ENVIRONMENT</t>
  </si>
  <si>
    <t>Agriculture is expanding and intensifying in many areas of the world, but abandoned agriculture is also becoming more widespread. Unfortunately, data and methods to monitor abandoned agriculture accurately over large areas are lacking. Remote sensing methods may be able to fill this gap though, especially with the frequent observations provided by coarser-resolution sensors and new classification techniques. Past efforts to map abandoned agriculture relied mainly on Landsat data, making it hard to map large regions, and precluding the use of phenology information to identify abandoned agriculture. Our objective here was to test methods to map abandoned agriculture at broad scales with coarse-resolution satellite imagery and phenology data. We classified abandoned agriculture for one Moderate Resolution Imaging Spectroradiometer (MODIS) tile in Eastern Europe (-1,236,000 km(2)) where abandoned agriculture was widespread. Input data included Normalized Difference Vegetation Index (NDVI) and reflectance bands (NASA Global MODIS Terra and Aqua 16-Day Vegetation Indices for the years 2003 through 2008, -250-m resolution), as well as phenology metrics calculated with TIMESAT. The data were classified with Support Vector Machines (SVM). Training data were derived from several Landsat classifications of agricultural abandonment in the study area. A validation was conducted based on independently collected data. Our results showed that it is possible to map abandoned agriculture for large areas from MODIS data with an overall classification accuracy of 65%. Abandoned agriculture was widespread in our study area (15.1% of the total area, compared to 29.6% agriculture). We found strong differences in the MODIS data quality for different years, with data from 2005 resulting in the highest classification accuracy for the abandoned agriculture class (42.8% producer's accuracy). Classifications of MODIS NDVI data were almost as accurate as classifications based on a combination of both red and near-infrared reflectance data. MODIS NDVI data only from the growing-season resulted in similar classification accuracy as data for the full year. Using multiple years of MODIS data did not increase classification accuracy. Six phenology metrics derived with TIMESAT from the NDVI time series (2003-2008) alone were insufficient to detect abandoned agriculture, but phenology metrics improved classification accuracies when used in conjunction with NDVI time series by more than 8% over the use of NDVI data alone. The approach that we identified here is promising and suggests that it is possible to map abandoned agriculture at broad scales, which is relevant to gain a better understanding of this important land use change process. (C) 2012 Elsevier Inc. All rights reserved.</t>
  </si>
  <si>
    <t>10.1016/j.rse.2012.05.019</t>
  </si>
  <si>
    <r>
      <rPr>
        <rFont val="Arial"/>
        <color rgb="FF1155CC"/>
        <u/>
      </rPr>
      <t>http://dx.doi.org/10.1016/j.rse.2012.05.019</t>
    </r>
  </si>
  <si>
    <t>Environmental Sciences; Remote Sensing; Imaging Science &amp; Photographic Technology</t>
  </si>
  <si>
    <t>WOS:000311247700029</t>
  </si>
  <si>
    <r>
      <rPr>
        <rFont val="Arial"/>
        <color rgb="FF1155CC"/>
        <u/>
      </rPr>
      <t>View Full Record in Web of Science</t>
    </r>
  </si>
  <si>
    <t>Alverson, K</t>
  </si>
  <si>
    <t>VULNERABILITY, IMPACTS, AND ADAPTATION TO SEA LEVEL RISE TAKING AN ECOSYSTEM-BASED APPROACH</t>
  </si>
  <si>
    <t>10.5670/oceanog.2012.101</t>
  </si>
  <si>
    <r>
      <rPr>
        <rFont val="Arial"/>
        <color rgb="FF1155CC"/>
        <u/>
      </rPr>
      <t>http://dx.doi.org/10.5670/oceanog.2012.101</t>
    </r>
  </si>
  <si>
    <t>WOS:000308774600037</t>
  </si>
  <si>
    <r>
      <rPr>
        <rFont val="Arial"/>
        <color rgb="FF1155CC"/>
        <u/>
      </rPr>
      <t>View Full Record in Web of Science</t>
    </r>
  </si>
  <si>
    <t>Greaver, TL; Sullivan, TJ; Herrick, JD; Barber, MC; Baron, JS; Cosby, BJ; Deerhake, ME; Dennis, RL; Dubois, JJB; Goodale, CL; Herlihy, AT; Lawrence, GB; Liu, LL; Lynch, JA; Novak, KJ</t>
  </si>
  <si>
    <t>Ecological effects of nitrogen and sulfur air pollution in the US: what do we know?</t>
  </si>
  <si>
    <t>FRONTIERS IN ECOLOGY AND THE ENVIRONMENT</t>
  </si>
  <si>
    <t>Four decades after the passage of the US Clean Air Act, air-quality standards are set to protect ecosystems from damage caused by gas-phase nitrogen (N) and sulfur (S) compounds, but not from the deposition of these air pollutants to land and water. Here, we synthesize recent scientific literature on the ecological effects of N and S air pollution in the US. Deposition of N and S is the main driver of ecosystem acidification and contributes to nutrient enrichment in many natural systems. Although surface-water acidification has decreased in the US since 1990, it remains a problem in many regions. Perturbations to ecosystems caused by the nutrient effects of N deposition continue to emerge, although gas-phase concentrations are generally not high enough to cause phytotoxicity. In all, there is overwhelming evidence of a broad range of damaging effects to ecosystems in the US under current air-quality conditions.</t>
  </si>
  <si>
    <t>10.1890/110049</t>
  </si>
  <si>
    <r>
      <rPr>
        <rFont val="Arial"/>
        <color rgb="FF1155CC"/>
        <u/>
      </rPr>
      <t>http://dx.doi.org/10.1890/110049</t>
    </r>
  </si>
  <si>
    <t>Ecology; Environmental Sciences</t>
  </si>
  <si>
    <t>WOS:000309092700015</t>
  </si>
  <si>
    <r>
      <rPr>
        <rFont val="Arial"/>
        <color rgb="FF1155CC"/>
        <u/>
      </rPr>
      <t>View Full Record in Web of Science</t>
    </r>
  </si>
  <si>
    <t>Srebotnjak, T; Carr, G; de Sherbinin, A; Rickwood, C</t>
  </si>
  <si>
    <t>A global Water Quality Index and hot-deck imputation of missing data</t>
  </si>
  <si>
    <t>ECOLOGICAL INDICATORS</t>
  </si>
  <si>
    <t>Water is an essential resource for life on Earth and available freshwater resources are emerging as a limiting factor not only in quantity but also in quality for human development and ecological stability in a growing number of locations. Water quality is a significant criterion in matching water demand and supply. Securing adequate freshwater quality for both human and ecological needs is thus an important aspect of integrated environmental management and sustainable development. The 2008 Environmental Performance Index (EPI) published by the Yale Center for Environmental Law and Policy (YCELP) and the Center for International Earth Science Information Network (CIESIN) at Columbia University includes a Water Quality Index (WATQI). The WATQI provides a first global effort at reporting and estimating water quality on the basis of five commonly reported quality parameters: dissolved oxygen, electrical conductivity, pH value, and total nitrogen and phosphorus concentrations. This paper explains the motivation and methodology of the EPI WATQI and demonstrates how hot-deck imputation of missing values can expand its geographical coverage and better inform decision-makers on the types and extents of water quality problems in the context of limited globally comparable water quality monitoring data. (C) 2011 Elsevier Ltd. All rights reserved.</t>
  </si>
  <si>
    <t>10.1016/j.ecolind.2011.04.023</t>
  </si>
  <si>
    <r>
      <rPr>
        <rFont val="Arial"/>
        <color rgb="FF1155CC"/>
        <u/>
      </rPr>
      <t>http://dx.doi.org/10.1016/j.ecolind.2011.04.023</t>
    </r>
  </si>
  <si>
    <t>Biodiversity Conservation; Environmental Sciences</t>
  </si>
  <si>
    <t>WOS:000300208400013</t>
  </si>
  <si>
    <r>
      <rPr>
        <rFont val="Arial"/>
        <color rgb="FF1155CC"/>
        <u/>
      </rPr>
      <t>View Full Record in Web of Science</t>
    </r>
  </si>
  <si>
    <t>van Vliet, N; Mertz, O; Heinimann, A; Langanke, T; Pascual, U; Schmook, B; Adams, C; Schmidt-Vogt, D; Messerli, P; Leisz, S; Castella, JC; Jorgensen, L; Birch-Thomsen, T; Hett, C; Bruun, TB; Ickowitz, A; Vu, KC; Yasuyuki, K; Fox, J; Padoch, C; Dressler, W; Ziegler, AD</t>
  </si>
  <si>
    <t>Trends, drivers and impacts of changes in swidden cultivation in tropical forest-agriculture frontiers: A global assessment</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</si>
  <si>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</si>
  <si>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10.1016/j.gloenvcha.2011.10.009</t>
  </si>
  <si>
    <r>
      <rPr>
        <rFont val="Arial"/>
        <color rgb="FF1155CC"/>
        <u/>
      </rPr>
      <t>http://dx.doi.org/10.1016/j.gloenvcha.2011.10.009</t>
    </r>
  </si>
  <si>
    <t>WOS:000304290100012</t>
  </si>
  <si>
    <r>
      <rPr>
        <rFont val="Arial"/>
        <color rgb="FF1155CC"/>
        <u/>
      </rPr>
      <t>View Full Record in Web of Science</t>
    </r>
  </si>
  <si>
    <t>Rummukainen, M</t>
  </si>
  <si>
    <t>Changes in climate and weather extremes in the 21st century</t>
  </si>
  <si>
    <t>WILEY INTERDISCIPLINARY REVIEWS-CLIMATE CHANGE</t>
  </si>
  <si>
    <t>Climate and weather extremes are sporadically recurring events that may have major local or regional impacts on the society and the environment. These events are typically related to unusually high or low temperature, prolonged dry or wet conditions, heavy precipitation, or extreme winds. Extreme events are part of the overall climate and weather alongside average conditions and variability, and thus are not unexpected as such. Climate change is expected to affect not only means but also variability and extremes. Some inferences can be based on past and present observations, but analyses of especially rare events are hampered by the availability of long time series. Over time, depending on how far the on-going global warming takes us from the present and the past climate conditions, the weather and climate statistics may well come to shift in ways that are well outside observational data. This may lead to shifts in frequency, intensity and geographical distribution of different extremes. Indeed, projected changes in some extremes over the 21st century are quite robust, such as generally increasing warm and decreasing cold extremes. Possible changes in some other aspects, for example storms, remain much more uncertain. Science-based information both on robust findings and on relevant uncertainties on changing extremes can provide useful information for sectorial planning, disaster risk prevention and overall reduction of societal vulnerability related to climate and weather. WIREs Clim Change 2012, 3:115129. doi: 10.1002/wcc.160</t>
  </si>
  <si>
    <t>10.1002/wcc.160</t>
  </si>
  <si>
    <r>
      <rPr>
        <rFont val="Arial"/>
        <color rgb="FF1155CC"/>
        <u/>
      </rPr>
      <t>http://dx.doi.org/10.1002/wcc.160</t>
    </r>
  </si>
  <si>
    <t>Environmental Studies; Meteorology &amp; Atmospheric Sciences</t>
  </si>
  <si>
    <t>WOS:000301644400001</t>
  </si>
  <si>
    <r>
      <rPr>
        <rFont val="Arial"/>
        <color rgb="FF1155CC"/>
        <u/>
      </rPr>
      <t>View Full Record in Web of Science</t>
    </r>
  </si>
  <si>
    <t>Macedo, MN; DeFries, RS; Morton, DC; Stickler, CM; Galford, GL; Shimabukuro, YE</t>
  </si>
  <si>
    <t>Decoupling of deforestation and soy production in the southern Amazon during the late 2000s</t>
  </si>
  <si>
    <t>From 2006 to 2010, deforestation in the Amazon frontier state of Mato Grosso decreased to 30% of its historical average (1996-2005) whereas agricultural production reached an all-time high. This study combines satellite data with government deforestation and production statistics to assess land-use transitions and potential market and policy drivers associated with these trends. In the forested region of the state, increased soy production from 2001 to 2005 was entirely due to cropland expansion into previously cleared pasture areas (74%) or forests (26%). From 2006 to 2010, 78% of production increases were due to expansion (22% to yield increases), with 91% on previously cleared land. Cropland expansion fell from 10 to 2% of deforestation between the two periods, with pasture expansion accounting for most remaining deforestation. Declining deforestation coincided with a collapse of commodity markets and implementation of policy measures to reduce deforestation. Soybean profitability has since increased to pre-2006 levels whereas deforestation continued to decline, suggesting that antideforestation measures may have influenced the agricultural sector. We found little evidence of direct leakage of soy expansion into cerrado in Mato Grosso during the late 2000s, although indirect land-use changes and leakage to more distant regions are possible. This study provides evidence that reduced deforestation and increased agricultural production can occur simultaneously in tropical forest frontiers, provided that land is available and policies promote the efficient use of already-cleared lands (intensification) while restricting deforestation. It remains uncertain whether government- and industry-led policies can contain deforestation if future market conditions favor another boom in agricultural expansion.</t>
  </si>
  <si>
    <t>10.1073/pnas.1111374109</t>
  </si>
  <si>
    <r>
      <rPr>
        <rFont val="Arial"/>
        <color rgb="FF1155CC"/>
        <u/>
      </rPr>
      <t>http://dx.doi.org/10.1073/pnas.1111374109</t>
    </r>
  </si>
  <si>
    <t>WOS:000299412600068</t>
  </si>
  <si>
    <r>
      <rPr>
        <rFont val="Arial"/>
        <color rgb="FF1155CC"/>
        <u/>
      </rPr>
      <t>View Full Record in Web of Science</t>
    </r>
  </si>
  <si>
    <t>Hostert, P; Kuemmerle, T; Prishchepov, A; Sieber, A; Lambin, EF; Radeloff, VC</t>
  </si>
  <si>
    <t>Rapid land use change after socio-economic disturbances: the collapse of the Soviet Union versus Chernobyl</t>
  </si>
  <si>
    <t>Land use change is a principal force and inherent element of global environmental change, threatening biodiversity, natural ecosystems, and their services. However, our ability to anticipate future land use change is severely limited by a lack of understanding of how major socio-economic disturbances (e. g., wars, revolutions, policy changes, and economic crises) affect land use. Here we explored to what extent socio-economic disturbances can shift land use systems onto a different trajectory, and whether this can result in less intensive land use. Our results show that the collapse of the Soviet Union in 1991 caused a major reorganization in land use systems. The effects of this socio-economic disturbance were at least as drastic as those of the nuclear disaster in the Chernobyl region in 1986. While the magnitudes of land abandonment were similar in Ukraine and Belarus in the case of the nuclear disaster (28% and 36% of previously farmed land, respectively), the rates of land abandonment after the collapse of the Soviet Union in Ukraine were twice as high as those in Belarus. This highlights that national policies and institutions play an important role in mediating effects of socio-economic disturbances. The socio-economic disturbance that we studied caused major hardship for local populations, yet also presents opportunities for conservation, as natural ecosystems are recovering on large areas of former farmland. Our results illustrate the potential of socio-economic disturbances to revert land use intensification and the important role institutions and policies play in determining land use systems' resilience against such socio-economic disturbances.</t>
  </si>
  <si>
    <t>10.1088/1748-9326/6/4/045201</t>
  </si>
  <si>
    <r>
      <rPr>
        <rFont val="Arial"/>
        <color rgb="FF1155CC"/>
        <u/>
      </rPr>
      <t>http://dx.doi.org/10.1088/1748-9326/6/4/045201</t>
    </r>
  </si>
  <si>
    <t>WOS:000298674700039</t>
  </si>
  <si>
    <r>
      <rPr>
        <rFont val="Arial"/>
        <color rgb="FF1155CC"/>
        <u/>
      </rPr>
      <t>View Full Record in Web of Science</t>
    </r>
  </si>
  <si>
    <t>Ongondo, FO; Williams, ID; Cherrett, TJ</t>
  </si>
  <si>
    <t>How are WEEE doing? A global review of the management of electrical and electronic wastes</t>
  </si>
  <si>
    <t>WASTE MANAGEMENT</t>
  </si>
  <si>
    <t>This paper presents and critically analyses the current waste electrical and electronic equipment (WEEE) management practices in various countries and regions. Global trends in (i) the quantities and composition of WEEE; and (ii) the various strategies and practices adopted by selected countries to handle, regulate and prevent WEEE are comprehensively examined. The findings indicate that for (i), the quantities of WEEE generated are high and/or on the increase. IT and telecommunications equipment seem to be the dominant WEEE being generated, at least in terms of numbers, in Africa, in the poorer regions of Asia and in Latin/South America. However, the paper contends that the reported figures on quantities of WEEE generated may be grossly underestimated. For (ii), with the notable exception of Europe, many countries seem to be lacking or are slow in initiating, drafting and adopting WEEE regulations. Handling of WEEE in developing countries is typified by high rate of repair and reuse within a largely informal recycling sector. In both developed and developing nations, the landfilling of WEEE is still a concern. It has been established that stockpiling of unwanted electrical and electronic products is common in both the USA and less developed economies. The paper also identifies and discusses four common priority areas for WEEE across the globe, namely: (i) resource depletion; (ii) ethical concerns; (iii) health and environmental issues; and (iv) WEEE takeback strategies. Further, the paper discusses the future perspectives on WEEE generation, treatment, prevention and regulation. Four key conclusions are drawn from this review: global amounts of WEEE will continue unabated for some time due to emergence of new technologies and affordable electronics; informal recycling in developing nations has the potential of making a valuable contribution if their operations can be changed with strict safety standards as a priority; the pace of initiating and enacting WEEE specific legislation is very slow across the globe and in some cases non-existent; and globally, there is need for more accurate and current data on amounts and types of WEEE generated. (C) 2010 Elsevier Ltd. All rights reserved.</t>
  </si>
  <si>
    <t>10.1016/j.wasman.2010.10.023</t>
  </si>
  <si>
    <r>
      <rPr>
        <rFont val="Arial"/>
        <color rgb="FF1155CC"/>
        <u/>
      </rPr>
      <t>http://dx.doi.org/10.1016/j.wasman.2010.10.023</t>
    </r>
  </si>
  <si>
    <t>WOS:000288576800013</t>
  </si>
  <si>
    <r>
      <rPr>
        <rFont val="Arial"/>
        <color rgb="FF1155CC"/>
        <u/>
      </rPr>
      <t>View Full Record in Web of Science</t>
    </r>
  </si>
  <si>
    <t>Rask, KJ; Rask, N</t>
  </si>
  <si>
    <t>Economic development and food production-consumption balance: A growing global challenge</t>
  </si>
  <si>
    <t>FOOD POLICY</t>
  </si>
  <si>
    <t>Rising affluence in major developing countries (principally China and India) and increasing diversion of agricultural resources for energy production (USA and Brazil) sharply increase agricultural resource demand. Food consumption and production changes during development are analyzed using resource-based cereal-equivalent measures. Diet upgrades to livestock products require fivefold increases in per capita food resource use, reflecting a consistent pattern which is only marginally affected by land base. Food consumption increases exceed production during early development, leading to imports. Consumption eventually stabilizes at high incomes, but production falls short in land-scarce countries. Pork and poultry consumption increase the most; less efficient beef and dairy production command a majority of agricultural resources. (C) 2010 Elsevier Ltd. All rights reserved.</t>
  </si>
  <si>
    <t>10.1016/j.foodpol.2010.11.015</t>
  </si>
  <si>
    <r>
      <rPr>
        <rFont val="Arial"/>
        <color rgb="FF1155CC"/>
        <u/>
      </rPr>
      <t>http://dx.doi.org/10.1016/j.foodpol.2010.11.015</t>
    </r>
  </si>
  <si>
    <t>Agricultural Economics &amp; Policy; Economics; Food Science &amp; Technology; Nutrition &amp; Dietetics</t>
  </si>
  <si>
    <t>WOS:000289340500011</t>
  </si>
  <si>
    <r>
      <rPr>
        <rFont val="Arial"/>
        <color rgb="FF1155CC"/>
        <u/>
      </rPr>
      <t>View Full Record in Web of Science</t>
    </r>
  </si>
  <si>
    <t>Lambin, EF; Meyfroidt, P</t>
  </si>
  <si>
    <t>Global land use change, economic globalization, and the looming land scarcity</t>
  </si>
  <si>
    <t>A central challenge for sustainability is how to preserve forest ecosystems and the services that they provide us while enhancing food production. This challenge for developing countries confronts the force of economic globalization, which seeks cropland that is shrinking in availability and triggers deforestation. Four mechanisms-the displacement, rebound, cascade, and remittance effects-that are amplified by economic globalization accelerate land conversion. A few developing countries have managed a land use transition over the recent decades that simultaneously increased their forest cover and agricultural production. These countries have relied on various mixes of agricultural intensification, land use zoning, forest protection, increased reliance on imported food and wood products, the creation of off-farm jobs, foreign capital investments, and remittances. Sound policies and innovations can therefore reconcile forest preservation with food production. Globalization can be harnessed to increase land use efficiency rather than leading to uncontrolled land use expansion. To do so, land systems should be understood and modeled as open systems with large flows of goods, people, and capital that connect local land use with global-scale factors.</t>
  </si>
  <si>
    <t>10.1073/pnas.1100480108</t>
  </si>
  <si>
    <r>
      <rPr>
        <rFont val="Arial"/>
        <color rgb="FF1155CC"/>
        <u/>
      </rPr>
      <t>http://dx.doi.org/10.1073/pnas.1100480108</t>
    </r>
  </si>
  <si>
    <t>WOS:000287844400010</t>
  </si>
  <si>
    <r>
      <rPr>
        <rFont val="Arial"/>
        <color rgb="FF1155CC"/>
        <u/>
      </rPr>
      <t>View Full Record in Web of Science</t>
    </r>
  </si>
  <si>
    <t>Hegerl, G; Luterbacher, J; González-Rouco, F; Tett, SFB; Crowley, T; Xoplaki, E</t>
  </si>
  <si>
    <t>Influence of human and natural forcing on European seasonal temperatures</t>
  </si>
  <si>
    <t>NATURE GEOSCIENCE</t>
  </si>
  <si>
    <t>It is the regional and seasonal expression of climate change that determines the effect of greenhouse warming on ecosystems and society(1). Whereas anthropogenic influences on European temperatures have been detected over the twentieth century(2,3), it has been suggested that the impact of external influences on European temperatures before 1900 is negligible(4). Here we use reconstructions of seasonal European land temperature(5,6) and simulations with three global climate models(7-9) to show that external influences on climate-such as the concentrations of stratospheric volcanic aerosols or greenhouse gases, other anthropogenic effects and possibly changes in total solar irradiance-have had a discernible influence on European temperatures throughout the past five centuries. In particular, we find that external forcing contributes significantly (p &lt; 5%) to the reconstructed long-term variability of winter and spring temperatures and that it is responsible for a best guess of 75% of the observed winter warming since the late seventeenth century. This warming is largely attributable to greenhouse-gas forcing. Summer temperatures show detectable (p &lt; 5%) interdecadal variations in response to external forcing before 1900 only. Finally, throughout the record we detect highly significant summer cooling and significant winter warming following volcanic eruptions.</t>
  </si>
  <si>
    <t>10.1038/NGEO1057</t>
  </si>
  <si>
    <r>
      <rPr>
        <rFont val="Arial"/>
        <color rgb="FF1155CC"/>
        <u/>
      </rPr>
      <t>http://dx.doi.org/10.1038/NGEO1057</t>
    </r>
  </si>
  <si>
    <t>WOS:000286723300014</t>
  </si>
  <si>
    <r>
      <rPr>
        <rFont val="Arial"/>
        <color rgb="FF1155CC"/>
        <u/>
      </rPr>
      <t>View Full Record in Web of Science</t>
    </r>
  </si>
  <si>
    <t>Page, SE; Rieley, JO; Banks, CJ</t>
  </si>
  <si>
    <t>Global and regional importance of the tropical peatland carbon pool</t>
  </si>
  <si>
    <t>GLOBAL CHANGE BIOLOGY</t>
  </si>
  <si>
    <t>Accurate inventory of tropical peatland is important in order to (a) determine the magnitude of the carbon pool; (b) estimate the scale of transfers of peat-derived greenhouse gases to the atmosphere resulting from land use change; and (c) support carbon emissions reduction policies. We review available information on tropical peatland area and thickness and calculate peat volume and carbon content in order to determine their best estimates and ranges of variation. Our best estimate of tropical peatland area is 441 025 km2 (similar to 11% of global peatland area) of which 247 778 km2 (56%) is in Southeast Asia. We estimate the volume of tropical peat to be 1758 Gm3 (similar to 18-25% of global peat volume) with 1359 Gm3 in Southeast Asia (77% of all tropical peat). This new assessment reveals a larger tropical peatland carbon pool than previous estimates, with a best estimate of 88.6 Gt (range 81.7-91.9 Gt) equal to 15-19% of the global peat carbon pool. Of this, 68.5 Gt (77%) is in Southeast Asia, equal to 11-14% of global peat carbon. A single country, Indonesia, has the largest share of tropical peat carbon (57.4 Gt, 65%), followed by Malaysia (9.1 Gt, 10%). These data are used to provide revised estimates for Indonesian and Malaysian forest soil carbon pools of 77 and 15 Gt, respectively, and total forest carbon pools (biomass plus soil) of 97 and 19 Gt. Peat carbon contributes 60% to the total forest soil carbon pool in Malaysia and 74% in Indonesia. These results emphasize the prominent global and regional roles played by the tropical peat carbon pool and the importance of including this pool in national and regional assessments of terrestrial carbon stocks and the prediction of peat-derived greenhouse gas emissions.</t>
  </si>
  <si>
    <t>10.1111/j.1365-2486.2010.02279.x</t>
  </si>
  <si>
    <r>
      <rPr>
        <rFont val="Arial"/>
        <color rgb="FF1155CC"/>
        <u/>
      </rPr>
      <t>http://dx.doi.org/10.1111/j.1365-2486.2010.02279.x</t>
    </r>
  </si>
  <si>
    <t>WOS:000285878000013</t>
  </si>
  <si>
    <r>
      <rPr>
        <rFont val="Arial"/>
        <color rgb="FF1155CC"/>
        <u/>
      </rPr>
      <t>View Full Record in Web of Science</t>
    </r>
  </si>
  <si>
    <t>Carpenter, SR; Stanley, EH; Vander Zanden, MJ</t>
  </si>
  <si>
    <t>State of the World's Freshwater Ecosystems: Physical, Chemical, and Biological Changes</t>
  </si>
  <si>
    <t>ANNUAL REVIEW OF ENVIRONMENT AND RESOURCES, VOL 36</t>
  </si>
  <si>
    <t>Surface freshwaters-lakes, reservoirs, and rivers are among the most extensively altered ecosystems on Earth. Transformations include changes in the morphology of rivers and lakes, hydrology, biogeochemistry of nutrients and toxic substances, ecosystem metabolism and the storage of carbon (C), loss of native species, expansion of invasive species, and disease emergence. Drivers are climate change, hydrologic flow modification, land-use change, chemical inputs, aquatic invasive species, and harvest. Drivers and responses interact, and their relationships must be disentangled to understand the causes and consequences of change as well as the correctives for adverse change in any given watershed. Beyond its importance in terms of drinking water, freshwater supports human well-being in many ways related to food and fiber production, hydration of other ecosystems used by humans, dilution and degradation of pollutants, and cultural values. A natural capital framework can be used to assess freshwater ecosystem services, competing uses for freshwaters, and the processes that underpin the long-term maintenance of freshwaters. Upper limits for human consumption of freshwaters have been proposed, and consumptive use may approach these limits by the mid-century.</t>
  </si>
  <si>
    <t>10.1146/annurev-environ-021810-094524</t>
  </si>
  <si>
    <r>
      <rPr>
        <rFont val="Arial"/>
        <color rgb="FF1155CC"/>
        <u/>
      </rPr>
      <t>http://dx.doi.org/10.1146/annurev-environ-021810-094524</t>
    </r>
  </si>
  <si>
    <t>Environmental Sciences; Environmental Studies</t>
  </si>
  <si>
    <t>WOS:000299610900004</t>
  </si>
  <si>
    <r>
      <rPr>
        <rFont val="Arial"/>
        <color rgb="FF1155CC"/>
        <u/>
      </rPr>
      <t>View Full Record in Web of Science</t>
    </r>
  </si>
  <si>
    <t>Nelson, E; Sander, H; Hawthorne, P; Conte, M; Ennaanay, D; Wolny, S; Manson, S; Polasky, S</t>
  </si>
  <si>
    <t>Projecting Global Land-Use Change and Its Effect on Ecosystem Service Provision and Biodiversity with Simple Models</t>
  </si>
  <si>
    <t>Background: As the global human population grows and its consumption patterns change, additional land will be needed for living space and agricultural production. A critical question facing global society is how to meet growing human demands for living space, food, fuel, and other materials while sustaining ecosystem services and biodiversity [1]. Methodology/Principal Findings: We spatially allocate two scenarios of 2000 to 2015 global areal change in urban land and cropland at the grid cell-level and measure the impact of this change on the provision of ecosystem services and biodiversity. The models and techniques used to spatially allocate land-use/land-cover (LULC) change and evaluate its impact on ecosystems are relatively simple and transparent [2]. The difference in the magnitude and pattern of cropland expansion across the two scenarios engenders different tradeoffs among crop production, provision of species habitat, and other important ecosystem services such as biomass carbon storage. For example, in one scenario, 5.2 grams of carbon stored in biomass is released for every additional calorie of crop produced across the globe; under the other scenario this tradeoff rate is 13.7. By comparing scenarios and their impacts we can begin to identify the global pattern of cropland and irrigation development that is significant enough to meet future food needs but has less of an impact on ecosystem service and habitat provision. Conclusions/Significance: Urban area and croplands will expand in the future to meet human needs for living space, livelihoods, and food. In order to jointly provide desired levels of urban land, food production, and ecosystem service and species habitat provision the global society will have to become much more strategic in its allocation of intensively managed land uses. Here we illustrate a method for quickly and transparently evaluating the performance of potential global futures.</t>
  </si>
  <si>
    <t>10.1371/journal.pone.0014327</t>
  </si>
  <si>
    <r>
      <rPr>
        <rFont val="Arial"/>
        <color rgb="FF1155CC"/>
        <u/>
      </rPr>
      <t>http://dx.doi.org/10.1371/journal.pone.0014327</t>
    </r>
  </si>
  <si>
    <t>WOS:000285340000006</t>
  </si>
  <si>
    <r>
      <rPr>
        <rFont val="Arial"/>
        <color rgb="FF1155CC"/>
        <u/>
      </rPr>
      <t>View Full Record in Web of Science</t>
    </r>
  </si>
  <si>
    <t>Aukema, JE; McCullough, DG; Von Holle, B; Liebhold, AM; Britton, K; Frankel, SJ</t>
  </si>
  <si>
    <t>Historical Accumulation of Nonindigenous Forest Pests in the Continental United States</t>
  </si>
  <si>
    <t>BIOSCIENCE</t>
  </si>
  <si>
    <t>Nonindigenous forest insects and pathogens affect a range of ecosystems, industries, and property owners in the United States Evaluating temporal patterns in the accumulation of these nonindigenous forest pests can inform regulatory and policy decisions We compiled a comprehensive species list to assess the accumulation rates of nonindigenous forest insects and pathogens established in the United States More than 450 nonindigenous insects and at least 16 pathogens have colonized forest and urban trees since European settlement Approximately 25 established nonindigenous forest insects per year were detected in the United States between 1860 and 2006 At least 14% of these insects and all 16 pathogens have caused notable damage to trees Although sap feeders and foliage feeders dominated the comprehensive list, phloem- and wood-boring insects and foliage feeders were often more damaging than expected Detections of insects that feed on phloem or wood have increased markedly in recent years</t>
  </si>
  <si>
    <t>10.1525/bio.2010.60.11.5</t>
  </si>
  <si>
    <r>
      <rPr>
        <rFont val="Arial"/>
        <color rgb="FF1155CC"/>
        <u/>
      </rPr>
      <t>http://dx.doi.org/10.1525/bio.2010.60.11.5</t>
    </r>
  </si>
  <si>
    <t>WOS:000285328400005</t>
  </si>
  <si>
    <r>
      <rPr>
        <rFont val="Arial"/>
        <color rgb="FF1155CC"/>
        <u/>
      </rPr>
      <t>View Full Record in Web of Science</t>
    </r>
  </si>
  <si>
    <t>Pal, A; Gin, KYH; Lin, AYC; Reinhard, M</t>
  </si>
  <si>
    <t>Impacts of emerging organic contaminants on freshwater resources: Review of recent occurrences, sources, fate and effects</t>
  </si>
  <si>
    <t>Rapid urbanization and frequent disposal of wastewater to surface water cause widespread contamination of freshwater supplies with emerging contaminants such as pharmaceuticals insecticides surfactants endocrine disruptors including hormones Although these organic contaminants may be present at trace levels their adverse effects on aquatic life animals and even humans are a growing concern Numerous studies have been published on the occurrence and fate of emerging organic contaminants in different parts of the world spanning a wide range of sources and aquatic environments including freshwater catchments effluent wastewater streams lakes rivers reservoirs estuaries and marine waters This paper reviews recent studies on the occurrence and fate of frequently detected pharmaceuticals and hormones and identifies areas that merit further research (C) 2010 Elsevier BV All rights reserved</t>
  </si>
  <si>
    <t>10.1016/j.scitotenv.2010.09.026</t>
  </si>
  <si>
    <r>
      <rPr>
        <rFont val="Arial"/>
        <color rgb="FF1155CC"/>
        <u/>
      </rPr>
      <t>http://dx.doi.org/10.1016/j.scitotenv.2010.09.026</t>
    </r>
  </si>
  <si>
    <t>WOS:000285070800002</t>
  </si>
  <si>
    <r>
      <rPr>
        <rFont val="Arial"/>
        <color rgb="FF1155CC"/>
        <u/>
      </rPr>
      <t>View Full Record in Web of Science</t>
    </r>
  </si>
  <si>
    <t>Kroeker, KJ; Kordas, RL; Crim, RN; Singh, GG</t>
  </si>
  <si>
    <t>Meta-analysis reveals negative yet variable effects of ocean acidification on marine organisms</t>
  </si>
  <si>
    <t>ECOLOGY LETTERS</t>
  </si>
  <si>
    <t>P&gt;Ocean acidification is a pervasive stressor that could affect many marine organisms and cause profound ecological shifts. A variety of biological responses to ocean acidification have been measured across a range of taxa, but this information exists as case studies and has not been synthesized into meaningful comparisons amongst response variables and functional groups. We used meta-analytic techniques to explore the biological responses to ocean acidification, and found negative effects on survival, calcification, growth and reproduction. However, there was significant variation in the sensitivity of marine organisms. Calcifying organisms generally exhibited larger negative responses than non-calcifying organisms across numerous response variables, with the exception of crustaceans, which calcify but were not negatively affected. Calcification responses varied significantly amongst organisms using different mineral forms of calcium carbonate. Organisms using one of the more soluble forms of calcium carbonate (high-magnesium calcite) can be more resilient to ocean acidification than less soluble forms (calcite and aragonite). Additionally, there was variation in the sensitivities of different developmental stages, but this variation was dependent on the taxonomic group. Our analyses suggest that the biological effects of ocean acidification are generally large and negative, but the variation in sensitivity amongst organisms has important implications for ecosystem responses.</t>
  </si>
  <si>
    <t>10.1111/j.1461-0248.2010.01518.x</t>
  </si>
  <si>
    <r>
      <rPr>
        <rFont val="Arial"/>
        <color rgb="FF1155CC"/>
        <u/>
      </rPr>
      <t>http://dx.doi.org/10.1111/j.1461-0248.2010.01518.x</t>
    </r>
  </si>
  <si>
    <t>Ecology</t>
  </si>
  <si>
    <t>WOS:000283157500010</t>
  </si>
  <si>
    <r>
      <rPr>
        <rFont val="Arial"/>
        <color rgb="FF1155CC"/>
        <u/>
      </rPr>
      <t>View Full Record in Web of Science</t>
    </r>
  </si>
  <si>
    <t>Gibbs, HK; Ruesch, AS; Achard, F; Clayton, MK; Holmgren, P; Ramankutty, N; Foley, JA</t>
  </si>
  <si>
    <t>Tropical forests were the primary sources of new agricultural land in the 1980s and 1990s</t>
  </si>
  <si>
    <t>Global demand for agricultural products such as food, feed, and fuel is now a major driver of cropland and pasture expansion across much of the developing world. Whether these new agricultural lands replace forests, degraded forests, or grasslands greatly influences the environmental consequences of expansion. Although the general pattern is known, there still is no definitive quantification of these land-cover changes. Here we analyze the rich, pan-tropical database of classified Landsat scenes created by the Food and Agricultural Organization of the United Nations to examine pathways of agricultural expansion across the major tropical forest regions in the 1980s and 1990s and use this information to highlight the future land conversions that probably will be needed to meet mounting demand for agricultural products. Across the tropics, we find that between 1980 and 2000 more than 55% of new agricultural land came at the expense of intact forests, and another 28% came from disturbed forests. This study underscores the potential consequences of unabated agricultural expansion for forest conservation and carbon emissions.</t>
  </si>
  <si>
    <t>10.1073/pnas.0910275107</t>
  </si>
  <si>
    <r>
      <rPr>
        <rFont val="Arial"/>
        <color rgb="FF1155CC"/>
        <u/>
      </rPr>
      <t>http://dx.doi.org/10.1073/pnas.0910275107</t>
    </r>
  </si>
  <si>
    <t>WOS:000282003700063</t>
  </si>
  <si>
    <r>
      <rPr>
        <rFont val="Arial"/>
        <color rgb="FF1155CC"/>
        <u/>
      </rPr>
      <t>View Full Record in Web of Science</t>
    </r>
  </si>
  <si>
    <t>Law, KL; Moret-Ferguson, S; Maximenko, NA; Proskurowski, G; Peacock, EE; Hafner, J; Reddy, CM</t>
  </si>
  <si>
    <t>Plastic Accumulation in the North Atlantic Subtropical Gyre</t>
  </si>
  <si>
    <t>Plastic marine pollution is a major environmental concern, yet a quantitative description of the scope of this problem in the open ocean is lacking. Here, we present a time series of plastic content at the surface of the western North Atlantic Ocean and Caribbean Sea from 1986 to 2008. More than 60% of 6136 surface plankton net tows collected buoyant plastic pieces, typically millimeters in size. The highest concentration of plastic debris was observed in subtropical latitudes and associated with the observed large-scale convergence in surface currents predicted by Ekman dynamics. Despite a rapid increase in plastic production and disposal during this time period, no trend in plastic concentration was observed in the region of highest accumulation.</t>
  </si>
  <si>
    <t>10.1126/science.1192321</t>
  </si>
  <si>
    <r>
      <rPr>
        <rFont val="Arial"/>
        <color rgb="FF1155CC"/>
        <u/>
      </rPr>
      <t>http://dx.doi.org/10.1126/science.1192321</t>
    </r>
  </si>
  <si>
    <t>WOS:000281485600030</t>
  </si>
  <si>
    <r>
      <rPr>
        <rFont val="Arial"/>
        <color rgb="FF1155CC"/>
        <u/>
      </rPr>
      <t>View Full Record in Web of Science</t>
    </r>
  </si>
  <si>
    <t>Guler, Y; Ford, AT</t>
  </si>
  <si>
    <t>Anti-depressants make amphipods see the light</t>
  </si>
  <si>
    <t>AQUATIC TOXICOLOGY</t>
  </si>
  <si>
    <t>The effects of serotonin altering parasites, serotonin, the anti-depressant fluoxetine, plus two other highly prescribed pharmaceuticals (carbamazepine and diclofenac) on the behaviour of the marine amphipod, Echinogammarus marinus were investigated Acanthocephalan parasites are known to alter the swimming behaviour in their amphipod hosts through changes in serotonergic activity resulting in increased predation. Behavioural assays were adapted to record changes in phototaxis and geotaxis behaviour in male E marinus following 7, 14 and 21 days exposure to serotonin and each pharmaceutical compound at 4 concentrations compared to a control (between 10 ng/L and 10 mu g/L). E. marinus infected with acanthocephalans parasites had both significantly higher phototaxis and geotaxis scores than those of uninfected specimens Phototaxis and geotaxis behaviour increased significantly in a concentration-dependent manner with exposure to serotonin Fluoxetine significantly altered phototaxis and geotaxis activity in what appeared to be a non-monotonic concentration response curve with the greatest behavioural changes observed at 100 ng/L The main patterns of these behavioural responses were consistent between two trials and the 3 weeks exposure with specimens spending more time within the light and occurring higher in the water column No obvious trends could be concluded in the phototaxis and geotaxis scores from individuals exposed to carbamazepine or diclofenac as might be expected from their known mode of action From this study phototaxis and geotaxis behaviour have been observed to be affected by exposure to serotonin modulators Parasite studies have shown strong links between changes in behaviour and increased predation risk correlating with changes in serotonergic activity This study has highlighted the potential for highly prescribed anti-depressant drugs to change the behaviour of an ecologically relevant marine species in ways which could conceivably lead to population level effects (C) 2010 Elsevier B V All rights reserved</t>
  </si>
  <si>
    <t>10.1016/j.aquatox.2010.05.019</t>
  </si>
  <si>
    <r>
      <rPr>
        <rFont val="Arial"/>
        <color rgb="FF1155CC"/>
        <u/>
      </rPr>
      <t>http://dx.doi.org/10.1016/j.aquatox.2010.05.019</t>
    </r>
  </si>
  <si>
    <t>Marine &amp; Freshwater Biology; Toxicology</t>
  </si>
  <si>
    <t>WOS:000281493400010</t>
  </si>
  <si>
    <r>
      <rPr>
        <rFont val="Arial"/>
        <color rgb="FF1155CC"/>
        <u/>
      </rPr>
      <t>View Full Record in Web of Science</t>
    </r>
  </si>
  <si>
    <t>Ahrends, A; Burgess, ND; Milledge, SAH; Bulling, MT; Fisher, B; Smart, JCR; Clarke, GP; Mhoro, BE; Lewis, SL</t>
  </si>
  <si>
    <t>Predictable waves of sequential forest degradation and biodiversity loss spreading from an African city</t>
  </si>
  <si>
    <t>Tropical forest degradation emits carbon at a rate of similar to 0.5 Pg.y(-1), reduces biodiversity, and facilitates forest clearance. Understanding degradation drivers and patterns is therefore crucial to managing forests to mitigate climate change and reduce biodiversity loss. Putative patterns of degradation affecting forest stocks, carbon, and biodiversity have variously been described previously, but these have not been quantitatively assessed together or tested systematically. Economic theory predicts a systematic allocation of land to its highest use value in response to distance from centers of demand. We tested this theory to see if forest exploitation would expand through time and space as concentric waves, with each wave targeting lower value products. We used forest data along a transect from 10 to 220 km from Dar es Salaam (DES), Tanzania, collected at two points in time (1991 and 2005). Our predictions were confirmed: high-value logging expanded 9 km.y(-1), and an inner wave of lower value charcoal production 2 km.y(-1). This resource utilization is shown to reduce the public goods of carbon storage and species richness, which significantly increased with each kilometer from DES [carbon, 0.2 Mg.ha(-1); 0.1 species per sample area (0.4 ha)]. Our study suggests that tropical forest degradation can be modeled and predicted, with its attendant loss of some public goods. In sub-Saharan Africa, an area experiencing the highest rate of urban migration worldwide, coupled with a high dependence on forest based resources, predicting the spatiotemporal patterns of degradation can inform policies designed to extract resources without unsustainably reducing carbon storage and biodiversity.</t>
  </si>
  <si>
    <t>10.1073/pnas.0914471107</t>
  </si>
  <si>
    <r>
      <rPr>
        <rFont val="Arial"/>
        <color rgb="FF1155CC"/>
        <u/>
      </rPr>
      <t>http://dx.doi.org/10.1073/pnas.0914471107</t>
    </r>
  </si>
  <si>
    <t>WOS:000281287600010</t>
  </si>
  <si>
    <r>
      <rPr>
        <rFont val="Arial"/>
        <color rgb="FF1155CC"/>
        <u/>
      </rPr>
      <t>View Full Record in Web of Science</t>
    </r>
  </si>
  <si>
    <t>Robinson, C; Steinberg, DK; Anderson, TR; Arístegui, J; Carlson, CA; Frost, JR; Ghiglione, JF; Hernández-Léon, S; Jackson, GA; Koppelmann, R; Quéguiner, B; Ragueneau, O; Rassoulzadegan, F; Robison, BH; Tamburini, C; Tanaka, T; Wishner, KF; Zhang, J</t>
  </si>
  <si>
    <t>Mesopelagic zone ecology and biogeochemistry - a synthesis</t>
  </si>
  <si>
    <t>DEEP-SEA RESEARCH PART II-TOPICAL STUDIES IN OCEANOGRAPHY</t>
  </si>
  <si>
    <t>The mesopelagic zone is the oceanic region through which carbon and other elements must pass in order to reach deeper waters or the sea floor. However, the food web interactions that occur in the mesopelagic zone are difficult to measure and so, despite their crucial importance to global elemental cycles, are not very well known. Recent developments in technology and new approaches have advanced the study of the variability in and controls upon the distribution and diversity of organisms in the mesopelagic zone, including the roles of respiration, recycling, and repackaging of particulate and dissolved organic material. However, there are remarkably few syntheses of the ecology and biogeochemistry of the microbes and metazoa that permanently reside or habitually visit this 'twilight zone'. Without this synthesis, it is difficult to assess the impact of ongoing changes in ocean hydrography and chemistry, due to increasing atmospheric carbon dioxide levels, on the biological carbon pump. This paper reviews what is known about the distribution of microbes and metazoa in the mesopelagic zone in relation to their activity and impact on global biogeochemical cycles. Thus, gaps in our knowledge are identified and suggestions made for priority research programmes that will improve our ability to predict the effects of climate change on carbon sequestration. (C) 2010 Elsevier Ltd. All rights reserved.</t>
  </si>
  <si>
    <t>10.1016/j.dsr2.2010.02.018</t>
  </si>
  <si>
    <r>
      <rPr>
        <rFont val="Arial"/>
        <color rgb="FF1155CC"/>
        <u/>
      </rPr>
      <t>http://dx.doi.org/10.1016/j.dsr2.2010.02.018</t>
    </r>
  </si>
  <si>
    <t>WOS:000280377900008</t>
  </si>
  <si>
    <r>
      <rPr>
        <rFont val="Arial"/>
        <color rgb="FF1155CC"/>
        <u/>
      </rPr>
      <t>View Full Record in Web of Science</t>
    </r>
  </si>
  <si>
    <t>Hoegh-Guldberg, O; Bruno, JF</t>
  </si>
  <si>
    <t>The Impact of Climate Change on the World's Marine Ecosystems</t>
  </si>
  <si>
    <t>Marine ecosystems are centrally important to the biology of the planet, yet a comprehensive understanding of how anthropogenic climate change is affecting them has been poorly developed. Recent studies indicate that rapidly rising greenhouse gas concentrations are driving ocean systems toward conditions not seen for millions of years, with an associated risk of fundamental and irreversible ecological transformation. The impacts of anthropogenic climate change so far include decreased ocean productivity, altered food web dynamics, reduced abundance of habitat-forming species, shifting species distributions, and a greater incidence of disease. Although there is considerable uncertainty about the spatial and temporal details, climate change is clearly and fundamentally altering ocean ecosystems. Further change will continue to create enormous challenges and costs for societies worldwide, particularly those in developing countries.</t>
  </si>
  <si>
    <t>10.1126/science.1189930</t>
  </si>
  <si>
    <r>
      <rPr>
        <rFont val="Arial"/>
        <color rgb="FF1155CC"/>
        <u/>
      </rPr>
      <t>http://dx.doi.org/10.1126/science.1189930</t>
    </r>
  </si>
  <si>
    <t>WOS:000278859200037</t>
  </si>
  <si>
    <r>
      <rPr>
        <rFont val="Arial"/>
        <color rgb="FF1155CC"/>
        <u/>
      </rPr>
      <t>View Full Record in Web of Science</t>
    </r>
  </si>
  <si>
    <t>Nicholls, RJ; Cazenave, A</t>
  </si>
  <si>
    <t>Sea-Level Rise and Its Impact on Coastal Zones</t>
  </si>
  <si>
    <t>Global sea levels have risen through the 20th century. These rises will almost certainly accelerate through the 21st century and beyond because of global warming, but their magnitude remains uncertain. Key uncertainties include the possible role of the Greenland and West Antarctic ice sheets and the amplitude of regional changes in sea level. In many areas, nonclimatic components of relative sea-level change (mainly subsidence) can also be locally appreciable. Although the impacts of sea-level rise are potentially large, the application and success of adaptation are large uncertainties that require more assessment and consideration.</t>
  </si>
  <si>
    <t>10.1126/science.1185782</t>
  </si>
  <si>
    <r>
      <rPr>
        <rFont val="Arial"/>
        <color rgb="FF1155CC"/>
        <u/>
      </rPr>
      <t>http://dx.doi.org/10.1126/science.1185782</t>
    </r>
  </si>
  <si>
    <t>WOS:000278859200035</t>
  </si>
  <si>
    <r>
      <rPr>
        <rFont val="Arial"/>
        <color rgb="FF1155CC"/>
        <u/>
      </rPr>
      <t>View Full Record in Web of Science</t>
    </r>
  </si>
  <si>
    <t>van Donkelaar, A; Martin, RV; Brauer, M; Kahn, R; Levy, R; Verduzco, C; Villeneuve, PJ</t>
  </si>
  <si>
    <t>Global Estimates of Ambient Fine Particulate Matter Concentrations from Satellite-Based Aerosol Optical Depth: Development and Application</t>
  </si>
  <si>
    <t>ENVIRONMENTAL HEALTH PERSPECTIVES</t>
  </si>
  <si>
    <t>BACKGROUND: Epidemiologic and health impact studies of fine particulate matter with diameter &lt; 2.5 mu m (PM2.5) are limited by the lack of monitoring data, especially in developing countries. Satellite observations offer valuable global information about PM2.5 concentrations. OBJECTIVE: In this study, we developed a technique for estimating surface PM2.5 concentrations from satellite observations. METHODS: We mapped global ground-level PM2.5 concentrations using total column aerosol optical depth (AOD) from the MODIS (Moderate Resolution Imaging Spectroradiometer) and MISR (Multiangle Imaging Spectroradiometer) satellite instruments and coincident aerosol vertical profiles from the GEOS-Chem global chemical transport model. RESULTS: We determined that global estimates of long-term average (1 January 2001 to 31 December 2006) PM2.5 concentrations at approximately 10 km x 10 km resolution indicate a global population-weighted geometric mean PM2.5 concentration of 20 mu g/m(3). The World Health Organization Air Quality PM2.5 Interim Target-1 (35 mu g/m(3) annual average) is exceeded over central and eastern Asia for 38% and for 50% of the population, respectively. Annual mean PM2.5 concentrations exceed 80 mu g/m(3) over eastern China. Our evaluation of the satellite-derived estimate with ground-based in situ measurements indicates significant spatial agreement with North American measurements (r = 0.77; slope = 1.07; n = 1057) and with noncoincident measurements elsewhere (r = 0133; slope = 0.86; n = 244). The 1 SD of uncertainty in the satellite-derived PM2.5 is 25%, which is inferred from the AOD retrieval and from aerosol vertical profile errors and sampling. The global population-weighted mean uncertainty is 6.7 mu g/m(3). CONCLUSIONS: Satellite-derived total-column AOD, when combined with a chemical transport model, provides estimates of global long-term average PM2.5 concentrations.</t>
  </si>
  <si>
    <t>10.1289/ehp.0901623</t>
  </si>
  <si>
    <r>
      <rPr>
        <rFont val="Arial"/>
        <color rgb="FF1155CC"/>
        <u/>
      </rPr>
      <t>http://dx.doi.org/10.1289/ehp.0901623</t>
    </r>
  </si>
  <si>
    <t>Environmental Sciences; Public, Environmental &amp; Occupational Health; Toxicology</t>
  </si>
  <si>
    <t>WOS:000278591300031</t>
  </si>
  <si>
    <r>
      <rPr>
        <rFont val="Arial"/>
        <color rgb="FF1155CC"/>
        <u/>
      </rPr>
      <t>View Full Record in Web of Science</t>
    </r>
  </si>
  <si>
    <t>Butchart, SHM; Walpole, M; Collen, B; van Strien, A; Scharlemann, JPW; Almond, REA; Baillie, JEM; Bomhard, B; Brown, C; Bruno, J; Carpenter, KE; Carr, GM; Chanson, J; Chenery, AM; Csirke, J; Davidson, NC; Dentener, F; Foster, M; Galli, A; Galloway, JN; Genovesi, P; Gregory, RD; Hockings, M; Kapos, V; Lamarque, JF; Leverington, F; Loh, J; McGeoch, MA; McRae, L; Minasyan, A; Morcillo, MH; Oldfield, TEE; Pauly, D; Quader, S; Revenga, C; Sauer, JR; Skolnik, B; Spear, D; Stanwell-Smith, D; Stuart, SN; Symes, A; Tierney, M; Tyrrell, TD; Vié, JC; Watson, R</t>
  </si>
  <si>
    <t>Global Biodiversity: Indicators of Recent Declines</t>
  </si>
  <si>
    <t>In 2002, world leaders committed, through the Convention on Biological Diversity, to achieve a significant reduction in the rate of biodiversity loss by 2010. We compiled 31 indicators to report on progress toward this target. Most indicators of the state of biodiversity (covering species' population trends, extinction risk, habitat extent and condition, and community composition) showed declines, with no significant recent reductions in rate, whereas indicators of pressures on biodiversity (including resource consumption, invasive alien species, nitrogen pollution, overexploitation, and climate change impacts) showed increases. Despite some local successes and increasing responses (including extent and biodiversity coverage of protected areas, sustainable forest management, policy responses to invasive alien species, and biodiversity-related aid), the rate of biodiversity loss does not appear to be slowing.</t>
  </si>
  <si>
    <t>10.1126/science.1187512</t>
  </si>
  <si>
    <r>
      <rPr>
        <rFont val="Arial"/>
        <color rgb="FF1155CC"/>
        <u/>
      </rPr>
      <t>http://dx.doi.org/10.1126/science.1187512</t>
    </r>
  </si>
  <si>
    <t>WOS:000278104700046</t>
  </si>
  <si>
    <r>
      <rPr>
        <rFont val="Arial"/>
        <color rgb="FF1155CC"/>
        <u/>
      </rPr>
      <t>View Full Record in Web of Science</t>
    </r>
  </si>
  <si>
    <t>Quinton, JN; Govers, G; Van Oost, K; Bardgett, RD</t>
  </si>
  <si>
    <t>The impact of agricultural soil erosion on biogeochemical cycling</t>
  </si>
  <si>
    <t>Soils are the main terrestrial reservoir of nutrients, such as nitrogen and phosphorus, and of organic carbon. Synthesizing earlier studies, we find that the mobilization and deposition of agricultural soils can significantly alter nutrient and carbon cycling. Specifically, erosion can result in lateral fluxes of nitrogen and phosphorus that are similar in magnitude to those induced by fertilizer application and crop removal. Furthermore, the translocation and burial of soil reduces decomposition of soil organic carbon, and could lead to long-term carbon storage. The cycling of carbon, nitrogen and phosphorus are strongly interrelated. For example, erosion-induced burial of soils stabilizes soil nutrient and carbon pools, thereby increasing primary productivity and carbon uptake, and potentially reducing erosion. Our analysis shows soils as dynamic systems in time and space.</t>
  </si>
  <si>
    <t>10.1038/ngeo838</t>
  </si>
  <si>
    <r>
      <rPr>
        <rFont val="Arial"/>
        <color rgb="FF1155CC"/>
        <u/>
      </rPr>
      <t>http://dx.doi.org/10.1038/ngeo838</t>
    </r>
  </si>
  <si>
    <t>WOS:000277188500011</t>
  </si>
  <si>
    <r>
      <rPr>
        <rFont val="Arial"/>
        <color rgb="FF1155CC"/>
        <u/>
      </rPr>
      <t>View Full Record in Web of Science</t>
    </r>
  </si>
  <si>
    <t>Vilà, M; Basnou, C; Pysek, P; Josefsson, M; Genovesi, P; Gollasch, S; Nentwig, W; Olenin, S; Roques, A; Roy, D; Hulme, PE; Andriopoulos, P; Arianoutsou, M; Augustin, S; Bacher, S; Bazos, I; Bretagnolle, F; Chiron, F; Clergeau, P; Cochard, PO; Cocquempot, C; Coeur d'Acier, A; David, M; Delipetrou, P; Desprez-Loustau, ML; Didziulis, V; Dorkeld, F; Essl, F; Galil, BS; Gasquez, J; Georghiou, K; Hejda, M; Jarosik, V; Kark, S; Kokkoris, I; Kühn, I; Lambdon, PW; Lopez-Vaamonde, C; Marcer, A; Migeon, A; McLoughlin, M; Minchin, D; Navajas, M; Panov, VE; Pascal, M; Pergl, J; Perglová, I; Pino, J; Poboljsaj, K; Rabitsch, W; Rasplus, JY; Sauvard, D; Scalera, R; Sedlácek, O; Shirley, S; Winter, M; Yannitsaros, A; Yart, A; Zagatti, P; Zikos, A</t>
  </si>
  <si>
    <t>How well do we understand the impacts of alien species on ecosystem services? A pan-European, cross-taxa assessment</t>
  </si>
  <si>
    <t>Recent comprehensive data provided through the DAISIE project (www.europe-aliens.org) have facilitated the development of the first pan-European assessment of the impacts of alien plants, vertebrates, and invertebrates in terrestrial, freshwater, and marine environments on ecosystem services. There are 1094 species with documented ecological impacts and 1347 with economic impacts. The two taxonomic groups with the most species causing impacts are terrestrial invertebrates and terrestrial plants. The North Sea is the maritime region that suffers the most impacts. Across taxa and regions, ecological and economic impacts are highly correlated. Terrestrial invertebrates create greater economic impacts than ecological impacts, while the reverse is true for terrestrial plants. Alien species from all taxonomic groups affect supporting, provisioning, regulating, and cultural services and interfere with human well-being. Terrestrial vertebrates are responsible for the greatest range of impacts, and these are widely distributed across Europe. Here, we present a review of the financial costs, as the first step toward calculating an estimate of the economic consequences of alien species in Europe.</t>
  </si>
  <si>
    <t>10.1890/080083</t>
  </si>
  <si>
    <r>
      <rPr>
        <rFont val="Arial"/>
        <color rgb="FF1155CC"/>
        <u/>
      </rPr>
      <t>http://dx.doi.org/10.1890/080083</t>
    </r>
  </si>
  <si>
    <t>WOS:000276634200019</t>
  </si>
  <si>
    <r>
      <rPr>
        <rFont val="Arial"/>
        <color rgb="FF1155CC"/>
        <u/>
      </rPr>
      <t>View Full Record in Web of Science</t>
    </r>
  </si>
  <si>
    <t>Santos, LHMLM; Araújo, AN; Fachini, A; Pena, A; Delerue-Matos, C; Montenegro, MCBSM</t>
  </si>
  <si>
    <t>Ecotoxicological aspects related to the presence of pharmaceuticals in the aquatic environment</t>
  </si>
  <si>
    <t>JOURNAL OF HAZARDOUS MATERIALS</t>
  </si>
  <si>
    <t>Pharmaceuticals are biologically active and persistent substances which have been recognized as a continuing threat to environmental stability. Chronic ecotoxicity data as well as information on the current distribution levels in different environmental compartments continue to be sparse and are focused on those therapeutic classes that are more frequently prescribed and consumed. Nevertheless, they indicate the negative impact that these chemical contaminants may have on living organisms, ecosystems and ultimately, public health. This article reviews the different contamination sources as well as fate and both acute and chronic effects on non-target organisms. An extensive review of existing data in the form of tables, encompassing many therapeutic classes is presented. (C) 2009 Elsevier B.V. All rights reserved.</t>
  </si>
  <si>
    <t>10.1016/j.jhazmat.2009.10.100</t>
  </si>
  <si>
    <r>
      <rPr>
        <rFont val="Arial"/>
        <color rgb="FF1155CC"/>
        <u/>
      </rPr>
      <t>http://dx.doi.org/10.1016/j.jhazmat.2009.10.100</t>
    </r>
  </si>
  <si>
    <t>WOS:000274490400005</t>
  </si>
  <si>
    <r>
      <rPr>
        <rFont val="Arial"/>
        <color rgb="FF1155CC"/>
        <u/>
      </rPr>
      <t>View Full Record in Web of Science</t>
    </r>
  </si>
  <si>
    <t>Knutson, TR; McBride, JL; Chan, J; Emanuel, K; Holland, G; Landsea, C; Held, I; Kossin, JP; Srivastava, AK; Sugi, M</t>
  </si>
  <si>
    <t>Tropical cyclones and climate change</t>
  </si>
  <si>
    <t>Whether the characteristics of tropical cyclones have changed or will change in a warming climate - and if so, how - has been the subject of considerable investigation, often with conflicting results. Large amplitude fluctuations in the frequency and intensity of tropical cyclones greatly complicate both the detection of long-term trends and their attribution to rising levels of atmospheric greenhouse gases. Trend detection is further impeded by substantial limitations in the availability and quality of global historical records of tropical cyclones. Therefore, it remains uncertain whether past changes in tropical cyclone activity have exceeded the variability expected from natural causes. However, future projections based on theory and high-resolution dynamical models consistently indicate that greenhouse warming will cause the globally averaged intensity of tropical cyclones to shift towards stronger storms, with intensity increases of 2-11% by 2100. Existing modelling studies also consistently project decreases in the globally averaged frequency of tropical cyclones, by 6-34%. Balanced against this, higher resolution modelling studies typically project substantial increases in the frequency of the most intense cyclones, and increases of the order of 20% in the precipitation rate within 100 km of the storm centre. For all cyclone parameters, projected changes for individual basins show large variations between different modelling studies.</t>
  </si>
  <si>
    <t>10.1038/NGEO779</t>
  </si>
  <si>
    <r>
      <rPr>
        <rFont val="Arial"/>
        <color rgb="FF1155CC"/>
        <u/>
      </rPr>
      <t>http://dx.doi.org/10.1038/NGEO779</t>
    </r>
  </si>
  <si>
    <t>WOS:000274974700014</t>
  </si>
  <si>
    <r>
      <rPr>
        <rFont val="Arial"/>
        <color rgb="FF1155CC"/>
        <u/>
      </rPr>
      <t>View Full Record in Web of Science</t>
    </r>
  </si>
  <si>
    <t>Bender, MA; Knutson, TR; Tuleya, RE; Sirutis, JJ; Vecchi, GA; Garner, ST; Held, IM</t>
  </si>
  <si>
    <t>Modeled Impact of Anthropogenic Warming on the Frequency of Intense Atlantic Hurricanes</t>
  </si>
  <si>
    <t>Several recent models suggest that the frequency of Atlantic tropical cyclones could decrease as the climate warms. However, these models are unable to reproduce storms of category 3 or higher intensity. We explored the influence of future global warming on Atlantic hurricanes with a downscaling strategy by using an operational hurricane-prediction model that produces a realistic distribution of intense hurricane activity for present-day conditions. The model projects nearly a doubling of the frequency of category 4 and 5 storms by the end of the 21st century, despite a decrease in the overall frequency of tropical cyclones, when the downscaling is based on the ensemble mean of 18 global climate-change projections. The largest increase is projected to occur in the Western Atlantic, north of 20 degrees N.</t>
  </si>
  <si>
    <t>10.1126/science.1180568</t>
  </si>
  <si>
    <r>
      <rPr>
        <rFont val="Arial"/>
        <color rgb="FF1155CC"/>
        <u/>
      </rPr>
      <t>http://dx.doi.org/10.1126/science.1180568</t>
    </r>
  </si>
  <si>
    <t>WOS:000273783100035</t>
  </si>
  <si>
    <r>
      <rPr>
        <rFont val="Arial"/>
        <color rgb="FF1155CC"/>
        <u/>
      </rPr>
      <t>View Full Record in Web of Science</t>
    </r>
  </si>
  <si>
    <t>Cazenave, A; Llovel, W</t>
  </si>
  <si>
    <t>Contemporary Sea Level Rise</t>
  </si>
  <si>
    <t>ANNUAL REVIEW OF MARINE SCIENCE</t>
  </si>
  <si>
    <t>Measuring sea level change and understanding its causes has considerably improved in the recent years, essentially because new in situ and remote sensing observations have become available. Here we report on most recent results on contemporary sea level rise. We first present sea level observations from tide gauges over the twentieth century and from satellite altimetry since the early 1990s. We next discuss the most recent progress made in quantifying the processes causing sea level change on timescales ranging from years to decades, i.e., thermal expansion of the oceans, land ice mass loss, and land water-storage change. We show that for the 1993-2007 time span, the sum of climate-related contributions (2.85 +/- 0.35 mm year(-1)) is only slightly less than altimetry-based sea level rise (3.3 +/- 0.4 mm year(-1)): similar to 30% of the observed rate of rise is due to ocean thermal expansion and similar to 55% results from land ice melt. Recent acceleration in glacier melting and ice mass loss from the ice sheets increases the latter contribution up to 80% for the past five years. We also review the main causes of regional variability in sea level trends: The dominant contribution results from nonuniform changes in ocean thermal expansion.</t>
  </si>
  <si>
    <t>10.1146/annurev-marine-120308-081105</t>
  </si>
  <si>
    <r>
      <rPr>
        <rFont val="Arial"/>
        <color rgb="FF1155CC"/>
        <u/>
      </rPr>
      <t>http://dx.doi.org/10.1146/annurev-marine-120308-081105</t>
    </r>
  </si>
  <si>
    <t>WOS:000273985300006</t>
  </si>
  <si>
    <r>
      <rPr>
        <rFont val="Arial"/>
        <color rgb="FF1155CC"/>
        <u/>
      </rPr>
      <t>View Full Record in Web of Science</t>
    </r>
  </si>
  <si>
    <t>Pysek, P; Richardson, DM</t>
  </si>
  <si>
    <t>Invasive Species, Environmental Change and Management, and Health</t>
  </si>
  <si>
    <t>ANNUAL REVIEW OF ENVIRONMENT AND RESOURCES, VOL 35</t>
  </si>
  <si>
    <t>Invasive species are a major element of global change and are contributing to biodiversity loss, ecosystem degradation, and impairment of ecosystem services worldwide. Research is shedding new light on the ecological and economic consequences of invasions. New approaches are emerging for describing and evaluating impacts of invasive species, and for translating these impacts into monetary terms. The harmful effects of invasions are now widely recognized, and multiscale programs are in place in many parts of the world to reduce current and future impacts. There has been an upsurge in scientific research aimed at guiding management interventions. Among the activities that are receiving the most attention and that have the most promise for reducing problems are risk assessment, pathway and vector management, early detection, rapid response, and new approaches to mitigation and restoration. Screening protocols to reduce new introductions are becoming more accurate and have been shown cost-effective.</t>
  </si>
  <si>
    <t>10.1146/annurev-environ-033009-095548</t>
  </si>
  <si>
    <r>
      <rPr>
        <rFont val="Arial"/>
        <color rgb="FF1155CC"/>
        <u/>
      </rPr>
      <t>http://dx.doi.org/10.1146/annurev-environ-033009-095548</t>
    </r>
  </si>
  <si>
    <t>WOS:000284721100002</t>
  </si>
  <si>
    <r>
      <rPr>
        <rFont val="Arial"/>
        <color rgb="FF1155CC"/>
        <u/>
      </rPr>
      <t>View Full Record in Web of Science</t>
    </r>
  </si>
  <si>
    <t>Loarie, SR; Duffy, PB; Hamilton, H; Asner, GP; Field, CB; Ackerly, DD</t>
  </si>
  <si>
    <t>The velocity of climate change</t>
  </si>
  <si>
    <t>The ranges of plants and animals are moving in response to recent changes in climate(1). As temperatures rise, ecosystems with 'nowhere to go', such as mountains, are considered to be more threatened(2,3). However, species survival may depend as much on keeping pace with moving climates as the climate's ultimate persistence(4,5). Here we present a new index of the velocity of temperature change (km yr(-1)), derived from spatial gradients (degrees C km(-1)) and multimodel ensemble forecasts of rates of temperature increase (degrees C yr(-1)) in the twenty-first century. This index represents the instantaneous local velocity along Earth's surface needed to maintain constant temperatures, and has a global mean of 0.42 km yr(-1) (A1B emission scenario). Owing to topographic effects, the velocity of temperature change is lowest in mountainous biomes such as tropical and subtropical coniferous forests (0.08 km yr(-1)), temperate coniferous forest, and montane grasslands. Velocities are highest in flooded grasslands (1.26 km yr(-1)), mangroves and deserts. High velocities suggest that the climates of only 8% of global protected areas have residence times exceeding 100 years. Small protected areas exacerbate the problem in Mediterranean-type and temperate coniferous forest biomes. Large protected areas may mitigate the problem in desert biomes. These results indicate management strategies for minimizing biodiversity loss from climate change. Montane landscapes may effectively shelter many species into the next century. Elsewhere, reduced emissions, a much expanded network of protected areas(6), or efforts to increase species movement may be necessary(7).</t>
  </si>
  <si>
    <t>10.1038/nature08649</t>
  </si>
  <si>
    <r>
      <rPr>
        <rFont val="Arial"/>
        <color rgb="FF1155CC"/>
        <u/>
      </rPr>
      <t>http://dx.doi.org/10.1038/nature08649</t>
    </r>
  </si>
  <si>
    <t>WOS:000272996000046</t>
  </si>
  <si>
    <r>
      <rPr>
        <rFont val="Arial"/>
        <color rgb="FF1155CC"/>
        <u/>
      </rPr>
      <t>View Full Record in Web of Science</t>
    </r>
  </si>
  <si>
    <t>Brink, AB; Eva, HD</t>
  </si>
  <si>
    <t>Monitoring 25 years of land cover change dynamics in Africa: A sample based remote sensing approach</t>
  </si>
  <si>
    <t>APPLIED GEOGRAPHY</t>
  </si>
  <si>
    <t>The study examines the changes in sub-saharan's natural land covet resources for a 25 year period. We assess these changes in four broad land cover classes - forests, natural lion-forest vegetation, agriculture and barren - by using high spatial resolution Earth observing satellites. Two sets of sample Images. one 'historical' targeted at 1975 and a second 'recent' targeted at the year 2000. have been selected through a stratified random sampling technique over the study area. targeting a sampling rate of 1% in each of the strata. The results, presented at eco-region level and aggregated at sub-Saharan level, show a 57% increase in agriculture area at the expense of natural vegetation which has itself decreased by 21% over the period. with nearly 5 million hectares forest and non-forest natural vegetation lost per year. The impacts of these changes on the environment on one site and on the socio-economy on the other site are discussed and possible pressures oil human well being are highlighted. (c) 2008 Elsevier Ltd. All rights reserved</t>
  </si>
  <si>
    <t>10.1016/j.apgeog.2008.10.004</t>
  </si>
  <si>
    <r>
      <rPr>
        <rFont val="Arial"/>
        <color rgb="FF1155CC"/>
        <u/>
      </rPr>
      <t>http://dx.doi.org/10.1016/j.apgeog.2008.10.004</t>
    </r>
  </si>
  <si>
    <t>Geography</t>
  </si>
  <si>
    <t>WOS:000271256000004</t>
  </si>
  <si>
    <r>
      <rPr>
        <rFont val="Arial"/>
        <color rgb="FF1155CC"/>
        <u/>
      </rPr>
      <t>View Full Record in Web of Science</t>
    </r>
  </si>
  <si>
    <t>Haines-Young, R</t>
  </si>
  <si>
    <t>Land use and biodiversity relationships</t>
  </si>
  <si>
    <t>The relationships between land use and biodiversity are fundamental to understanding the links between people and their environment. Biodiversity can be measured in many ways. The concept covers not only the overall richness of species present in a particular area but also the diversity of genotypes, functional groups, communities, habitats and ecosystems there. As a result, the relationships between biodiversity in its broadest sense and land use can be complex and highly context dependent. Moreover, the relationships between them are often two-way, so that simple relationships between cause and effect can be difficult to identify. In some places, specific land uses or land management practices may be important in sustaining particular patterns of biodiversity. Elsewhere. the uses to which land can be put are highly dependent oil the biodiversity resources present. The review will consider how changes in the quantity, quality and spatial configuration of different aspects of land use can impact on different components of biodiversity, and what direct and indirect factors might drive these changes. The need to distinguish between land cover and land use will be discussed in relation to the economic and social drivers of land use change. The review will also consider whether framing biodiversity objectives involves society in placing constraints upon the types of land use and management practice that are possible, and will consider such arguments in relation to assessments of the costs of biodiversity loss. It Would seem that while considerable progress has been made in mapping Out plausible futures for land use and biodiversity at global and regional scales, closer integration of modelling, scenario and field-based monitoring is needed to strengthen the evidence base available to decision makers. Challenges that face us include how we take account of the qualitative changes in land cover, and the impacts Of Such modifications oil biodiversity and ecosystem services. Broader perspectives oil the Value of biodiversity and ecosystem services are also needed as the basis for developing adaptive and flexible approaches to policy and management. (C) 2009 Queen's Printer and Controller of HMSO. Published by Elsevier Ltd. All rights reserved.</t>
  </si>
  <si>
    <t>10.1016/j.landusepol.2009.08.009</t>
  </si>
  <si>
    <r>
      <rPr>
        <rFont val="Arial"/>
        <color rgb="FF1155CC"/>
        <u/>
      </rPr>
      <t>http://dx.doi.org/10.1016/j.landusepol.2009.08.009</t>
    </r>
  </si>
  <si>
    <t>WOS:000275223500020</t>
  </si>
  <si>
    <r>
      <rPr>
        <rFont val="Arial"/>
        <color rgb="FF1155CC"/>
        <u/>
      </rPr>
      <t>View Full Record in Web of Science</t>
    </r>
  </si>
  <si>
    <t>Worm, B; Hilborn, R; Baum, JK; Branch, TA; Collie, JS; Costello, C; Fogarty, MJ; Fulton, EA; Hutchings, JA; Jennings, S; Jensen, OP; Lotze, HK; Mace, PM; McClanahan, TR; Minto, C; Palumbi, SR; Parma, AM; Ricard, D; Rosenberg, AA; Watson, R; Zeller, D</t>
  </si>
  <si>
    <t>Rebuilding Global Fisheries</t>
  </si>
  <si>
    <t>After a long history of overexploitation, increasing efforts to restore marine ecosystems and rebuild fisheries are under way. Here, we analyze current trends from a fisheries and conservation perspective. In 5 of 10 well-studied ecosystems, the average exploitation rate has recently declined and is now at or below the rate predicted to achieve maximum sustainable yield for seven systems. Yet 63% of assessed fish stocks worldwide still require rebuilding, and even lower exploitation rates are needed to reverse the collapse of vulnerable species. Combined fisheries and conservation objectives can be achieved by merging diverse management actions, including catch restrictions, gear modification, and closed areas, depending on local context. Impacts of international fleets and the lack of alternatives to fishing complicate prospects for rebuilding fisheries in many poorer regions, highlighting the need for a global perspective on rebuilding marine resources.</t>
  </si>
  <si>
    <t>10.1126/science.1173146</t>
  </si>
  <si>
    <r>
      <rPr>
        <rFont val="Arial"/>
        <color rgb="FF1155CC"/>
        <u/>
      </rPr>
      <t>http://dx.doi.org/10.1126/science.1173146</t>
    </r>
  </si>
  <si>
    <t>WOS:000268493000042</t>
  </si>
  <si>
    <r>
      <rPr>
        <rFont val="Arial"/>
        <color rgb="FF1155CC"/>
        <u/>
      </rPr>
      <t>View Full Record in Web of Science</t>
    </r>
  </si>
  <si>
    <t>Barnes, DKA; Galgani, F; Thompson, RC; Barlaz, M</t>
  </si>
  <si>
    <t>Accumulation and fragmentation of plastic debris in global environments</t>
  </si>
  <si>
    <t>One of the most ubiquitous and long-lasting recent changes to the surface of our planet is the accumulation and fragmentation of plastics. Within just a few decades since mass production of plastic products commenced in the 1950s, plastic debris has accumulated in terrestrial environments, in the open ocean, on shorelines of even the most remote islands and in the deep sea. Annual clean-up operations, costing millions of pounds sterling, are now organized in many countries and on every continent. Here we document global plastics production and the accumulation of plastic waste. While plastics typically constitute approximately 10 per cent of discarded waste, they represent a much greater proportion of the debris accumulating on shorelines. Mega- and macro-plastics have accumulated in the highest densities in the Northern Hemisphere, adjacent to urban centres, in enclosed seas and at water convergences ( fronts). We report lower densities on remote island shores, on the continental shelf seabed and the lowest densities (but still a documented presence) in the deep sea and Southern Ocean. The longevity of plastic is estimated to be hundreds to thousands of years, but is likely to be far longer in deep sea and non-surface polar environments. Plastic debris poses considerable threat by choking and starving wildlife, distributing non-native and potentially harmful organisms, absorbing toxic chemicals and degrading to micro-plastics that may subsequently be ingested. Well-established annual surveys on coasts and at sea have shown that trends in mega- and macro-plastic accumulation rates are no longer uniformly increasing: rather stable, increasing and decreasing trends have all been reported. The average size of plastic particles in the environment seems to be decreasing, and the abundance and global distribution of micro-plastic fragments have increased over the last few decades. However, the environmental consequences of such microscopic debris are still poorly understood.</t>
  </si>
  <si>
    <t>10.1098/rstb.2008.0205</t>
  </si>
  <si>
    <r>
      <rPr>
        <rFont val="Arial"/>
        <color rgb="FF1155CC"/>
        <u/>
      </rPr>
      <t>http://dx.doi.org/10.1098/rstb.2008.0205</t>
    </r>
  </si>
  <si>
    <t>WOS:000267281600004</t>
  </si>
  <si>
    <r>
      <rPr>
        <rFont val="Arial"/>
        <color rgb="FF1155CC"/>
        <u/>
      </rPr>
      <t>View Full Record in Web of Science</t>
    </r>
  </si>
  <si>
    <t>Bradshaw, CJA; Sodhi, NS; Brook, BW</t>
  </si>
  <si>
    <t>Tropical turmoil: a biodiversity tragedy in progress</t>
  </si>
  <si>
    <t>All is not well for biodiversity in the tropics. Despite recent debate over the extent of future tropical extinctions and the effectiveness of reserve systems, the continued disappearance of habitat, soaring human population, and loss of vital ecosystem services demand immediate action. This crisis is worrying, given that tropical regions support over two-thirds of all known species and are populated by some of the world's poorest people, who have little recourse to lower environmental-impact lifestyles. Recent evidence has shown that - in addition to unabated rates of forest loss - coastal development, overexploitation of wildlife, catchment modification, and habitat conversion are threatening human well-being. We argue that the recent technical debate about likely extinctions masks the real issue - that, to prevent further loss of irreplaceable tropical biodiversity, we must err on the side of caution. We need to avoid inadvertently supporting political agendas that assume low future extinction rates, because this will result in further destruction of tropical biodiversity.</t>
  </si>
  <si>
    <t>10.1890/070193</t>
  </si>
  <si>
    <r>
      <rPr>
        <rFont val="Arial"/>
        <color rgb="FF1155CC"/>
        <u/>
      </rPr>
      <t>http://dx.doi.org/10.1890/070193</t>
    </r>
  </si>
  <si>
    <t>WOS:000263908400019</t>
  </si>
  <si>
    <r>
      <rPr>
        <rFont val="Arial"/>
        <color rgb="FF1155CC"/>
        <u/>
      </rPr>
      <t>View Full Record in Web of Science</t>
    </r>
  </si>
  <si>
    <t>Doney, SC; Fabry, VJ; Feely, RA; Kleypas, JA</t>
  </si>
  <si>
    <t>Ocean Acidification: The Other CO2 Problem</t>
  </si>
  <si>
    <t>Rising atmospheric carbon dioxide (CO2), primarily from human fossil fuel combustion, reduces ocean pH and causes wholesale shifts in seawater carbonate chemistry. The process of ocean acidification is well documented in field data, and the rate will accelerate over this century unless future CO2 emissions are curbed dramatically. Acidification alters seawater chemical speciation and biogeochemical cycles of many elements and compounds. One well-known effect is the lowering of calcium carbonate saturation states, which impacts shell-forming marine organisms from plankton to benthic molluses, echinoderms, and corals. Many calcifying species exhibit reduced calcification and growth rates in laboratory experiments under high-CO2 conditions. Ocean acidification also causes an increase in carbon fixation rates in some photosynthetic organisms (both calcifying and noncalcifying). The potential for marine organisms to adapt to increasing CO2 and broader implications for ocean ecosystems are not well known; both are high priorities for future research. Although ocean pH has varied in the geological past, paleo-events may be only imperfect analogs to current conditions.</t>
  </si>
  <si>
    <t>10.1146/annurev.marine.010908.163834</t>
  </si>
  <si>
    <r>
      <rPr>
        <rFont val="Arial"/>
        <color rgb="FF1155CC"/>
        <u/>
      </rPr>
      <t>http://dx.doi.org/10.1146/annurev.marine.010908.163834</t>
    </r>
  </si>
  <si>
    <t>WOS:000267421700008</t>
  </si>
  <si>
    <r>
      <rPr>
        <rFont val="Arial"/>
        <color rgb="FF1155CC"/>
        <u/>
      </rPr>
      <t>View Full Record in Web of Science</t>
    </r>
  </si>
  <si>
    <t>Luber, G; McGeehin, M</t>
  </si>
  <si>
    <t>Climate Change and Extreme Heat Events</t>
  </si>
  <si>
    <t>AMERICAN JOURNAL OF PREVENTIVE MEDICINE</t>
  </si>
  <si>
    <t>The association between climate change and the frequency and intensity of extreme heat events is now well established. General circulation models of climate change predict that heatwaves will become more frequent and intense, especially in the higher latitudes, affecting large metropolitan areas that are not well adapted to them. Exposure to extreme heat is already a significant public health problem and the primary cause of weather-related mortality in the U.S. This article reviews major epidemiologic risk factors associated with mortality from extreme heat exposure and discusses future drivers of heat-related mortality, including a warming climate, the urban heat island effect, and an aging population. In addition, it considers critical areas of an effective public health response including heat response plans, the use of remote sensing and GIS methodologies, and the importance of effective communications strategies.</t>
  </si>
  <si>
    <t>10.1016/j.amepre.2008.08.021</t>
  </si>
  <si>
    <r>
      <rPr>
        <rFont val="Arial"/>
        <color rgb="FF1155CC"/>
        <u/>
      </rPr>
      <t>http://dx.doi.org/10.1016/j.amepre.2008.08.021</t>
    </r>
  </si>
  <si>
    <t>Public, Environmental &amp; Occupational Health; Medicine, General &amp; Internal</t>
  </si>
  <si>
    <t>WOS:000260396600007</t>
  </si>
  <si>
    <r>
      <rPr>
        <rFont val="Arial"/>
        <color rgb="FF1155CC"/>
        <u/>
      </rPr>
      <t>View Full Record in Web of Science</t>
    </r>
  </si>
  <si>
    <t>Kuemmerle, T; Hostert, P; Radeloff, VC; van der Linden, S; Perzanowski, K; Kruhlov, I</t>
  </si>
  <si>
    <t>Cross-border comparison of post-socialist farmland abandonment in the Carpathians</t>
  </si>
  <si>
    <t>ECOSYSTEMS</t>
  </si>
  <si>
    <t>Agricultural areas are declining in many areas of the world, often because socio-economic and political changes make agriculture less profitable. The transition from centralized to market-oriented economies in Eastern Europe and the former Soviet Union after 1989 represented major economic and political changes, yet the resulting rates and spatial pattern of post-socialist farmland abandonment remain largely unknown. Remote sensing offers unique opportunities to map farmland abandonment, but automated assessments are challenging because phenology and crop types often vary substantially. We developed a change detection method based on support vector machines (SVM) to map farmland abandonment in the border triangle of Poland, Slovakia, and Ukraine in the Carpathians from Landsat TM/ETM+ images from 1986, 1988, and 2000. Our SVM-based approach yielded an accurate change map (overall accuracy = 90.9%; kappa = 0.82), underpinning the potential of SVM to map complex land-use change processes such as farmland abandonment. Farmland abandonment was widespread in the study area (16.1% of the farmland used in socialist times), likely due to decreasing profitability of agriculture after 1989. We also found substantial differences in abandonment among the countries (13.9% in Poland, 20.7% in Slovakia, and 13.3% in Ukraine), and between previously collectivized farmland and farmland that remained private during socialism in Poland. These differences are likely due to differences in socialist land ownership patterns, post-socialist land reform strategies, and rural population density.</t>
  </si>
  <si>
    <t>10.1007/s10021-008-9146-z</t>
  </si>
  <si>
    <r>
      <rPr>
        <rFont val="Arial"/>
        <color rgb="FF1155CC"/>
        <u/>
      </rPr>
      <t>http://dx.doi.org/10.1007/s10021-008-9146-z</t>
    </r>
  </si>
  <si>
    <t>WOS:000256529200009</t>
  </si>
  <si>
    <r>
      <rPr>
        <rFont val="Arial"/>
        <color rgb="FF1155CC"/>
        <u/>
      </rPr>
      <t>View Full Record in Web of Science</t>
    </r>
  </si>
  <si>
    <t>Lüthi, D; Le Floch, M; Bereiter, B; Blunier, T; Barnola, JM; Siegenthaler, U; Raynaud, D; Jouzel, J; Fischer, H; Kawamura, K; Stocker, TF</t>
  </si>
  <si>
    <t>High-resolution carbon dioxide concentration record 650,000-800,000 years before present</t>
  </si>
  <si>
    <t>Changes in past atmospheric carbon dioxide concentrations can be determined by measuring the composition of air trapped in ice cores from Antarctica. So far, the Antarctic Vostok and EPICA Dome C ice cores have provided a composite record of atmospheric carbon dioxide levels over the past 650,000 years(1-4). Here we present results of the lowest 200m of the Dome C ice core, extending the record of atmospheric carbon dioxide concentration by two complete glacial cycles to 800,000 yr before present. From previously published data(1-8) and the present work, we find that atmospheric carbon dioxide is strongly correlated with Antarctic temperature throughout eight glacial cycles but with significantly lower concentrations between 650,000 and 750,000 yr before present. Carbon dioxide levels are below 180 parts per million by volume ( p. p. m. v.) for a period of 3,000 yr during Marine Isotope Stage 16, possibly reflecting more pronounced oceanic carbon storage. We report the lowest carbon dioxide concentration measured in an ice core, which extends the pre-industrial range of carbon dioxide concentrations during the late Quaternary by about 10 p. p. m. v. to 172-300 p. p. m. v.</t>
  </si>
  <si>
    <t>10.1038/nature06949</t>
  </si>
  <si>
    <r>
      <rPr>
        <rFont val="Arial"/>
        <color rgb="FF1155CC"/>
        <u/>
      </rPr>
      <t>http://dx.doi.org/10.1038/nature06949</t>
    </r>
  </si>
  <si>
    <t>WOS:000255868400049</t>
  </si>
  <si>
    <r>
      <rPr>
        <rFont val="Arial"/>
        <color rgb="FF1155CC"/>
        <u/>
      </rPr>
      <t>View Full Record in Web of Science</t>
    </r>
  </si>
  <si>
    <t>Church, JA; White, NJ; Aarup, T; Wilson, WS; Woodworth, PL; Domingues, CM; Hunter, JR; Lambeck, K</t>
  </si>
  <si>
    <t>Understanding global sea levels: past, present and future</t>
  </si>
  <si>
    <t>SUSTAINABILITY SCIENCE</t>
  </si>
  <si>
    <t>The coastal zone has changed profoundly during the 20th century and, as a result, society is becoming increasingly vulnerable to the impact of sea-level rise and variability. This demands improved understanding to facilitate appropriate planning to minimise potential losses. With this in mind, the World Climate Research Programme organised a workshop (held in June 2006) to document current understanding and to identify research and observations required to reduce current uncertainties associated with sea-level rise and variability. While sea levels have varied by over 120 m during glacial/interglacial cycles, there has been little net rise over the past several millennia until the 19th century and early 20th century, when geological and tide-gauge data indicate an increase in the rate of sea-level rise. Recent satellite-altimeter data and tide-gauge data have indicated that sea levels are now rising at over 3 mm year(-1). The major contributions to 20th and 21st century sea-level rise are thought to be a result of ocean thermal expansion and the melting of glaciers and ice caps. Ice sheets are thought to have been a minor contributor to 20th century sea-level rise, but are potentially the largest contributor in the longer term. Sea levels are currently rising at the upper limit of the projections of the Third Assessment Report of the Intergovernmental Panel on Climate Change (TAR IPCC), and there is increasing concern of potentially large ice-sheet contributions during the 21st century and beyond, particularly if greenhouse gas emissions continue unabated. A suite of ongoing satellite and in situ observational activities need to be sustained and new activities supported. To the extent that we are able to sustain these observations, research programmes utilising the resulting data should be able to significantly improve our understanding and narrow projections of future sea-level rise and variability.</t>
  </si>
  <si>
    <t>10.1007/s11625-008-0042-4</t>
  </si>
  <si>
    <r>
      <rPr>
        <rFont val="Arial"/>
        <color rgb="FF1155CC"/>
        <u/>
      </rPr>
      <t>http://dx.doi.org/10.1007/s11625-008-0042-4</t>
    </r>
  </si>
  <si>
    <t>WOS:000264104000003</t>
  </si>
  <si>
    <r>
      <rPr>
        <rFont val="Arial"/>
        <color rgb="FF1155CC"/>
        <u/>
      </rPr>
      <t>View Full Record in Web of Science</t>
    </r>
  </si>
  <si>
    <t>Halpern, BS; Walbridge, S; Selkoe, KA; Kappel, CV; Micheli, F; D'Agrosa, C; Bruno, JF; Casey, KS; Ebert, C; Fox, HE; Fujita, R; Heinemann, D; Lenihan, HS; Madin, EMP; Perry, MT; Selig, ER; Spalding, M; Steneck, R; Watson, R</t>
  </si>
  <si>
    <t>A global map of human impact on marine ecosystems</t>
  </si>
  <si>
    <t>The management and conservation of the world's oceans require synthesis of spatial data on the distribution and intensity of human activities and the overlap of their impacts on marine ecosystems. We developed an ecosystem- specific, multiscale spatial model to synthesize 17 global data sets of anthropogenic drivers of ecological change for 20 marine ecosystems. Our analysis indicates that no area is unaffected by human influence and that a large fraction ( 41%) is strongly affected by multiple drivers. However, large areas of relatively little human impact remain, particularly near the poles. The analytical process and resulting maps provide flexible tools for regional and global efforts to allocate conservation resources; to implement ecosystem- based management; and to inform marine spatial planning, education, and basic research.</t>
  </si>
  <si>
    <t>10.1126/science.1149345</t>
  </si>
  <si>
    <r>
      <rPr>
        <rFont val="Arial"/>
        <color rgb="FF1155CC"/>
        <u/>
      </rPr>
      <t>http://dx.doi.org/10.1126/science.1149345</t>
    </r>
  </si>
  <si>
    <t>WOS:000253165700045</t>
  </si>
  <si>
    <r>
      <rPr>
        <rFont val="Arial"/>
        <color rgb="FF1155CC"/>
        <u/>
      </rPr>
      <t>View Full Record in Web of Science</t>
    </r>
  </si>
  <si>
    <t>Kidd, KA; Blanchfield, PJ; Mills, KH; Palace, VP; Evans, RE; Lazorchak, JM; Flick, RW</t>
  </si>
  <si>
    <t>Collapse of a fish population after exposure to a synthetic estrogen</t>
  </si>
  <si>
    <t>Municipal wastewaters are a complex mixture containing estrogens and estrogen mimics that are known to affect the reproductive health of wild fishes. Male fishes downstream of some wastewater out falls produce vitellogenin (VTG) (a protein normally synthesized by females during oocyte maturation) and early-stage eggs in their testes, and this feminization has been attributed to the presence of estrogenic substances such as natural estrogens [estrone or 17 beta-estradiol (E2)], the synthetic estrogen used in birth-control pills [17 alpha-ethynylestradiol (EE2)], or weaker estrogen mimics such as nonylphenol in the water. Despite widespread evidence that male fishes are being feminized, it is not known whether these low-level, chronic exposures adversely impact the sustainability of wild populations. We conducted a 7-year, wholelake experiment at the Experimental Lakes Area (ELA) in northwestern Ontario, Canada, and showed that chronic exposure of fathead minnow (Pimephalespromelas) to low concentrations (5-6 ng-L-1) of the potent 17 alpha-ethynylestradiol led to feminization of males through the production of vitellogenin mRNA and protein, impacts on gonadal development as evidenced by intersex in males and altered oogenesis in females, and, ultimately, a near extinction of this species from the lake. Our observations demonstrate that the concentrations of estrogens and their mimics observed in freshwaters can impact the sustainability of wild fish populations.</t>
  </si>
  <si>
    <t>10.1073/pnas.0609568104</t>
  </si>
  <si>
    <r>
      <rPr>
        <rFont val="Arial"/>
        <color rgb="FF1155CC"/>
        <u/>
      </rPr>
      <t>http://dx.doi.org/10.1073/pnas.0609568104</t>
    </r>
  </si>
  <si>
    <t>WOS:000246853700040</t>
  </si>
  <si>
    <r>
      <rPr>
        <rFont val="Arial"/>
        <color rgb="FF1155CC"/>
        <u/>
      </rPr>
      <t>View Full Record in Web of Science</t>
    </r>
  </si>
  <si>
    <t>Quinton, JN; Catt, JA</t>
  </si>
  <si>
    <t>Enrichment of heavy metals in sediment resulting from soil erosion on agricultural fields</t>
  </si>
  <si>
    <t>Heavy metal pollution of soil and water is often associated with industry, but in this paper we demonstrate that water erosion on agricultural soil which has received only agrochemicals has enriched sediment metal concentrations to toxic levels which breach many accepted standards for soils and sediments. Eight 0.1 ha erosion plots with different cultivation treatments were monitored over a 6 year period for surface runoff, soil loss, and Cr, Cu, Pb, and Ni concentrations. Mean concentrations of these heavy metals were up to 3.98 times higher in the sediment than in the parent soil and in some erosion events the sediment had 13.5 times the concentration of metals in the soil. All the sediment heavy metal concentrations were significantly correlated (p &lt; 0.01) with the clay and silt sized fractions of the sediment and with carbon content. The erosion was a highly selective process enriching the detached material in silt, clay, and organic carbon. This was particularly true in smaller erosion events. Sediment metal concentrations tended to follow the shape of runoff hydrographs, although the pattern changed from storm to storm.</t>
  </si>
  <si>
    <t>10.1021/es062147h</t>
  </si>
  <si>
    <r>
      <rPr>
        <rFont val="Arial"/>
        <color rgb="FF1155CC"/>
        <u/>
      </rPr>
      <t>http://dx.doi.org/10.1021/es062147h</t>
    </r>
  </si>
  <si>
    <t>WOS:000246371800023</t>
  </si>
  <si>
    <r>
      <rPr>
        <rFont val="Arial"/>
        <color rgb="FF1155CC"/>
        <u/>
      </rPr>
      <t>View Full Record in Web of Science</t>
    </r>
  </si>
  <si>
    <t>Munodawafa, A</t>
  </si>
  <si>
    <t>Assessing nutrient losses with soil erosion under different tillage systems and their implications on water quality</t>
  </si>
  <si>
    <t>PHYSICS AND CHEMISTRY OF THE EARTH</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</si>
  <si>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t>
  </si>
  <si>
    <t>10.1016/j.pce.2007.07.033</t>
  </si>
  <si>
    <r>
      <rPr>
        <rFont val="Arial"/>
        <color rgb="FF1155CC"/>
        <u/>
      </rPr>
      <t>http://dx.doi.org/10.1016/j.pce.2007.07.033</t>
    </r>
  </si>
  <si>
    <t>Geosciences, Multidisciplinary; Meteorology &amp; Atmospheric Sciences; Water Resources</t>
  </si>
  <si>
    <t>WOS:000250159500021</t>
  </si>
  <si>
    <r>
      <rPr>
        <rFont val="Arial"/>
        <color rgb="FF1155CC"/>
        <u/>
      </rPr>
      <t>View Full Record in Web of Science</t>
    </r>
  </si>
  <si>
    <t>Church, JA; White, NJ; Hunter, JR</t>
  </si>
  <si>
    <t>Sea-level rise at tropical Pacific and Indian Ocean islands</t>
  </si>
  <si>
    <t>GLOBAL AND PLANETARY CHANGE</t>
  </si>
  <si>
    <t>Historical and projected sea-levels for islands in the tropical Pacific and Indian oceans are a subject of considerable interest and some controversy. The large variability (e.g. El Nino) signals and the shortness of many of the individual tide-gauge records contribute to uncertainty of historical rates of sea-level rise. Here, we determine rates of sea-level rise from tide gauges in the region. We also examine sea-level data from the TOPEX/Poseidon satellite altimeter and from a reconstruction of sea level in order to put the sparse (in space and time) tide-gauge data into context. For 1993 to 2001, all the data show large rates of sea-level rise over the western Pacific and eastern Indian Ocean (approaching 30 mm yr(-1)) and sea-level falls in the eastern Pacific and western Indian Ocean (approaching - 10 mm yr(-1)). Over the region 40 degrees S to 40 degrees N, 30 degrees E to 120 degrees W, the average rise is about 4 mm yr(-1). For 1950 to 2001, the average sea-level rise (relative to land) from the six longest tide-gauge records is 1.4 mm yr(-1). After correcting for glacial isostatic adjustment and atmospheric pressure effects, this rate is 2.0 min yr(-1), close to estimates of the global average and regional average rate of rise. The long tide-gauge records in the equatorial Pacific indicate that the variance of monthly averaged sea-level after 1970 is about twice that before 1970. We find no evidence for,the fall in sea level at the Maldives as postulated by Morner et al. (2004). Our best estimate of relative sea-level rise at Funafuti, Tuvalu is 2 +/- 1 min yr(-1) over the period 1950 to 2001. The analysis clearly indicates that sea-level in this region is rising. We expect that the continued and increasing rate of sea-level rise and any resulting increase in the frequency or intensity of extreme sea-level events will cause serious problems for the inhabitants of some of these islands during the 21st century. (C) 2006 Elsevier B.V. All rights reserved.</t>
  </si>
  <si>
    <t>10.1016/j.gloplacha.2006.04.001</t>
  </si>
  <si>
    <r>
      <rPr>
        <rFont val="Arial"/>
        <color rgb="FF1155CC"/>
        <u/>
      </rPr>
      <t>http://dx.doi.org/10.1016/j.gloplacha.2006.04.001</t>
    </r>
  </si>
  <si>
    <t>Geography, Physical; Geosciences, Multidisciplinary</t>
  </si>
  <si>
    <t>WOS:000240743000001</t>
  </si>
  <si>
    <r>
      <rPr>
        <rFont val="Arial"/>
        <color rgb="FF1155CC"/>
        <u/>
      </rPr>
      <t>View Full Record in Web of Science</t>
    </r>
  </si>
  <si>
    <t>Schandl, H; Eisenmenger, N</t>
  </si>
  <si>
    <t>Regional patterns in global resource extraction</t>
  </si>
  <si>
    <t>JOURNAL OF INDUSTRIAL ECOLOGY</t>
  </si>
  <si>
    <t>This article presents an account of global resource extraction for the year 1999 by material groups, world regions, and development status. The account is based on materials flow analysis methodology and provides benchmark information for political strategies toward sustainable resource management. It shows that currently around 50 thousand megatons of resources are extracted yearly on a global scale, which results in a yearly global average resource use of around 8 tonnes per capita. Assuming further growth in world regions not yet close to the levels of resource use in the industrial cores-such as India or China-numbers could easily double once these parts of the world come to fully incorporate the industrial mode of production and consumption. This article contributes to information on resource use indicators, complementing and enriching information from economic accounting in order to facilitate political measures toward a sustainable use of resources.</t>
  </si>
  <si>
    <t>10.1162/jiec.2006.10.4.133</t>
  </si>
  <si>
    <r>
      <rPr>
        <rFont val="Arial"/>
        <color rgb="FF1155CC"/>
        <u/>
      </rPr>
      <t>http://dx.doi.org/10.1162/jiec.2006.10.4.133</t>
    </r>
  </si>
  <si>
    <t>WOS:000242416200011</t>
  </si>
  <si>
    <r>
      <rPr>
        <rFont val="Arial"/>
        <color rgb="FF1155CC"/>
        <u/>
      </rPr>
      <t>View Full Record in Web of Science</t>
    </r>
  </si>
  <si>
    <t>Mitchell, JFB; Lowe, J; Wood, RA; Vellinga, M</t>
  </si>
  <si>
    <t>Extreme events due to human-induced climate change</t>
  </si>
  <si>
    <t>PHILOSOPHICAL TRANSACTIONS OF THE ROYAL SOCIETY A-MATHEMATICAL PHYSICAL AND ENGINEERING SCIENCES</t>
  </si>
  <si>
    <t>A recent assessment by the intergovernmental panel on climate change concluded that the Earth's climate would be 2-6 degrees C warmer than in the pre-industrial era by the end of the twenty-first century, due to human-induced increases in greenhouse gases. In the absence of other changes, this would lead to the warmest period on Earth for at least the last 1000 years, and probably the last 100 000 years. The large-scale warming is expected to be accompanied by increased frequency and/or intensity of extreme events, such as heatwaves, heavy rainfall, storms and coastal flooding. There are also several possibilities that this large change could initiate nonlinear climate responses which lead to even more extreme and rapid (on the time-scale of decades) climate change, including the collapse of the ocean 'conveyor belt' circulation, the collapse of major ice sheets or the release of large amounts of methane in high latitudes leading to further global warming. Although these catastrophic events are much more speculative than the direct warming due to increased greenhouse gases, their potential impacts are great and therefore should be included in any risk assessment of the impacts of anthropogenic climate change.</t>
  </si>
  <si>
    <t>10.1098/rsta.2006.1816</t>
  </si>
  <si>
    <r>
      <rPr>
        <rFont val="Arial"/>
        <color rgb="FF1155CC"/>
        <u/>
      </rPr>
      <t>http://dx.doi.org/10.1098/rsta.2006.1816</t>
    </r>
  </si>
  <si>
    <t>WOS:000239923700016</t>
  </si>
  <si>
    <r>
      <rPr>
        <rFont val="Arial"/>
        <color rgb="FF1155CC"/>
        <u/>
      </rPr>
      <t>View Full Record in Web of Science</t>
    </r>
  </si>
  <si>
    <t>Camargo, JA; Alonso, A</t>
  </si>
  <si>
    <t>Ecological and toxicological effects of inorganic nitrogen pollution in aquatic ecosystems: A global assessment</t>
  </si>
  <si>
    <t>ENVIRONMENT INTERNATIONAL</t>
  </si>
  <si>
    <t>We provide a global assessment, with detailed multi-scale data, of the ecological and toxicological effects generated by inorganic nitrogen pollution in aquatic ecosystems. Our synthesis of the published scientific literature shows three major environmental problems: (1) it can increase the concentration of hydrogen ions in freshwater ecosystems without much acid-neutralizing capacity, resulting in acidification of those systems; (2) it can stimulate or enhance the development, maintenance and proliferation of primary producers, resulting in eutrophication of aquatic ecosystems; (3) it can reach toxic levels that impair the ability of aquatic animals to survive, grow and reproduce. Inorganic nitrogen pollution of ground and surface waters can also induce adverse effects on human health and economy. Because reductions in SO2 emissions have reduced the atmospheric deposition of H2SO4 across large portions of North America and Europe, while emissions of NOx have gone unchecked, HNO3 is now playing an increasing role in the acidification of freshwater ecosystems. This acidification process has caused several adverse effects on primary and secondary producers, with significant biotic impoverishments, particularly concerning invertebrates and fishes, in many atmospherically acidified lakes and streams. The cultural eutrophication of freshwater, estuarine, and coastal marine ecosystems can cause ecological and toxicological effects that are either directly or indirectly related to the proliferation of primary producers. Extensive kills of both invertebrates and fishes are probably the most dramatic manifestation of hypoxia (or anoxia) in eutrophic and hypereutrophic aquatic ecosystems with low water turnover rates. The decline in dissolved oxygen concentrations can also promote the formation of reduced compounds, such as hydrogen sulphide, resulting in higher adverse (toxic) effects on aquatic animals. Additionally, the occurrence of toxic algae can significantly contribute to the extensive kills of aquatic animals. Cyanobacteria, dinoflagellates and diatoms appear to be major responsible that may be stimulated by inorganic nitrogen pollution. Among the different inorganic nitrogenous compounds (NH4+, NH3, NO2-, HNO2, NO3-) that aquatic animals can take up directly from the ambient water, unionized ammonia is the most toxic, while ammonium and nitrate ions are the least toxic. In general, seawater animals seem to be more tolerant to the toxicity of inorganic nitrogenous compounds than freshwater animals, probably because of the ameliorating effect of water salinity (sodium, chloride, calcium and other ions) on the tolerance of aquatic animals. Ingested nitrites and nitrates from polluted drinking waters can induce methemoglobinemia in humans, particularly in young infants, by blocking the oxygen-carrying capacity of hemoglobin. Ingested nitrites and nitrates also have a potential role in developing cancers of the digestive tract through their contribution to the formation of nitrosamines. In addition, some scientific evidences suggest that ingested nitrites and nitrates might result in mutagenicity, teratogenicity and birth defects, contribute to the risks of non-Hodgkin's lymphoma and bladder and ovarian cancers, play a role in the etiology of insulin-dependent diabetes mellitus and in the development of thyroid hypertrophy, or cause spontaneous abortions and respiratory tract infections. Indirect health hazards can occur as a consequence of algal toxins, causing nausea, vomiting, diarrhoea, pneumonia, gastroenteritis, hepatoenteritis, muscular cramps, and several poisoning syndromes (paralytic shellfish poisoning, neurotoxic shellfish poisoning, amnesic shellfish poisoning). Other indirect health hazards can also come from the potential relationship between inorganic nitrogen pollution and human infectious diseases (malaria, cholera). Human sickness and death, extensive kills of aquatic animals, and other negative effects, can have elevated costs on human economy, with the recreation and tourism industry suffering the most important economic impacts, at least locally. It is concluded that levels of total nitrogen lower than 0.5-1.0 mg TN/L could prevent aquatic ecosystems (excluding those ecosystems with naturally high N levels) from developing acidification and eutrophication, at least by inorganic nitrogen pollution. Those relatively low TN levels could also protect aquatic animals against the toxicity of inorganic nitrogenous compounds since, in the absence of eutrophication, surface waters usually present relatively high concentrations of dissolved oxygen, most inorganic reactive nitrogen being in the form of nitrate. Additionally, human health and economy would be safer from the adverse effects of inorganic nitrogen pollution. (c) 2006 Elsevier Ltd. All rights reserved.</t>
  </si>
  <si>
    <t>10.1016/j.envint.2006.05.002</t>
  </si>
  <si>
    <r>
      <rPr>
        <rFont val="Arial"/>
        <color rgb="FF1155CC"/>
        <u/>
      </rPr>
      <t>http://dx.doi.org/10.1016/j.envint.2006.05.002</t>
    </r>
  </si>
  <si>
    <t>WOS:000239095700015</t>
  </si>
  <si>
    <r>
      <rPr>
        <rFont val="Arial"/>
        <color rgb="FF1155CC"/>
        <u/>
      </rPr>
      <t>View Full Record in Web of Science</t>
    </r>
  </si>
  <si>
    <t>Hijmans, RJ; Cameron, SE; Parra, JL; Jones, PG; Jarvis, A</t>
  </si>
  <si>
    <t>Very high resolution interpolated climate surfaces for global land areas</t>
  </si>
  <si>
    <t>INTERNATIONAL JOURNAL OF CLIMATOLOGY</t>
  </si>
  <si>
    <t>We developed interpolated climate surfaces for global land areas (excluding Antarctica) at a spatial resolution of 30 arc s (often referred to as 1-km spatial resolution). The climate elements considered were monthly precipitation and mean, minimum, and maximum temperature. Input data were gathered from a variety of sources and, where possible, were restricted to records from the 1950-2000 period. We used the thin-plate smoothing spline algorithm implemented in the ANUSPLIN package for interpolation, using latitude, longitude, and elevation as independent variables. We quantified uncertainty arising from the input data and the interpolation by mapping weather station density, elevation bias in the weather stations, and elevation variation within grid cells and through data partitioning and cross validation. Elevation bias tended to be negative (stations lower than expected) at high latitudes but positive in the tropics. Uncertainty is highest in mountainous and in poorly sampled areas. Data partitioning showed high uncertainty of the surfaces on isolated islands, e.g. in the Pacific. Aggregating the elevation and climate data to 10 arc min resolution showed an enormous variation within grid cells, illustrating the value of high-resolution surfaces. A comparison with an existing data set at 10 arc min resolution showed overall agreement, but with significant variation in some regions. A comparison with two high-resolution data sets for the United States also identified areas with large local differences, particularly in mountainous areas. Compared to previous global climatologies, ours has the following advantages: the data are at a higher spatial resolution (400 times greater or more); more weather station records were used; improved elevation data were used; and more information about spatial patterns of uncertainty in the data is available. Owing to the overall low density of available climate stations, our surfaces do not capture of all variation that may occur at a resolution of 1 km, particularly of precipitation in mountainous areas. In future work, such variation might be captured through knowledge-based methods and inclusion of additional co-variates, particularly layers obtained through remote sensing. Copyright (c) 2005 Royal Meteorological Society.</t>
  </si>
  <si>
    <t>10.1002/joc.1276</t>
  </si>
  <si>
    <r>
      <rPr>
        <rFont val="Arial"/>
        <color rgb="FF1155CC"/>
        <u/>
      </rPr>
      <t>http://dx.doi.org/10.1002/joc.1276</t>
    </r>
  </si>
  <si>
    <t>WOS:000234519700002</t>
  </si>
  <si>
    <r>
      <rPr>
        <rFont val="Arial"/>
        <color rgb="FF1155CC"/>
        <u/>
      </rPr>
      <t>View Full Record in Web of Science</t>
    </r>
  </si>
  <si>
    <t>Foley, JA; DeFries, R; Asner, GP; Barford, C; Bonan, G; Carpenter, SR; Chapin, FS; Coe, MT; Daily, GC; Gibbs, HK; Helkowski, JH; Holloway, T; Howard, EA; Kucharik, CJ; Monfreda, C; Patz, JA; Prentice, IC; Ramankutty, N; Snyder, PK</t>
  </si>
  <si>
    <t>Global consequences of land use</t>
  </si>
  <si>
    <t>Land use has generally been considered a local environmental issue, but it is becoming a force of global importance. Worldwide changes to forests, farmlands, waterways, and air are being driven by the need to provide food, fiber, water, and shelter to more than six billion people. Global croplands, pastures, plantations, and urban areas have expanded in recent decades, accompanied by large increases in energy, water, and fertilizer consumption, along with considerable tosses of biodiversity. Such changes in land use have enabled humans to appropriate an increasing share of the planet's resources, but they also potentially undermine the capacity of ecosystems to sustain food production, maintain freshwater and forest resources, regulate climate and air quality, and ameliorate infectious diseases. We face the challenge of managing trade-offs between immediate human needs and maintaining the capacity of the biosphere to provide goods and services in the long term.</t>
  </si>
  <si>
    <t>10.1126/science.1111772</t>
  </si>
  <si>
    <r>
      <rPr>
        <rFont val="Arial"/>
        <color rgb="FF1155CC"/>
        <u/>
      </rPr>
      <t>http://dx.doi.org/10.1126/science.1111772</t>
    </r>
  </si>
  <si>
    <t>WOS:000230735200036</t>
  </si>
  <si>
    <r>
      <rPr>
        <rFont val="Arial"/>
        <color rgb="FF1155CC"/>
        <u/>
      </rPr>
      <t>View Full Record in Web of Science</t>
    </r>
  </si>
  <si>
    <t>Lawrence, D</t>
  </si>
  <si>
    <t>Biomass accumulation after 10-200 years of shifting cultivation in bornean rain forest</t>
  </si>
  <si>
    <t>ECOLOGY</t>
  </si>
  <si>
    <t>I examined the effect of repeated long-fallow shifting cultivation on biomass accumulation in a rain-forest landscape occupied for over 200 years in West Kalimantan, Indonesia, The diameters of stems &gt;5 cm dbh were measured in nine secondary forests using a stratified random design of nested plots (3000 m(2) per site). The stands were 9-12 years old and had experienced from I to 10 or more cycles of shifting cultivation. Accounting for differences in soil fertility, analysis of covariance (ANCOVA) demonstrated that aboveground live biomass increment (ABI, in megagrams per hectare per year) was significantly greater after four cycles than after six or more cycles. ABI was lowest after two cycles, highest after one or four cycles and intermediate after 6-10 cycles. Differences were driven by the density and biomass of trees &gt;10 cm dbh, which followed a similar pattern. Although the diameter increment and contribution to total biomass of trees &gt;10 cm dbh increased significantly with inherent soil fertility, variation in the rate of biomass accumulation depended primarily on the number of prior cultivation cycles. An ANCOVA with soil fertility as the main effect was not significant. One hypothesis to explain observed patterns of ABI associated with changes in tree density is a shift, over many cycles, in the dominance of seed-banking vs. resprouting species. Previous work has shown that total phosphorus did not decline after six or more cycles; however, a shift from available to occluded forms may be related to lower ABI in sites with the longest cultivation history. An 11% decline in ABI could substantially alter the carbon-sequestration value of secondary tropical forests as they enter their second century of persistent human disturbance.</t>
  </si>
  <si>
    <t>10.1890/03-0564</t>
  </si>
  <si>
    <r>
      <rPr>
        <rFont val="Arial"/>
        <color rgb="FF1155CC"/>
        <u/>
      </rPr>
      <t>http://dx.doi.org/10.1890/03-0564</t>
    </r>
  </si>
  <si>
    <t>WOS:000226791700004</t>
  </si>
  <si>
    <r>
      <rPr>
        <rFont val="Arial"/>
        <color rgb="FF1155CC"/>
        <u/>
      </rPr>
      <t>View Full Record in Web of Science</t>
    </r>
  </si>
  <si>
    <t>Cleuvers, M</t>
  </si>
  <si>
    <t>Mixture toxicity of the anti-inflammatory drugs diclofenac, ibuprofen, naproxen, and acetylsalicylic acid</t>
  </si>
  <si>
    <t>ECOTOXICOLOGY AND ENVIRONMENTAL SAFETY</t>
  </si>
  <si>
    <t>The ecotoxicity of the nonsteroidal anti-inflammatory drugs (NSAIDs) diclofenac, ibuprofen, naproxen, and acetylsalicylic acid (ASA) has been evaluated using acute Daphnia and algal tests. Toxicities were relatively low, with half-maximal effective concentration (EC50) values obtained using Daphnia in the range from 68 to 166 mg L-1 and from 72 to 626 mg L-1 in the algal test. Acute effects of these substances seem to be quite improbable. The quantitative structure-activity relationships (QSAR) approach showed that all substances act by nonpolar narcosis; thus, the higher the n-octanol/water partitioning coefficient (log K-ow) of the substances. the higher is their toxicity. Mixture toxicity of the compounds could be accurately predicted using the concept of concentration addition. Toxicity of the mixture was considerable, even at concentrations at which the single substances showed no or only very slight effects, with some deviations in the Daphnia test, which could be explained by incompatibility of the very steep dose-response curves and the probit analysis of the data. Because pharmaceuticals in the aquatic environment occur usually as Mixtures, an accurate prediction of the mixture toxicity is indispensable for environmental risk assessment. (C) 2003 Elsevier Inc. All rights reserved.</t>
  </si>
  <si>
    <t>10.1016/S0147-6513(03)00141-6</t>
  </si>
  <si>
    <r>
      <rPr>
        <rFont val="Arial"/>
        <color rgb="FF1155CC"/>
        <u/>
      </rPr>
      <t>http://dx.doi.org/10.1016/S0147-6513(03)00141-6</t>
    </r>
  </si>
  <si>
    <t>Environmental Sciences; Toxicology</t>
  </si>
  <si>
    <t>WOS:000224318700004</t>
  </si>
  <si>
    <r>
      <rPr>
        <rFont val="Arial"/>
        <color rgb="FF1155CC"/>
        <u/>
      </rPr>
      <t>View Full Record in Web of Science</t>
    </r>
  </si>
  <si>
    <t>Robinson, JG; Bennett, EL</t>
  </si>
  <si>
    <t>Having your wildlife and eating it too: an analysis of hunting sustainability across tropical ecosystems</t>
  </si>
  <si>
    <t>ANIMAL CONSERVATION</t>
  </si>
  <si>
    <t>Unsustainable hunting of wildlife or bushmeat for human consumption across the tropics threatens both wildlife populations and the livelihoods of people who depend on these resources. The probability that hunting can be sustainable depends in part on ecological conditions that affect the 'supply' of and 'demand' for wildlife resources. In this study, supply is estimated across a number of tropical ecosystem types by calculating the theoretical 'maximum sustainable offtake' in kg/km(2) for harvestable wildlife. Demand is estimated from observed harvests in kg/km(2). We examine how supply and demand vary across relatively undisturbed ecosystems, indexed by annual rainfall. Supply is potentially highest in dry forests and wetter savannah grasslands and decreases in moist forests and more xeric grasslands. Demand tends to exceed supply in moist forests and xeric grasslands. Analogous to this ecological variation along the rainfall gradient is the gradient created by the conversion of tropical forests by humans. We hypothesise that the wild meat supply is greater in secondary forests and forest-farm-fallow mosaics than in undisturbed forests and test this with available data. We conclude that the probability that hunting will be sustainable varies with ecosystem type and degree of human disturbance and should influence where land is zoned for protected areas and where for wildlife harvests.</t>
  </si>
  <si>
    <t>10.1017/S1367943004001532</t>
  </si>
  <si>
    <r>
      <rPr>
        <rFont val="Arial"/>
        <color rgb="FF1155CC"/>
        <u/>
      </rPr>
      <t>http://dx.doi.org/10.1017/S1367943004001532</t>
    </r>
  </si>
  <si>
    <t>Biodiversity Conservation; Ecology</t>
  </si>
  <si>
    <t>WOS:000225666800007</t>
  </si>
  <si>
    <r>
      <rPr>
        <rFont val="Arial"/>
        <color rgb="FF1155CC"/>
        <u/>
      </rPr>
      <t>View Full Record in Web of Science</t>
    </r>
  </si>
  <si>
    <t>Wood, EC; Tappan, GG; Hadj, A</t>
  </si>
  <si>
    <t>Understanding the drivers of agricultural land use change in south-central Senegal</t>
  </si>
  <si>
    <t>JOURNAL OF ARID ENVIRONMENTS</t>
  </si>
  <si>
    <t>Described is (1) the land use and land cover changes that have taken place in the Department of Velingara, an area of tropical dry woodland in south-central Senegal, (2) the biophysical and socio-economic drivers of those changes with an emphasis on transition to agricultural use, and (3) an assessment of the likelihood of intensification of agriculture in the Department. Results indicate that land devoted to agriculture, either in active cultivation or short-term fallow, is increasing. There is little evidence of agricultural intensification in most of Velingara, with extensification coming largely at the cost of reduction in both upland woodlands and riparian forest. (C) 2004 Elsevier Ltd. All rights reserved.</t>
  </si>
  <si>
    <t>10.1016/j.jaridenv.2004.03.022</t>
  </si>
  <si>
    <r>
      <rPr>
        <rFont val="Arial"/>
        <color rgb="FF1155CC"/>
        <u/>
      </rPr>
      <t>http://dx.doi.org/10.1016/j.jaridenv.2004.03.022</t>
    </r>
  </si>
  <si>
    <t>WOS:000223909700008</t>
  </si>
  <si>
    <r>
      <rPr>
        <rFont val="Arial"/>
        <color rgb="FF1155CC"/>
        <u/>
      </rPr>
      <t>View Full Record in Web of Science</t>
    </r>
  </si>
  <si>
    <t>Schneider, SH</t>
  </si>
  <si>
    <t>Abrupt non-linear climate change, irreversibility and surprise</t>
  </si>
  <si>
    <t>Any discussion of the benefits of greenhouse gas (GHG) mitigation measures should take into consideration the full range of possible climate change outcomes, including impacts that remain highly uncertain, like surprises and other climate irreversibilities. Real-world coupling between complex systems can cause them to exhibit new collective behaviours that are not clearly demonstrable by models that do not include such coupling. Through examples from ocean circulation and atmosphere-biosphere interactions, this paper demonstrates that external forcings such as increases in GHG concentrations can push complex systems from one equilibrium state to another, with non-linear abrupt change as a possible consequence. Furthermore, the harder and faster a system is perturbed, the higher the likelihood of such surprises-a conclusion that has significant bearing on the assessment of the potential benefits of the timing and stringency of GHG abatement measures. The paper concludes with a perspective on how to better incorporate uncertainty and surprise into integrated assessment models of climate change. (C) 2004 Elsevier Ltd. All rights reserved.</t>
  </si>
  <si>
    <t>10.1016/j.gloenvcha.2004.04.008</t>
  </si>
  <si>
    <r>
      <rPr>
        <rFont val="Arial"/>
        <color rgb="FF1155CC"/>
        <u/>
      </rPr>
      <t>http://dx.doi.org/10.1016/j.gloenvcha.2004.04.008</t>
    </r>
  </si>
  <si>
    <t>WOS:000223884300006</t>
  </si>
  <si>
    <r>
      <rPr>
        <rFont val="Arial"/>
        <color rgb="FF1155CC"/>
        <u/>
      </rPr>
      <t>View Full Record in Web of Science</t>
    </r>
  </si>
  <si>
    <t>Feely, RA; Sabine, CL; Lee, K; Berelson, W; Kleypas, J; Fabry, VJ; Millero, FJ</t>
  </si>
  <si>
    <t>Impact of anthropogenic CO2 on the CaCO3 system in the oceans</t>
  </si>
  <si>
    <t>Rising atmospheric carbon dioxide (CO2) concentrations over the past two centuries have led to greater CO2 uptake by the oceans. This acidification process has changed the saturation state of the oceans with respect to calcium carbonate (CaCO3) particles. Here we estimate the in situ CaCO3 dissolution rates for the global oceans from total alkalinity and chlorofluorocarbon data, and we also discuss the future impacts of anthropogenic CO2 on CaCO3 shell forming species. CaCO3 dissolution rates, ranging from 0.003 to 1.2 micromoles per kilogram per year, are observed beginning near the aragonite saturation horizon. The total water column CaCO3 dissolution rate for the global oceans is approximately 0.5 +/- 0.2 petagrams of CaCO3-C per year, which is approximately 45 to 65% of the export production of CaCO3.</t>
  </si>
  <si>
    <t>10.1126/science.1097329</t>
  </si>
  <si>
    <r>
      <rPr>
        <rFont val="Arial"/>
        <color rgb="FF1155CC"/>
        <u/>
      </rPr>
      <t>http://dx.doi.org/10.1126/science.1097329</t>
    </r>
  </si>
  <si>
    <t>WOS:000222662400029</t>
  </si>
  <si>
    <r>
      <rPr>
        <rFont val="Arial"/>
        <color rgb="FF1155CC"/>
        <u/>
      </rPr>
      <t>View Full Record in Web of Science</t>
    </r>
  </si>
  <si>
    <t>Ticktin, T</t>
  </si>
  <si>
    <t>The ecological implications of harvesting non-timber forest products</t>
  </si>
  <si>
    <t>JOURNAL OF APPLIED ECOLOGY</t>
  </si>
  <si>
    <t>1. The harvest of wild non-timber forest products (NTFP) represents an important source of income to millions of people world-wide. Despite growing concern over the conservation of these species, as well as their potential to foster forest conservation, information on the ecological implications of harvest is available only in disparate case studies. 2. Seventy studies that quantify the ecological effects of harvesting NTFP from plant species were reviewed, with the aims of assessing the current state of knowledge and drawing lessons that can provide guidelines for management as well as better directing future ecological research in this area. 3. The case studies illustrated that NTFP harvest can affect ecological processes at many levels, from individual and population to community and ecosystem. However, the majority of research was focused at a population level and on a limited subset of plant parts that are harvested. 4. Tolerance to harvest varies according to life history and the part of plant that is harvested. Moreover, the effects of harvest for any one species are mediated by variation in environmental conditions over space and time, and by human management practices. 5. In order to withstand heavy harvest, specific management practices in addition to gathering are necessary for many NTFP species. Management practices can be carried out at different spatial scales and some are highly effective in fostering population persistence. 6. Synthesis and applications. Substantial advances have been made towards identifying the ecological impacts of NTFP harvest. However, there is a need for longer-term studies that focus on multiple ecological levels (ranging from genes to ecosystems), that assess the mechanisms underlying impacts and that validate current models. Researchers and forest managers need to work with local harvesters in designing and evaluating management practices that can mitigate the negative effects of harvest.</t>
  </si>
  <si>
    <t>10.1111/j.1365-2664.2004.00859.x</t>
  </si>
  <si>
    <r>
      <rPr>
        <rFont val="Arial"/>
        <color rgb="FF1155CC"/>
        <u/>
      </rPr>
      <t>http://dx.doi.org/10.1111/j.1365-2664.2004.00859.x</t>
    </r>
  </si>
  <si>
    <t>WOS:000188541900002</t>
  </si>
  <si>
    <r>
      <rPr>
        <rFont val="Arial"/>
        <color rgb="FF1155CC"/>
        <u/>
      </rPr>
      <t>View Full Record in Web of Science</t>
    </r>
  </si>
  <si>
    <t>McBean, G</t>
  </si>
  <si>
    <t>Climate change and extreme weather: A basis for action</t>
  </si>
  <si>
    <t>NATURAL HAZARDS</t>
  </si>
  <si>
    <t>The economic and social costs of extreme weather-related events have been increasing around the globe. There is some debate over how much of this past increase has been due to social factors and how much due to changes in frequency or characteristics of extreme events. The Intergovernmental Panel on Climate Change (2001a) has affirmed that humans are having a role in changing the climate and will have a larger role in the future. Although the changes in extreme events are by their nature both difficult to detect and difficult to model, the consensus is that there will be changes in the future. Through a risk-based decision-making analysis, it is concluded that society should make the additional investments to reduce vulnerability to this increased risk.</t>
  </si>
  <si>
    <t>10.1023/B:NHAZ.0000020259.58716.0d</t>
  </si>
  <si>
    <r>
      <rPr>
        <rFont val="Arial"/>
        <color rgb="FF1155CC"/>
        <u/>
      </rPr>
      <t>http://dx.doi.org/10.1023/B:NHAZ.0000020259.58716.0d</t>
    </r>
  </si>
  <si>
    <t>WOS:000220303700010</t>
  </si>
  <si>
    <r>
      <rPr>
        <rFont val="Arial"/>
        <color rgb="FF1155CC"/>
        <u/>
      </rPr>
      <t>View Full Record in Web of Science</t>
    </r>
  </si>
  <si>
    <t>Doka, SE; McNicol, DK; Mallory, ML; Wong, I; Minns, CK; Yan, ND</t>
  </si>
  <si>
    <t>Assessing potential for recovery of biotic richness and indicator species due to changes in acidic deposition and lake pH in five areas of southeastern Canada</t>
  </si>
  <si>
    <t>ENVIRONMENTAL MONITORING AND ASSESSMENT</t>
  </si>
  <si>
    <t>Biological damage to sensitive aquatic ecosystems is among the most recognisable, deleterious effects of acidic deposition. We compiled a large spatial database of over 2000 waterbodies across southeastern Canada from various federal, provincial and academic sources. Data for zooplankton, fish, macroinvertebrate (benthos) and loon species richness and occurrence were used to construct statistical models for lakes with varying pH, dissolved organic carbon content and lake size. pH changes, as described and predicted using the Integrated Assessment Model ( Lam et al., 1998; Jeffries et al., 2000), were based on the range of emission reductions set forth in the Canada/US Air Quality Agreement (AQA). The scenarios tested include 1983, 1990, 1994 and 2010 sulphate deposition levels. Biotic models were developed for five regions in southeastern Canada (Algoma, Muskoka, and Sudbury, Ontario, southcentral Quebec, and Kejimkujik, Nova Scotia) using regression tree, multiple linear regression and logistic regression analyses to make predictions about recovery after emission reductions. The analyses produced different indicator species in different regions, although some species showed consistent trends across regions. Generally, the greatest predicted recovery occurred during the final phase of emission reductions between 1994 and 2010 across all taxonomic groups and regions. The Ontario regions, on average, were predicted to recover to a greater extent than either southcentral Quebec or the Kejimkujik area of Nova Scotia. Our results reconfirm that pH 5.5 - 6.0 is an important threshold below which damage to aquatic biota will remain a major local and regional environmental problem. This damage to biodiversity across trophic levels will persist well into the future if no further reductions in sulphate deposition are implemented.</t>
  </si>
  <si>
    <t>10.1023/A:1025548518991</t>
  </si>
  <si>
    <r>
      <rPr>
        <rFont val="Arial"/>
        <color rgb="FF1155CC"/>
        <u/>
      </rPr>
      <t>http://dx.doi.org/10.1023/A:1025548518991</t>
    </r>
  </si>
  <si>
    <t>WOS:000185100800004</t>
  </si>
  <si>
    <r>
      <rPr>
        <rFont val="Arial"/>
        <color rgb="FF1155CC"/>
        <u/>
      </rPr>
      <t>View Full Record in Web of Science</t>
    </r>
  </si>
  <si>
    <t>Liu, JG; Daily, GC; Ehrlich, PR; Luck, GW</t>
  </si>
  <si>
    <t>Effects of household dynamics on resource consumption and biodiversity</t>
  </si>
  <si>
    <t>Human population size and growth rate are often considered important drivers of biodiversity loss(1-6), whereas household dynamics are usually neglected. Aggregate demographic statistics may mask substantial changes in the size and number of households, and their effects on biodiversity. Household dynamics influence per capita consumption(7,8) and thus biodiversity through, for example, consumption of wood for fuel(9), habitat alteration for home building and associated activities(10-12), and greenhouse gas emissions(13). Here we report that growth in household numbers globally, and particularly in countries with biodiversity hotspots (areas rich in endemic species and threatened by human activities 14), was more rapid than aggregate population growth between 1985 and 2000. Even when population size declined, the number of households increased substantially. Had the average household size (that is, the number of occupants) remained static, there would have been 155 million fewer households in hotspot countries in 2000. Reduction in average household size alone will add a projected 233 million additional households to hotspot countries during the period 2000-15. Rapid increase in household numbers, often manifested as urban sprawl, and resultant higher per capita resource consumption in smaller households(15-19) pose serious challenges to biodiversity conservation.</t>
  </si>
  <si>
    <t>10.1038/nature01359</t>
  </si>
  <si>
    <r>
      <rPr>
        <rFont val="Arial"/>
        <color rgb="FF1155CC"/>
        <u/>
      </rPr>
      <t>http://dx.doi.org/10.1038/nature01359</t>
    </r>
  </si>
  <si>
    <t>WOS:000180670600044</t>
  </si>
  <si>
    <r>
      <rPr>
        <rFont val="Arial"/>
        <color rgb="FF1155CC"/>
        <u/>
      </rPr>
      <t>View Full Record in Web of Science</t>
    </r>
  </si>
  <si>
    <t>Pauly, D; Christensen, V; Guénette, S; Pitcher, TJ; Sumaila, UR; Walters, CJ; Watson, R; Zeller, D</t>
  </si>
  <si>
    <t>Towards sustainability in world fisheries</t>
  </si>
  <si>
    <t>Fisheries have rarely been 'sustainable'. Rather, fishing has induced serial depletions, long masked by improved technology, geographic expansion and exploitation of previously spurned species lower in the food web. With global catches declining since the late 1980s, continuation of present trends will lead to supply shortfall, for which aquaculture cannot be expected to compensate, and may well exacerbate. Reducing fishing capacity to appropriate levels will require strong reductions of subsidies. Zoning the oceans into unfished marine reserves and areas with limited levels of fishing effort would allow sustainable fisheries, based on resources embedded in functional, diverse ecosystems.</t>
  </si>
  <si>
    <t>10.1038/nature01017</t>
  </si>
  <si>
    <r>
      <rPr>
        <rFont val="Arial"/>
        <color rgb="FF1155CC"/>
        <u/>
      </rPr>
      <t>http://dx.doi.org/10.1038/nature01017</t>
    </r>
  </si>
  <si>
    <t>WOS:000177305600056</t>
  </si>
  <si>
    <r>
      <rPr>
        <rFont val="Arial"/>
        <color rgb="FF1155CC"/>
        <u/>
      </rPr>
      <t>View Full Record in Web of Science</t>
    </r>
  </si>
  <si>
    <t>Galbraith, H; Jones, R; Park, R; Clough, J; Herrod-Julius, S; Harrington, B; Page, G</t>
  </si>
  <si>
    <t>Global climate change and sea level rise: Potential losses of intertidal habitat for shorebirds</t>
  </si>
  <si>
    <t>WATERBIRDS</t>
  </si>
  <si>
    <t>Global warming is expected to result in an acceleration in Current rates of sea level rise, inundating many low-lying coastal arid intertidal areas. This could have important implications for organisms that depend on these sites, including shorebirds that rely on them for feeding habitat during their migrations and in winter. We modeled the potential changes in the extent of intertidal foraging habitat for shorebirds at five sites in the United States that currently-support internationally important numbers of migrating and wintering birds. Even assuming a conservative global warming scenario of 2degreesC within the next century (the most recent projections range between 1.4degreesC and 5.8degreesC), we project major intertidal habitat loss at four of the sites (Willapa Bay, Humboldt Bay, San Francisco Bay, arid Delaware Bay). Projected losses range between 20% and 70% of current intertidal habitat. Such losses might jeopardize the ability of these sites to continue to support their current shorebird numbers. The most Severe losses are likely to occur at sitcom where the coastline is unable to move inland because of steep topography or seawalls. The effects of sea level rise may be exacerbated by additional anthropogenic factors. In southern San Francisco Bay, for example, sea level rise may interact with land subsidence due to aquifer depletion, and the constraints imposed by existing seawalls on the landward migration of habitat, resulting in the greatest habitat loss. At the fifth site (Bolivar Flats) we project smaller losses as the intertidal habitat: are unconstrained by sea walls and will be able to migrate inland in response to rising sea level. Installation of additional coastal protection barriers at this site and others is likely to exacerbate the rate and extent of intertidal habitat loss.</t>
  </si>
  <si>
    <t>10.1675/1524-4695(2002)025[0173:GCCASL]2.0.CO;2</t>
  </si>
  <si>
    <r>
      <rPr>
        <rFont val="Arial"/>
        <color rgb="FF1155CC"/>
        <u/>
      </rPr>
      <t>http://dx.doi.org/10.1675/1524-4695(2002)025[0173:GCCASL]2.0.CO;2</t>
    </r>
  </si>
  <si>
    <t>WOS:000176179900006</t>
  </si>
  <si>
    <r>
      <rPr>
        <rFont val="Arial"/>
        <color rgb="FF1155CC"/>
        <u/>
      </rPr>
      <t>View Full Record in Web of Science</t>
    </r>
  </si>
  <si>
    <t>Lucht, W; Prentice, IC; Myneni, RB; Sitch, S; Friedlingstein, P; Cramer, W; Bousquet, P; Buermann, W; Smith, B</t>
  </si>
  <si>
    <t>Climatic control of the high-latitude vegetation greening trend and Pinatubo effect</t>
  </si>
  <si>
    <t>A biogeochemical model of vegetation using observed climate data predicts the high northern latitude greening trend over the past two decades observed by satellites and a marked setback in this trend after the Mount Pinatubo, volcano eruption in 1991. The observed trend toward earlier spring budburst and increased maximum leaf area is produced by the model as a consequence of biogeochemical vegetation responses mainly to changes in temperature. The post-Pinatubo decline in vegetation in 1992-1993 is apparent as the effect of temporary cooling caused by the eruption. High-latitude CO2 uptake during these years is predicted as a consequence of the differential response of heterotrophic respiration and net primary production.</t>
  </si>
  <si>
    <t>10.1126/science.1071828</t>
  </si>
  <si>
    <r>
      <rPr>
        <rFont val="Arial"/>
        <color rgb="FF1155CC"/>
        <u/>
      </rPr>
      <t>http://dx.doi.org/10.1126/science.1071828</t>
    </r>
  </si>
  <si>
    <t>WOS:000175976200058</t>
  </si>
  <si>
    <r>
      <rPr>
        <rFont val="Arial"/>
        <color rgb="FF1155CC"/>
        <u/>
      </rPr>
      <t>View Full Record in Web of Science</t>
    </r>
  </si>
  <si>
    <t>Barnes, DKA</t>
  </si>
  <si>
    <t>Biodiversity - Invasions by marine life on plastic debris</t>
  </si>
  <si>
    <t>10.1038/416808a</t>
  </si>
  <si>
    <r>
      <rPr>
        <rFont val="Arial"/>
        <color rgb="FF1155CC"/>
        <u/>
      </rPr>
      <t>http://dx.doi.org/10.1038/416808a</t>
    </r>
  </si>
  <si>
    <t>WOS:000175163800039</t>
  </si>
  <si>
    <r>
      <rPr>
        <rFont val="Arial"/>
        <color rgb="FF1155CC"/>
        <u/>
      </rPr>
      <t>View Full Record in Web of Science</t>
    </r>
  </si>
  <si>
    <t>Geist, HJ; Lambin, EF</t>
  </si>
  <si>
    <t>Proximate causes and underlying driving forces of tropical deforestation</t>
  </si>
  <si>
    <t>10.1641/0006-3568(2002)052[0143:PCAUDF]2.0.CO;2</t>
  </si>
  <si>
    <r>
      <rPr>
        <rFont val="Arial"/>
        <color rgb="FF1155CC"/>
        <u/>
      </rPr>
      <t>http://dx.doi.org/10.1641/0006-3568(2002)052[0143:PCAUDF]2.0.CO;2</t>
    </r>
  </si>
  <si>
    <t>WOS:000173839600005</t>
  </si>
  <si>
    <r>
      <rPr>
        <rFont val="Arial"/>
        <color rgb="FF1155CC"/>
        <u/>
      </rPr>
      <t>View Full Record in Web of Science</t>
    </r>
  </si>
  <si>
    <t>Skjelkvåle, BL; Stoddard, JL; Andersen, T</t>
  </si>
  <si>
    <t>Trends in surface water acidification in Europe and North America (1989-1998)</t>
  </si>
  <si>
    <t>During the last 20 years, emission reductions in Europe and North America have resulted in decreased atmospheric S-deposition of up to 50%, while N-deposition has stayed almost constant. Data from 98 ICP Waters sites were tested for trends in concentrations of major chemical components for the 10-year period 1989-1998 using the nonparametric seasonal Kendall test. The sites were grouped into regions and types for meta-analysis. All of the regions had highly significant downward trends in SO42-* concentrations. Nitrate concentrations, on the other hand: show no regional patterns of change. Concentrations of base cations declined in most regions. All regions showed tendencies of increasing DOC. The low ANC sites showed the largest rates of recovery. Neither the high NO3- or low NO3- groups of sites exhibited significant trends in NO3- concentrations. Alpine (non-forested) sites show clear and consistent signals of recovery in ANC and pH, and appropriate (relative to SO42-* trends) rates of base cation decline.</t>
  </si>
  <si>
    <t>10.1023/A:1013806223310</t>
  </si>
  <si>
    <r>
      <rPr>
        <rFont val="Arial"/>
        <color rgb="FF1155CC"/>
        <u/>
      </rPr>
      <t>http://dx.doi.org/10.1023/A:1013806223310</t>
    </r>
  </si>
  <si>
    <t>WOS:000172011900102</t>
  </si>
  <si>
    <r>
      <rPr>
        <rFont val="Arial"/>
        <color rgb="FF1155CC"/>
        <u/>
      </rPr>
      <t>View Full Record in Web of Science</t>
    </r>
  </si>
  <si>
    <t>Driscoll, CT; Lawrence, GB; Bulger, AJ; Butler, TJ; Cronan, CS; Eagar, C; Lambert, KF; Likens, GE; Stoddard, JL; Weathers, KC</t>
  </si>
  <si>
    <t>Acidic deposition in the northeastern United States: Sources and inputs, ecosystem effects, and management strategies</t>
  </si>
  <si>
    <t>10.1641/0006-3568(2001)051[0180:ADITNU]2.0.CO;2</t>
  </si>
  <si>
    <r>
      <rPr>
        <rFont val="Arial"/>
        <color rgb="FF1155CC"/>
        <u/>
      </rPr>
      <t>http://dx.doi.org/10.1641/0006-3568(2001)051[0180:ADITNU]2.0.CO;2</t>
    </r>
  </si>
  <si>
    <t>WOS:000168710400004</t>
  </si>
  <si>
    <r>
      <rPr>
        <rFont val="Arial"/>
        <color rgb="FF1155CC"/>
        <u/>
      </rPr>
      <t>View Full Record in Web of Science</t>
    </r>
  </si>
  <si>
    <t>Pretty, JN; Brett, C; Gee, D; Hine, RE; Mason, CF; Morison, JIL; Raven, H; Rayment, MD; van der Bijl, G</t>
  </si>
  <si>
    <t>An assessment of the total external costs of UK agriculture</t>
  </si>
  <si>
    <t>AGRICULTURAL SYSTEMS</t>
  </si>
  <si>
    <t>This trans-disciplinary study assesses total external environmental and health costs of modern agriculture in the UK. A wide range of datasets have been analysed to assess cost distribution across sectors. We calculate the annual total external costs of UK agriculture in 1996 to be pound 2343 m (range for 1990-1996: pound 1149-3907 m), equivalent to pound 208/ha of arable and permanent pasture. Significant costs arise from contamination of drinking water with pesticides (pound 120 m/year), nitrate (pound 16 m), Cryptosporidium (pound 23 m) and phosphate and soil (pound 55 m), from damage to wildlife, habitats, hedgerows and drystone walls (pound 125 m), from emissions of gases (pound 1113 m), from soil erosion and organic carbon losses (pound 106 m), from food poisoning (pound 169 m), and from bovine spongiform encephalopathy (BSE) (pound 607 m). This study has only estimated those externalities that give rise to financial costs, and so is likely to underestimate the total negative impacts of modern agriculture. These data help to identify policy priorities, particularly over the most efficient way to internalise these external costs into prices. This would imply a redirection of public subsidies towards encouraging those positive externalities under-provided in the market place, combined with a mix of advisory and institutional mechanisms, regulatory and legal measures, and economic instruments to correct negative externalities. Further work examining the marginal costs and benefits of UK agriculture would help to inform future policy development. (C) 2000 Elsevier Science Ltd. All rights reserved.</t>
  </si>
  <si>
    <t>10.1016/S0308-521X(00)00031-7</t>
  </si>
  <si>
    <r>
      <rPr>
        <rFont val="Arial"/>
        <color rgb="FF1155CC"/>
        <u/>
      </rPr>
      <t>http://dx.doi.org/10.1016/S0308-521X(00)00031-7</t>
    </r>
  </si>
  <si>
    <t>Agriculture, Multidisciplinary</t>
  </si>
  <si>
    <t>WOS:000089669800003</t>
  </si>
  <si>
    <r>
      <rPr>
        <rFont val="Arial"/>
        <color rgb="FF1155CC"/>
        <u/>
      </rPr>
      <t>View Full Record in Web of Science</t>
    </r>
  </si>
  <si>
    <t>Lemly, AD; Kingsford, RT; Thompson, JR</t>
  </si>
  <si>
    <t>Irrigated agriculture and wildlife conservation: Conflict on a global scale</t>
  </si>
  <si>
    <t>ENVIRONMENTAL MANAGEMENT</t>
  </si>
  <si>
    <t>The demand for water to support irrigated agriculture has led to the demise of wetlands and their associated wildlife for decades. This thirst for water is so pervasive that many wetlands considered to be hemispheric reserves for waterbirds have been heavily affected; for example, the California and Nevada wetlands in North America, the Macquarie Marshes in Australia, and the Aral Sea in central Asia. These and other major wetlands have lost most of their historic supplies of water and some have also experienced serious impacts from contaminated subsurface irrigation drainage. Now mere shadows of what they once were in terms of biodiversity and wildlife production, many of the so-called wetlands of international importance are no longer the key conservation strongholds they were in the past. The conflict between irrigated agriculture and wildlife conservation has reached a critical point on a global scale. Not only has local wildlife suffered, including the extinction of highly insular species, but a ripple effect has impacted migratory birds worldwide. Human societies reliant on wetlands for their livelihoods are also bearing the cost. Ironically, most of the degradation of these key wetlands occurred during a period of time when public environmental awareness and scientific assertion of the need for wildlife conservation was at an all-time high. However, designation of certain wetlands as reserves for wildlife by international review boards has not slowed their continued degradation. To reverse this trend, land and water managers and policy makers must assess the true economic costs of wetland loss and, depending on the outcome of the assessment. use the information as a basis for establishing legally enforceable water rights that protect wetlands from agricultural development.</t>
  </si>
  <si>
    <t>10.1007/s002679910039</t>
  </si>
  <si>
    <r>
      <rPr>
        <rFont val="Arial"/>
        <color rgb="FF1155CC"/>
        <u/>
      </rPr>
      <t>http://dx.doi.org/10.1007/s002679910039</t>
    </r>
  </si>
  <si>
    <t>WOS:000086118000003</t>
  </si>
  <si>
    <r>
      <rPr>
        <rFont val="Arial"/>
        <color rgb="FF1155CC"/>
        <u/>
      </rPr>
      <t>View Full Record in Web of Science</t>
    </r>
  </si>
  <si>
    <t>Stoddard, JL; Jeffries, DS; Lükewille, A; Clair, TA; Dillon, PJ; Driscoll, CT; Forsius, M; Johannessen, M; Kahl, JS; Kellogg, JH; Kemp, A; Mannio, J; Monteith, DT; Murdoch, PS; Patrick, S; Rebsdorf, A; Skjelkvåle, BL; Stainton, MP; Traaen, T; van Dam, H; Webster, KE; Wieting, J; Wilander, A</t>
  </si>
  <si>
    <t>Regional trends in aquatic recovery from acidification in North America and Europe</t>
  </si>
  <si>
    <t>Rates of acidic deposition from the atmosphere ('acid rain') have decreased throughout the 1980s and 1990s across large portions of North America and Europe(1,2). Many recent studies have attributed observed reversals in surface-water acidification at national(3) and regional(4) scales to the declining deposition. To test whether emissions regulations have led to widespread recovery in surface-water chemistry, we analysed regional trends between 1980 and 1995 in indicators of acidification (sulphate, nitrate and base-cation concentrations, and measured (Gran) alkalinity) for 205 lakes and streams in eight regions of North America and Europe. Dramatic differences in trend direction and strength for the two decades are apparent. In concordance with general temporal trends in acidic deposition, lake and stream sulphate concentrations decreased in all regions with the exception of Great Britain; all but one of these regions exhibited stronger downward trends in the 1990s than in the 1980s. In contrast, regional declines in lake and stream nitrate concentrations were rare and, when detected, were very small. Recovery in alkalinity, expected wherever strong regional declines in sulphate concentrations have occurred, was observed in all regions of Europe, especially in the 1990s, but in only one region (of five) in North America. We attribute the lack of recovery in three regions (south/central Ontario, the Adirondack/Catskill mountains and midwestern North America) to strong regional declines in base-cation concentrations that exceed the decreases in sulphate concentrations.</t>
  </si>
  <si>
    <t>10.1038/44114</t>
  </si>
  <si>
    <r>
      <rPr>
        <rFont val="Arial"/>
        <color rgb="FF1155CC"/>
        <u/>
      </rPr>
      <t>http://dx.doi.org/10.1038/44114</t>
    </r>
  </si>
  <si>
    <t>WOS:000083054900046</t>
  </si>
  <si>
    <r>
      <rPr>
        <rFont val="Arial"/>
        <color rgb="FF1155CC"/>
        <u/>
      </rPr>
      <t>View Full Record in Web of Science</t>
    </r>
  </si>
  <si>
    <t>Lambin, EF</t>
  </si>
  <si>
    <t>Monitoring forest degradation in tropical regions by remote sensing: some methodological issues</t>
  </si>
  <si>
    <t>GLOBAL ECOLOGY AND BIOGEOGRAPHY</t>
  </si>
  <si>
    <t>Key issues related to the monitoring by remote sensing of open forest degradation in a tropical context are discussed. Degradation of forest-cover is often a complex process, with some degree of ecological reversibility and a strong interaction with climatic fluctuations. Only a representation of land cover as a continuous field of several biophysical variables can lead to an accurate detection of forest degradation. For this purpose, repetitive measurements of spectral, spatial and temporal indicators of the land surface have to be performed. Each set of indicators brings a specific type of information on the land cover. These indicators must therefore be combined to achieve a comprehensive description of the surface processes. The detection of inter-annual changes in landscape spatial structure is more likely to reveal long term and long lasting land-cover changes, while spectral indicators are more sensitive to fluctuations in primary productivity associated with climatic fluctuations. Different monitoring systems may be optimal for different ecosystems. A long: time series of observations is always required. The monitoring of the spatio-temporal distribution of biomass burning may also give indications of open forest degradation.</t>
  </si>
  <si>
    <t>10.1046/j.1365-2699.1999.00123.x</t>
  </si>
  <si>
    <r>
      <rPr>
        <rFont val="Arial"/>
        <color rgb="FF1155CC"/>
        <u/>
      </rPr>
      <t>http://dx.doi.org/10.1046/j.1365-2699.1999.00123.x</t>
    </r>
  </si>
  <si>
    <t>Ecology; Geography, Physical</t>
  </si>
  <si>
    <t>WOS:000084868000003</t>
  </si>
  <si>
    <r>
      <rPr>
        <rFont val="Arial"/>
        <color rgb="FF1155CC"/>
        <u/>
      </rPr>
      <t>View Full Record in Web of Science</t>
    </r>
  </si>
  <si>
    <t>Likens, GE; Driscoll, CT; Buso, DC; Siccama, TG; Johnson, CE; Lovett, GM; Fahey, TJ; Reiners, WA; Ryan, DF; Martin, CW; Bailey, SW</t>
  </si>
  <si>
    <t>The biogeochemistry of calcium at Hubbard Brook</t>
  </si>
  <si>
    <t>BIOGEOCHEMISTRY</t>
  </si>
  <si>
    <t>A synthesis of the biogeochemistry of Ca was done during 1963-1992 in reference and human-manipulated forest ecosystems of the Hubbard Brook Experimental Forest (HBEF), NH. Results showed that there has been a marked decline in concentration and input of Ca in bulk precipitation, an overall decline in concentration and output of Ca in stream water, and marked depletion of Ca in soils of the HBEF since 1963. The decline in streamwater Ca was related strongly to a decline in SO(4),(2-)+NO(3),(-) in stream water during the period. The soil depletion of Ca was the result of leaching due to inputs of acid rain during the past 50 yr or so, to decreasing atmospheric inputs of Ca, and to changing amounts of net storage of Ca in biomass. As a result of the depletion of Ca, forest ecosystems at HBEF are much more sensitive to continuing inputs of strong acids in atmospheric deposition than expected based on long-term patterns of sulfur biogeochemistry. The Ca concentration and input in bulk precipitation ranged from a low of 1.0 mu mol/l and 15 mol/ha-yr in 1986-87 to a high of 8.0 mu mol/l and 77 mol/ha-yr in 1964-65, with a long-term mean of 2.74 mu mol/l during 1963-92. Average total atmospheric deposition was 61 and 29 mol/ha-yr in 1964-69 and 1987-92, respectively. Dry deposition is difficult to measure, but was estimated to be about 20% of total input in atmospheric deposition. Streamwater concentration reached a low of 21 mu mol/l in 1991-92 and a high of 41 mu mol/l in 1969-70, but outputs of Ca were lowest in 1964-65 (121 mol/ha-yr) and peaked in 1973-74 (475 mol/ha-yr). Gross outputs of Ca in stream water were positively and significantly related to streamflow, but the slope of this relation changed with time as Ca was depleted from the soil, and as the inputs of sulfate declined in both atmospheric deposition and stream water. Gross outputs of Ca in stream water consistently exceeded inputs in bulk precipitation. No seasonal pattern was observed for either bulk precipitation or stream water concentrations of Ca. Net soil release varied from 390 to 230 mol/ha-yr during 1964-69 and 1987-92, respectively. Of this amount, weathering release of Ca, based on plagioclase composition of the soil, was estimated at about 50 mol/ha-yr. Net biomass storage of Ca decreased from 202 to 54 mol/ha-yr, and throughfall plus streamflow decreased from 220 to 110 mol/ha-yr in 1964-69 and 1987-92, respectively. These ecosystem response patterns were related to acidification and to decreases in net biomass accretion during the study. Calcium return to soil by fine root turnover was about 270 mol/ha-yr, with 190 mol/ha-yr returning to the forest floor and 80 mol/ha-yr to the mineral soil. A lower content of Ca was observed with increasing elevation for most of the components of the watershed-ecosystems at HBEF. Possibly as a result, mortality of sugar maple increased significantly during 1982 to 1992 at high elevations of the HBEF. Interactions between biotic and abiotic control mechanisms were evident through elevational differences in soil cation exchange capacity (the exchangeable Ca concentration in soils was significantly and directly related to the organic matter content of the soils), in soil/till depth, and in soil water and in stream water concentrations at the HBEF, all of which tended to decrease with elevation. The exchangeable pool of Ca in the soil is about 6500 mol/ha, and its turnover time is quite rapid, about 3 yr. Nevertheless, the exchangeable pools of Ca at HBEF have been depleted markedly during the past 50 years or so, greater-than-21,125 mol/ha during 1940-1995. The annual gross uptake of trees is about 26-30% of the exchangeable pool in the soil. Some 7 to 8 times more Ca is cycled through trees than is lost in stream water each year, and resorption of Ca by trees is negligible at HBEF. Of the current inputs to the available nutrient compartment of the forest ecosystem, some 50% was provided by net soil release, 24% by leaching from the canopy, 20% by root exudates and 6% by atmospheric deposition. Clear cutting released large amounts of Ca to stream water, primarily because increased nitrification in the soil generated increased acidity and NO;, a mobile anion in drainage water; even larger amounts of Ca can be lost from the ecosystem in harvested timber products. The magnitude of Ca loss due to whole-tree harvest and acid rain leaching is comparable for forests similar to the HBEF, but losses from harvest must be superimposed on losses due to acid rain.</t>
  </si>
  <si>
    <t>10.1023/A:1005984620681</t>
  </si>
  <si>
    <r>
      <rPr>
        <rFont val="Arial"/>
        <color rgb="FF1155CC"/>
        <u/>
      </rPr>
      <t>http://dx.doi.org/10.1023/A:1005984620681</t>
    </r>
  </si>
  <si>
    <t>Environmental Sciences; Geosciences, Multidisciplinary</t>
  </si>
  <si>
    <t>WOS:000072671100001</t>
  </si>
  <si>
    <r>
      <rPr>
        <rFont val="Arial"/>
        <color rgb="FF1155CC"/>
        <u/>
      </rPr>
      <t>View Full Record in Web of Science</t>
    </r>
  </si>
  <si>
    <t>LAWRENCE, GB; FULLER, RD; DRISCOLL, CT</t>
  </si>
  <si>
    <t>RELEASE OF ALUMINUM FOLLOWING WHOLE-TREE HARVESTING AT THE HUBBARD-BROOK-EXPERIMENTAL-FOREST, NEW-HAMPSHIRE</t>
  </si>
  <si>
    <t>JOURNAL OF ENVIRONMENTAL QUALITY</t>
  </si>
  <si>
    <t>From fall, 1983, through spring, 1984, an experimental watershed at the Hubbard Brook Experimental Forest in New Hampshire was commercially whole-tree harvested. Stream chemistry was monitored along an elevational gradient for approximately 1 yr prior to and 2 yr following the treatment in both the experimental watershed and an adjacent reference watershed. Whole-tree harvesting initially resulted in a large increase in stream NO3- and basic cation (Ca2+, Mg2+, Na+, and K+) concentrations and a decrease in stream sulfate concentrations. A decrease in pH and increase in Al concentrations followed. Elevational trends in stream chemistry were qualitatively similar before and after the cut, although the absolute concentrations of solutes changed markedly. These responses are explained by increased soil nitrification coupled with decreased vegetative uptake following the whole-tree harvest. Acidity generated by nitrification facilitated the mobilization of basic cations and increased anion adsorption. When NO3- production exceeded the release of basic cations, stream pH declined and Al concentrations increased. Aluminum was released in an entirely inorganic form resulting in potentially toxic concentrations in streamwater.</t>
  </si>
  <si>
    <t>10.2134/jeq1987.00472425001600040016x</t>
  </si>
  <si>
    <r>
      <rPr>
        <rFont val="Arial"/>
        <color rgb="FF1155CC"/>
        <u/>
      </rPr>
      <t>http://dx.doi.org/10.2134/jeq1987.00472425001600040016x</t>
    </r>
  </si>
  <si>
    <t>WOS:A1987K900200016</t>
  </si>
  <si>
    <r>
      <rPr>
        <rFont val="Arial"/>
        <color rgb="FF1155CC"/>
        <u/>
      </rPr>
      <t>View Full Record in Web of Science</t>
    </r>
  </si>
  <si>
    <t>Key</t>
  </si>
  <si>
    <t>Item Type</t>
  </si>
  <si>
    <t>Publication Year</t>
  </si>
  <si>
    <t>Author</t>
  </si>
  <si>
    <t>Title</t>
  </si>
  <si>
    <t>Publication Title</t>
  </si>
  <si>
    <t>ISBN</t>
  </si>
  <si>
    <t>ISSN</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</si>
  <si>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</si>
  <si>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</si>
  <si>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</si>
  <si>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</si>
  <si>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</si>
  <si>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</si>
  <si>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</si>
  <si>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</si>
  <si>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</si>
  <si>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</si>
  <si>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</si>
  <si>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</si>
  <si>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</si>
  <si>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</si>
  <si>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</si>
  <si>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</si>
  <si>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</si>
  <si>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</si>
  <si>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</si>
  <si>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</si>
  <si>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</si>
  <si>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</si>
  <si>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</si>
  <si>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</si>
  <si>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</si>
  <si>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</si>
  <si>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</si>
  <si>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</si>
  <si>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</si>
  <si>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</si>
  <si>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</si>
  <si>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</si>
  <si>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</si>
  <si>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</si>
  <si>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</si>
  <si>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</si>
  <si>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</si>
  <si>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</si>
  <si>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</si>
  <si>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</si>
  <si>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</si>
  <si>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</si>
  <si>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</si>
  <si>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</si>
  <si>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</si>
  <si>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</si>
  <si>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</si>
  <si>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</si>
  <si>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</si>
  <si>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</si>
  <si>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</si>
  <si>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</si>
  <si>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</si>
  <si>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</si>
  <si>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</si>
  <si>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</si>
  <si>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</si>
  <si>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</si>
  <si>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</si>
  <si>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</si>
  <si>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</si>
  <si>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</si>
  <si>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</si>
  <si>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</si>
  <si>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</si>
  <si>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</si>
  <si>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</si>
  <si>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</si>
  <si>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</si>
  <si>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</si>
  <si>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</si>
  <si>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</si>
  <si>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</si>
  <si>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</si>
  <si>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</si>
  <si>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</si>
  <si>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</si>
  <si>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</si>
  <si>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39FKJ7Q5</t>
  </si>
  <si>
    <t>journalArticle</t>
  </si>
  <si>
    <t>Barnes, David K. A.; Galgani, Francois; Thompson, Richard C.; Barlaz, Morton</t>
  </si>
  <si>
    <t>Philosophical Transactions of the Royal Society B: Biological Sciences</t>
  </si>
  <si>
    <t>2009</t>
  </si>
  <si>
    <t>2022-09-23 09:13:22</t>
  </si>
  <si>
    <t>2022-09-23T09:13:22Z</t>
  </si>
  <si>
    <t>1985-1998</t>
  </si>
  <si>
    <t>ipbes-global_chapter2.1_drivers</t>
  </si>
  <si>
    <t>RXPTGNSA</t>
  </si>
  <si>
    <t>Barlow, Becky; Filyaw, Tanner; Workman, Sarah W.</t>
  </si>
  <si>
    <t>Non-timber forest products and forest stewardship plans</t>
  </si>
  <si>
    <t>USDA National Agroforestry Center Technical Note. AF Note–48, Forest Farming# 9.</t>
  </si>
  <si>
    <t>2015</t>
  </si>
  <si>
    <t>2022-09-23 09:11:32</t>
  </si>
  <si>
    <t>2022-09-23T09:11:32Z</t>
  </si>
  <si>
    <t>1-8</t>
  </si>
  <si>
    <t>DAYL5CSF</t>
  </si>
  <si>
    <t>Barnes, David K. A.</t>
  </si>
  <si>
    <t>Invasions by marine life on plastic debris</t>
  </si>
  <si>
    <t>Nature</t>
  </si>
  <si>
    <t>0028-0836</t>
  </si>
  <si>
    <t>http://www.nature.com/articles/416808a</t>
  </si>
  <si>
    <t>Colonization by alien species poses one of the greatest threats to global biodiversity1. Here I investigate the colonization by marine organisms of drift debris deposited on the shores of 30 remote islands from the Arctic to the Antarctic (across all oceans) and find that human litter more than doubles the rafting opportunities for biota, particularly at high latitudes. Although the poles may be protected from invasion by freezing sea surface temperatures, these may be under threat as the fastest-warming areas anywhere2 are at these latitudes.</t>
  </si>
  <si>
    <t>2002-04</t>
  </si>
  <si>
    <t>2022-09-21 12:15:33</t>
  </si>
  <si>
    <t>2022-09-21T12:15:33Z</t>
  </si>
  <si>
    <t>808-809</t>
  </si>
  <si>
    <t>HWCDL2FE</t>
  </si>
  <si>
    <t>Barnnhardt, Ray; Kawagley, Angayuqaq Oscar</t>
  </si>
  <si>
    <t>Indigenous Knowledge Systems and Alaska Native Ways of Knowing</t>
  </si>
  <si>
    <t>Anthropology Education Quarterly</t>
  </si>
  <si>
    <t>10.1525/aeq.2005.36.1.008</t>
  </si>
  <si>
    <t>Drawing on experiences across Fourth World contexts, with an emphasis on the Alaska context, this article seeks to extend our understandings of the learning processes within and at the intersection of diverse worldviews and knowledge systems. We outline the rationalefor a comprehensive program of educational initiatives closely articulated with the emergence of a new generation of Indigenous scholars who seek to move the role of Indigenous knowledge and learning from the margins to the center of educational research, thereby confronting some of the most intractable and salient educational issues of our times. [Indigenous knowledge, Indigenous epistemologies, Alaska Native education, Native science] A few years ago, a group of Alaska Native elders and educators were assembled to identify ways to more effectively utilize traditional knowledge systems and ways of knowing embedded in Native communities as a means of enriching the school curriculum and enlivening learning experiences of students. After two days of lengthy discussions on Indigenous worldviews, Native ways of knowing, cultural and intellectual property rights, and traditional ecological knowledge, an Inupiaq elder stood up and explained through an interpreter that he was going to describe how he and his brother were taught to hunt caribou by their father before guns were commonplace in the upper Kobuk River area of northern Alaska. The elder described how his father had been a highly respected hunter who always brought food home when he went out on hunting trips and shared it with others in the village. One day, at the time when he and his brother were coming of age, their father told them to prepare to go with him to check out a herd of caribou migrating through a valley a few miles distant. The brothers eagerly assembled their clothing and equipment and joined their father for their first caribou hunt. When they reached a ridge overlooking the nearby valley, they could see a large herd grazing and moving slowly across a grassy plain below. The father told his</t>
  </si>
  <si>
    <t>2005</t>
  </si>
  <si>
    <t>GILF84AF</t>
  </si>
  <si>
    <t>book</t>
  </si>
  <si>
    <t>Barnett, Harold J.; Morse, Chandler</t>
  </si>
  <si>
    <t>Scarcity and Growth: The Economics of Natural Resource Availability</t>
  </si>
  <si>
    <t>1963</t>
  </si>
  <si>
    <t>Resources for the Future Press</t>
  </si>
  <si>
    <t>New York; London</t>
  </si>
  <si>
    <t>FXH4WI8S</t>
  </si>
  <si>
    <t>Barma, Naazneen; Kaiser, Kai; Le, Tuan Minh</t>
  </si>
  <si>
    <t>Rents to riches?: The political economy of natural resource-led development</t>
  </si>
  <si>
    <t>2012</t>
  </si>
  <si>
    <t>World Bank Publications</t>
  </si>
  <si>
    <t>GB2535EK</t>
  </si>
  <si>
    <t>Barrett, Scott</t>
  </si>
  <si>
    <t>International cooperation for sale</t>
  </si>
  <si>
    <t>European Economic Review</t>
  </si>
  <si>
    <t>00142921</t>
  </si>
  <si>
    <t>10.1016/S0014-2921(01)00082-4</t>
  </si>
  <si>
    <t>This paper shows that strong asymmetry among countries warrants a change in the rules of the game of global public goods provision, with the consequence that cooperation by some countries is bought by others and aggregate welfare is increased, perhaps substantially. Side payments on their own have virtually no effect on the outcomes that can be sustained by self-enforcing cooperative agreements. But when the rules of the game are changed by strong asymmetry - when some countries are effectively 'committed' to being non-signatories to an agreement eschewing money transfers - side payments become the vehicle for increasing participation in a cooperative agreement. © 2001 Elsevier Science B.V. All rights reserved.</t>
  </si>
  <si>
    <t>2001</t>
  </si>
  <si>
    <t>9RKAG2MQ</t>
  </si>
  <si>
    <t>Barlow, Jos; França, Filipe; Gardner, Toby A.; Hicks, Christina C.; Lennox, Gareth D.; Berenguer, Erika; Castello, Leandro; Economo, Evan P.; Ferreira, Joice; Guénard, Benoit; Gontijo Leal, Cecília; Isaac, Victoria; Lees, Alexander C.; Parr, Catherine L.; Wilson, Shaun K.; Young, Paul J.; Graham, Nicholas A. J.</t>
  </si>
  <si>
    <t>The future of hyperdiverse tropical ecosystems</t>
  </si>
  <si>
    <t>4158601803011</t>
  </si>
  <si>
    <t>The tropics contain the overwhelming majority of Earth's biodiversity: their terrestrial, freshwater and marine ecosystems hold more than three-quarters of all species, including almost all shallow-water corals and over 90% of terrestrial birds. However, tropical ecosystems are also subject to pervasive and interacting stressors, such as deforestation, overfishing and climate change, and they are set within a socio-economic context that includes growing pressure from an increasingly globalized world, larger and more affluent tropical populations, and weak governance and response capacities. Concerted local, national and international actions are urgently required to prevent a collapse of tropical biodiversity.</t>
  </si>
  <si>
    <t>2018</t>
  </si>
  <si>
    <t>517–526</t>
  </si>
  <si>
    <t>Nature Publishing Group</t>
  </si>
  <si>
    <t>834W9B5B</t>
  </si>
  <si>
    <t>Climate treaties and approaching catastrophes</t>
  </si>
  <si>
    <t>Journal of Environmental Economics and Management</t>
  </si>
  <si>
    <t>00950696</t>
  </si>
  <si>
    <t>10.1016/j.jeem.2012.12.004</t>
  </si>
  <si>
    <t>If the threshold that triggers climate catastrophe is known with certainty, and the benefits of avoiding catastrophe are high relative to the costs, treaties can easily coordinate countries' behavior so as to avoid the threshold. Where the net benefits of avoiding catastrophe are lower, treaties typically fail to help countries cooperate to avoid catastrophe, sustaining only modest cuts in emissions. These results are unaffected by uncertainty about the impact of catastrophe. By contrast, uncertainty about the catastrophic threshold normally causes coordination to collapse. Whether the probability density function has "thin" or "fat" tails makes little difference. © 2012 Elsevier Inc.</t>
  </si>
  <si>
    <t>2013</t>
  </si>
  <si>
    <t>5R9ETKR8</t>
  </si>
  <si>
    <t>A Theory of Full International Cooperation</t>
  </si>
  <si>
    <t>0951-6298</t>
  </si>
  <si>
    <t>This paper develops a coherent theory of international cooperation relying on the twin assumptions of individual and collective rationality. Using a linear version of the N-player prisoner?s dilemma game, I provide a formal proof of Olson?s conjecture that only a ?small? number of countries can sustain full cooperation by means of a self-enforcing agreement. Moreover, I find that this number is not fixed but depends on the nature of the cooperation problem; for some problems, three countries will be ?too many?, while for others even 200 countries will be a ?small? number. In addition, I find that the international system is only able to sustain global cooperation ? that is, cooperation involving 200 or so countries ? by a self-enforcing treaty when the gains to cooperation are ?small?. Finally, I find that the ability of the international system to sustain cooperation does not hinge on whether the compliance norm of customary international law has been internalized by states or whether compliance must instead be enforced by the use of treaty-based sanctions. The constraint on international cooperation is freerider deterrence, not compliance enforcement. KEY WORDS ? compliance ? free-riding ? game theory ? international cooperation ? renegotiation-proofness</t>
  </si>
  <si>
    <t>1999</t>
  </si>
  <si>
    <t>WJGHBHKP</t>
  </si>
  <si>
    <t>Cudney-Bueno, Richard; Basurto, Xavier</t>
  </si>
  <si>
    <t>Lack of cross-scale linkages reduces robustness of community-based fisheries management</t>
  </si>
  <si>
    <t>PloS one</t>
  </si>
  <si>
    <t>10.1371/journal.pone.0006253</t>
  </si>
  <si>
    <t>2022-09-23 09:11:52</t>
  </si>
  <si>
    <t>2022-09-23T09:11:52Z</t>
  </si>
  <si>
    <t>e6253</t>
  </si>
  <si>
    <t>7</t>
  </si>
  <si>
    <t>B4JV82R2</t>
  </si>
  <si>
    <t>Demaria, Federico</t>
  </si>
  <si>
    <t>Shipbreaking at Alang–Sosiya (India): an ecological distribution conflict</t>
  </si>
  <si>
    <t>Ecological economics</t>
  </si>
  <si>
    <t>10.1016/j.ecolecon.2010.09.006</t>
  </si>
  <si>
    <t>2010</t>
  </si>
  <si>
    <t>2022-09-23 09:11:13</t>
  </si>
  <si>
    <t>2022-09-23T09:11:13Z</t>
  </si>
  <si>
    <t>250-260</t>
  </si>
  <si>
    <t>2</t>
  </si>
  <si>
    <t>QSZAC2CI</t>
  </si>
  <si>
    <t>DeWeerdt, Sarah</t>
  </si>
  <si>
    <t>War and the Environment</t>
  </si>
  <si>
    <t>World Watch Magazine</t>
  </si>
  <si>
    <t>2008</t>
  </si>
  <si>
    <t>2022-09-23 09:10:19</t>
  </si>
  <si>
    <t>2022-09-23T09:10:19Z</t>
  </si>
  <si>
    <t>14-21</t>
  </si>
  <si>
    <t>1</t>
  </si>
  <si>
    <t>3GXQFQTH</t>
  </si>
  <si>
    <t>DeFries, R.; Pandey, D.</t>
  </si>
  <si>
    <t>Urbanization, the energy ladder and forest transitions in India's emerging economy</t>
  </si>
  <si>
    <t>Land Use Policy</t>
  </si>
  <si>
    <t>10.1016/j.landusepol.2009.07.003</t>
  </si>
  <si>
    <t>2022-09-23 09:10:15</t>
  </si>
  <si>
    <t>2022-09-23T09:10:15Z</t>
  </si>
  <si>
    <t>130-138</t>
  </si>
  <si>
    <t>IRW5ITHN</t>
  </si>
  <si>
    <t>Davis, Lucas W.</t>
  </si>
  <si>
    <t>The economic cost of global fuel subsidies</t>
  </si>
  <si>
    <t>American Economic Review</t>
  </si>
  <si>
    <t>10.1257/aer.104.5.581</t>
  </si>
  <si>
    <t>2014</t>
  </si>
  <si>
    <t>2022-09-23 09:09:10</t>
  </si>
  <si>
    <t>2022-09-23T09:09:10Z</t>
  </si>
  <si>
    <t>581-585</t>
  </si>
  <si>
    <t>5</t>
  </si>
  <si>
    <t>EXGRCRCA</t>
  </si>
  <si>
    <t>Deikumah, Justus P.; McAlpine, Clive A.; Maron, Martine</t>
  </si>
  <si>
    <t>Mining matrix effects on West African rainforest birds</t>
  </si>
  <si>
    <t>Biological Conservation</t>
  </si>
  <si>
    <t>10.1016/j.biocon.2013.11.030</t>
  </si>
  <si>
    <t>2022-09-23 09:07:05</t>
  </si>
  <si>
    <t>2022-09-23T09:07:05Z</t>
  </si>
  <si>
    <t>334-343</t>
  </si>
  <si>
    <t>HNCIV9FG</t>
  </si>
  <si>
    <t>Curran, S.</t>
  </si>
  <si>
    <t>Migration, Social Capital, and the Environment: Considering Migrant Selectivity and Networks in Relation to Coastal Ecosystems</t>
  </si>
  <si>
    <t>Population And Development Review</t>
  </si>
  <si>
    <t>2002</t>
  </si>
  <si>
    <t>2022-09-23 09:06:45</t>
  </si>
  <si>
    <t>2022-09-23T09:06:45Z</t>
  </si>
  <si>
    <t>89-125</t>
  </si>
  <si>
    <t>T384BYLF</t>
  </si>
  <si>
    <t>de Vries, Frans P.; Hanley, Nick</t>
  </si>
  <si>
    <t>Incentive-based policy design for pollution control and biodiversity conservation: a review</t>
  </si>
  <si>
    <t>Environmental and Resource Economics</t>
  </si>
  <si>
    <t>10.1007/s10640-015-9996-8</t>
  </si>
  <si>
    <t>2016</t>
  </si>
  <si>
    <t>2022-09-23 09:05:49</t>
  </si>
  <si>
    <t>2022-09-23T09:05:49Z</t>
  </si>
  <si>
    <t>687-702</t>
  </si>
  <si>
    <t>4</t>
  </si>
  <si>
    <t>YGJAR2EX</t>
  </si>
  <si>
    <t>Curtis, Philip G.; Slay, Christy M.; Harris, Nancy L.; Tyukavina, Alexandra; Hansen, Matthew C.</t>
  </si>
  <si>
    <t>Classifying drivers of global forest loss</t>
  </si>
  <si>
    <t>Science</t>
  </si>
  <si>
    <t>0036-8075</t>
  </si>
  <si>
    <t>10.1126/science.aau3445</t>
  </si>
  <si>
    <t>2022-09-23 09:03:33</t>
  </si>
  <si>
    <t>2022-09-23T09:03:33Z</t>
  </si>
  <si>
    <t>1108-1111</t>
  </si>
  <si>
    <t>6407</t>
  </si>
  <si>
    <t>L2DIME2F</t>
  </si>
  <si>
    <t>Daily, G. C.; Matson, P. A.</t>
  </si>
  <si>
    <t>Ecosystem services: from theory to implementation</t>
  </si>
  <si>
    <t>Proc Natl Acad Sci US A</t>
  </si>
  <si>
    <t>10.1073/pnas.0804960105</t>
  </si>
  <si>
    <t>1: Proc Natl Acad Sci US A. 2008 Jul 15;105(28):9455-6. Epub 2008 Jul 9. Click here to read Links. : from theory to implementation.</t>
  </si>
  <si>
    <t>2022-09-23 09:01:37</t>
  </si>
  <si>
    <t>2022-09-23T09:01:37Z</t>
  </si>
  <si>
    <t>2R9GWLUT</t>
  </si>
  <si>
    <t>Davidson, Nick C.</t>
  </si>
  <si>
    <t>How much wetland has the world lost? Long-term and recent trends in global wetland area</t>
  </si>
  <si>
    <t>Marine and Freshwater Research</t>
  </si>
  <si>
    <t>1323-1650</t>
  </si>
  <si>
    <t>10.1071/MF14173</t>
  </si>
  <si>
    <t>http://www.publish.csiro.au/?paper=MF14173</t>
  </si>
  <si>
    <t>It has been frequently stated, but without provision of supporting evidence, that the world has lost 50% of its wetlands (or 50% since 1900 AD). This review of 189 reports of change in wetland area finds that the reported long-term loss of natural wetlands averages between 54–57% but loss may have been as high as 87% since 1700 AD. There has been a much (3.7 times) faster rate of wetland loss during the 20th and early 21st centuries, with a loss of 64–71% of wetlands since 1900 AD. Losses have been larger and faster for inland than coastal natural wetlands. Although the rate of wetland loss in Europe has slowed, and in North America has remained low since the 1980s, the rate has remained high in Asia, where large-scale and rapid conversion of coastal and inland natural wetlands is continuing. It is unclear whether the investment by national governments in the Ramsar Convention on Wetlands has influenced these rates of loss. There is a need to improve the knowledge of change in wetland areas worldwide, particularly for Africa, the Neotropics and Oceania, and to improve the consistency of data on change in wetland areas in published papers and reports.</t>
  </si>
  <si>
    <t>2022-09-23 08:16:33</t>
  </si>
  <si>
    <t>2022-09-23T08:16:33Z</t>
  </si>
  <si>
    <t>2022-09-19 21:15:51</t>
  </si>
  <si>
    <t>934</t>
  </si>
  <si>
    <t>10</t>
  </si>
  <si>
    <t>Mar. Freshwater Res.</t>
  </si>
  <si>
    <t>How much wetland has the world lost?</t>
  </si>
  <si>
    <t>en</t>
  </si>
  <si>
    <t>DOI.org (Crossref)</t>
  </si>
  <si>
    <t>ipbes-global_chapter2.1_drivers; ipbes-global_chapter2.2_nature; ipbes-global_chapter3</t>
  </si>
  <si>
    <t>WVEZKCDS</t>
  </si>
  <si>
    <t>Diaz, Robert J.; Rosenberg, Rutger</t>
  </si>
  <si>
    <t>Spreading Dead Zones and Consequences for Marine Ecosystems</t>
  </si>
  <si>
    <t>0036-8075, 1095-9203</t>
  </si>
  <si>
    <t>10.1126/science.1156401</t>
  </si>
  <si>
    <t>https://www.science.org/doi/10.1126/science.1156401</t>
  </si>
  <si>
    <t>Dead zones in the coastal oceans have spread exponentially since the 1960s and have serious consequences for ecosystem functioning. The formation of dead zones has been exacerbated by the increase in primary production and consequent worldwide coastal eutrophication fueled by riverine runoff of fertilizers and the burning of fossil fuels. Enhanced primary production results in an accumulation of particulate organic matter, which encourages microbial activity and the consumption of dissolved oxygen in bottom waters. Dead zones have now been reported from more than 400 systems, affecting a total area of more than 245,000 square kilometers, and are probably a key stressor on marine ecosystems.</t>
  </si>
  <si>
    <t>2008-08-15</t>
  </si>
  <si>
    <t>2022-09-23 07:52:24</t>
  </si>
  <si>
    <t>2022-09-23T07:52:24Z</t>
  </si>
  <si>
    <t>2022-09-19 21:16:43</t>
  </si>
  <si>
    <t>926-929</t>
  </si>
  <si>
    <t>5891</t>
  </si>
  <si>
    <t>ipbes-global_chapter2.1_drivers; ipbes-global_chapter3; ipbes-global_chapter4; ipbes-global_glossary</t>
  </si>
  <si>
    <t>TI5IMXX3</t>
  </si>
  <si>
    <t>Descola, Philippe</t>
  </si>
  <si>
    <t>Beyond nature and culture</t>
  </si>
  <si>
    <t>978-0-226-21236-4</t>
  </si>
  <si>
    <t>"Originally published as Philippe Descola, Par-delà nature et culture (Paris: Editions Gallimard, 2005) © Editions Gallimard, Paris, 2005"--Title page verso. "Successor to Claude Levi-Strauss at the College de France, Philippe Descola has become one of the most important anthropologists working today, and Beyond Nature and Culture has been a major influence in European intellectual life since its French publication in 2005. Here, finally, it is brought to English-language readers. At its heart is a question central to both anthropology and philosophy: what is the relationship between nature and culture? Culture - as a collective human making, of art, language, and so forth - is often seen as essentially different than nature, which is portrayed as a collective of the nonhuman world, of plants, animals, geology, and natural forces. Descola shows this essential difference to be, however, not only a specifically Western notion, but also a very recent one. Drawing on ethnographic examples from around the world and theoretical understandings from cognitive science, structural analysis, and phenomenology, he formulates a sophisticated new framework, the "four ontologies"--Animism, totemism, naturalism, and analogism - to account for all the ways we relate ourselves to nature. By thinking beyond nature and culture as a simple dichotomy, Descola offers nothing short of a fundamental reformulation by which anthropologists and philosophers can see the world afresh"--provided by publisher. Trompe-l'oeil nature. Configurations of continuity ; The wild and the domesticated ; The great divide -- The structures of experience. The schemas of practice ; Relations with the self and relations with others -- The dispositions of being. Animism restored ; Totemism as an ontology ; The certainties of naturalism ; The dizzying prospects of analogy ; Terms, relations, categories -- The ways of the world. The institution of collectives ; Metaphysics of morals -- An ecology of relations. Forms of attachment ; The traffic of souls ; Histories of structures -- Epilogue : the spectrum of possibilities.</t>
  </si>
  <si>
    <t>2022-09-21 14:49:23</t>
  </si>
  <si>
    <t>2022-09-21T14:49:23Z</t>
  </si>
  <si>
    <t>The University of Chicago Press</t>
  </si>
  <si>
    <t>Chicago</t>
  </si>
  <si>
    <t>ipbes-global_chapter1; ipbes-global_chapter2.1_drivers; ipbes-global_chapter2.2_nature; ipbes-global_chapter2.3_ncp; ipbes-global_chapter5</t>
  </si>
  <si>
    <t>MGR6IL5Z</t>
  </si>
  <si>
    <t>Derraik, José G. B.</t>
  </si>
  <si>
    <t>The pollution of the marine environment by plastic debris: a review</t>
  </si>
  <si>
    <t>Marine Pollution Bulletin</t>
  </si>
  <si>
    <t>02727714</t>
  </si>
  <si>
    <t>https://www.sciencedirect.com/science/article/pii/S0025326X02002205 http://www.ncbi.nlm.nih.gov/pubmed/12405208</t>
  </si>
  <si>
    <t>The deleterious effects of plastic debris on the marine environment were reviewed by bringing together most of the literature published so far on the topic. A large number of marine species is known to be harmed and/or killed by plastic debris, which could jeopardize their survival, especially since many are already endangered by other forms of anthropogenic activities. Marine animals are mostly affected through entanglement in and ingestion of plastic litter. Other less known threats include the use of plastic debris by ‘‘invader” species and the absorption of polychlorinated biphenyls from ingested plastics. Less conspicuous forms, such as plastic pellets and ‘‘scrubbers” are also hazardous. To address the problem of plastic debris in the oceans is a difficult task, and a variety of approaches are urgently required. Some of the ways to mitigate the problem are discussed.</t>
  </si>
  <si>
    <t>842-852</t>
  </si>
  <si>
    <t>6XWGEGKU</t>
  </si>
  <si>
    <t>Dhiaulhaq, Ahmad; De Bruyn, Toon; Gritten, David</t>
  </si>
  <si>
    <t>The use and effectiveness of mediation in forest and land conflict transformation in Southeast Asia: Case studies from Cambodia, Indonesia and Thailand</t>
  </si>
  <si>
    <t>Environmental Science and Policy</t>
  </si>
  <si>
    <t>18736416</t>
  </si>
  <si>
    <t>10.1016/j.envsci.2014.10.009</t>
  </si>
  <si>
    <t>http://dx.doi.org/10.1016/j.envsci.2014.10.009</t>
  </si>
  <si>
    <t>The abundance and intensity of forest and land conflicts in Southeast Asia highlights the importance of sound and robust strategies in transforming the conflicts. This study aims to increase the understanding of the role of mediation in transforming these conflicts, examine the effectiveness of mediation, gain insights into the challenges as well as opportunities to improve mediation practices. This was achieved by analyzing six mediation cases in Cambodia, Indonesia and Thailand. Various data acquisition methods were used including literature review, expert workshop, semi-structured interviews and focus group discussions. A conflict mediation analysis framework was also developed and applied. Our findings suggest that mediation has played an important role in facilitating the process of conflict transformation. It has facilitated the creation of a conducive environment for multi-stakeholder dialog, built trust among the conflict parties, as well as assisted problem solving processes, resulting in mutually agreed solutions, improved relationships, and commitment to long-term cooperation. The parties also felt that successful mediation has also contributed to the improved social, economic, and environmental conditions in the study sites. However, the study found that mediation is not a silver bullet and that mediation alone is not enough in dealing with the underlying causes of conflict, specifically the structural inequalities. Other challenges in the application of mediation have also been identified such as the capacity requirements, as well as the costs involved.In moving forward, the paper makes recommendations to promote mediation for conflict transformation at policy and institutional levels, and suggests how to promote mediation and raise awareness about the availability and effectiveness of mediation to conflicting parties and the general public.</t>
  </si>
  <si>
    <t>132-145</t>
  </si>
  <si>
    <t>UDEUVUYR</t>
  </si>
  <si>
    <t>De Groot, Rudolf S.; Blignaut, James; Van Der Ploeg, Sander; Aronson, James; Elmqvist, Thomas; Farley, Joshua</t>
  </si>
  <si>
    <t>Benefits of Investing in Ecosystem Restoration</t>
  </si>
  <si>
    <t>Conservation Biology</t>
  </si>
  <si>
    <t>15231739</t>
  </si>
  <si>
    <t>10.1111/cobi.12158</t>
  </si>
  <si>
    <t>Measures aimed at conservation or restoration of ecosystems are often seen as net-cost projects by governments and businesses because they are based on incomplete and often faulty cost-benefit analyses. After screening over 200 studies, we examined the costs (94 studies) and benefits (225 studies) of ecosystem restoration projects that had sufficient reliable data in 9 different biomes ranging from coral reefs to tropical forests. Costs included capital investment and maintenance of the restoration project, and benefits were based on the monetary value of the total bundle of ecosystem services provided by the restored ecosystem. Assuming restoration is always imperfect and benefits attain only 75% of the maximum value of the reference systems over 20 years, we calculated the net present value at the social discount rates of 2% and 8%. We also conducted 2 threshold cum sensitivity analyses. Benefit-cost ratios ranged from about 0.05:1 (coral reefs and coastal systems, worst-case scenario) to as much as 35:1 (grasslands, best-case scenario). Our results provide only partial estimates of benefits at one point in time and reflect the lower limit of the welfare benefits of ecosystem restoration because both scarcity of and demand for ecosystem services is increasing and new benefits of natural ecosystems and biological diversity are being discovered. Nonetheless, when accounting for even the incomplete range of known benefits through the use of static estimates that fail to capture rising values, the majority of the restoration projects we analyzed provided net benefits and should be considered not only as profitable but also as high-yielding investments. Beneficios de Invertir en la Restauración de Ecosistemas.</t>
  </si>
  <si>
    <t>FTW8FNE3</t>
  </si>
  <si>
    <t>DeFries, Ruth S.; Rudel, Thomas; Uriarte, Maria; Hansen, Matthew</t>
  </si>
  <si>
    <t>Deforestation driven by urban population growth and agricultural trade in the twenty-first century</t>
  </si>
  <si>
    <t>Nature Geoscience</t>
  </si>
  <si>
    <t>17520894</t>
  </si>
  <si>
    <t>10.1038/ngeo756</t>
  </si>
  <si>
    <t>http://dx.doi.org/10.1038/ngeo756</t>
  </si>
  <si>
    <t>Nature Geoscience 3, 178 (2010). doi:10.1038/ngeo756</t>
  </si>
  <si>
    <t>178-181</t>
  </si>
  <si>
    <t>3</t>
  </si>
  <si>
    <t>ipbes-global_chapter2.1_drivers; ipbes-global_chapter2.2_nature; ipbes-global_chapter4; ipbes-global_chapter5</t>
  </si>
  <si>
    <t>LU26SX29</t>
  </si>
  <si>
    <t>Dankers, Cora; Liu, P.</t>
  </si>
  <si>
    <t>Environmental and Social Standards, Certification for cash crops</t>
  </si>
  <si>
    <t>http://www.fao.org/3/a-y5136e.pdf</t>
  </si>
  <si>
    <t>2003</t>
  </si>
  <si>
    <t>Food and Agriculture Organisation of the United Nations</t>
  </si>
  <si>
    <t>Rome</t>
  </si>
  <si>
    <t>ipbes-global_chapter2.1_drivers; ipbes-global_glossary</t>
  </si>
  <si>
    <t>2PBJU2AT</t>
  </si>
  <si>
    <t>Crouzeilles, Renato; Ferreira, Mariana S.; Chazdon, Robin L.; Lindenmayer, David B.; Sansevero, Jerônimo B. B.; Monteiro, Lara; Iribarrem, Alvaro; Latawiec, Agnieszka E.; Strassburg, Bernardo B. N.</t>
  </si>
  <si>
    <t>Ecological restoration success is higher for natural regeneration than for active restoration in tropical forests</t>
  </si>
  <si>
    <t>Science Advances</t>
  </si>
  <si>
    <t>2375-2548</t>
  </si>
  <si>
    <t>10.1126/sciadv.1701345</t>
  </si>
  <si>
    <t>http://advances.sciencemag.org/lookup/doi/10.1126/sciadv.1701345</t>
  </si>
  <si>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</si>
  <si>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2017-11</t>
  </si>
  <si>
    <t>e1701345</t>
  </si>
  <si>
    <t>11</t>
  </si>
  <si>
    <t>ipbes-global_chapter2.1_drivers; ipbes-global_chapter5</t>
  </si>
  <si>
    <t>D234LJVM</t>
  </si>
  <si>
    <t>report</t>
  </si>
  <si>
    <t>Deininger, Klaus; Byerlee, Derek; Lindsay, Jonathan; Norton, Andrew; Selod, Harris; Stickler, Mercedes</t>
  </si>
  <si>
    <t>Rising Global Interest in Farmland. Can It Yield Sustainable and Equitable Benefits?</t>
  </si>
  <si>
    <t>https://siteresources.worldbank.org/DEC/Resources/Rising-Global-Interest-in-Farmland.pdf</t>
  </si>
  <si>
    <t>2011</t>
  </si>
  <si>
    <t>The World Bank</t>
  </si>
  <si>
    <t>Washington</t>
  </si>
  <si>
    <t>VM3AK3KK</t>
  </si>
  <si>
    <t>Deacon, Robert T.</t>
  </si>
  <si>
    <t>Deforestation and Ownership: Evidence from Historical Accounts and Contemporary Data</t>
  </si>
  <si>
    <t>Land Economics</t>
  </si>
  <si>
    <t>00237639</t>
  </si>
  <si>
    <t>10.2307/3147182</t>
  </si>
  <si>
    <t>www.jstor.org/stable/3147182</t>
  </si>
  <si>
    <t>[Historical accounts of forest cover changes over the last three millennia are compared to contemporaneous human history, to shed light on factors contributing to large scale changes in forest stocks. Insecure ownership, for example, during wartime and periods of unrest, tends to accompany deforestation, as does population growth, and as does declining agricultural yields. A simple model of forest stocks and agricultural yields that captures these relationships is formulated to guide empirical analysis. Estimates based on cross-country data support the proposition that agricultural yields tend to be low and deforestation rates rapid where ownership is inscure.]</t>
  </si>
  <si>
    <t>341-359</t>
  </si>
  <si>
    <t>JSTOR</t>
  </si>
  <si>
    <t>8KGJZBP6</t>
  </si>
  <si>
    <t>Da-Rocha, José-María; Sempere, Jaume</t>
  </si>
  <si>
    <t>ITQs, Firm Dynamics and Wealth Distribution: Does Full Tradability Increase Inequality?</t>
  </si>
  <si>
    <t>0924-6460</t>
  </si>
  <si>
    <t>10.1007/s10640-016-0017-3</t>
  </si>
  <si>
    <t>http://link.springer.com/10.1007/s10640-016-0017-3</t>
  </si>
  <si>
    <t>Concerns over the re-distributive e ects of individual transferable quotas (ITQ's) have led to restrictions on their tradability. We consider a general equilibrium model with rm dynamics to evaluate the redistributive impact of changing the tradability of ITQs. A change in tradability would happen, for example, if permits are allowed to be traded as a separate asset from ownership of an active rm. If the property right is associated with ownership of an active rm, the permit can be leased in each period but it is not possible to exit the industry and keep the right. However, allowing the permits to be traded as a separate asset has two e ects. First, it leads to a greater concentration of production in the industry. Second, it directly converts a non-tradable asset into a tradable one, and this is equivalent to giving a lump sum transfer to all rms. The rst e ect implies a concentration in revenues, while the second implies a redistribution of wealth. We calibrate our model to match the observed increase in revenue inequality in the Northeast Multispecies (Ground sh) U.S. Fishery. We show that although observed revenue inequality {measured by the Gini coe cient{ increases by 12%, wealth inequality is reduced by 40%.}}</t>
  </si>
  <si>
    <t>2017-10</t>
  </si>
  <si>
    <t>249-273</t>
  </si>
  <si>
    <t>QE45MIP3</t>
  </si>
  <si>
    <t>The Environmental Cost of Global Fuel Subsidies</t>
  </si>
  <si>
    <t>http://www.nber.org/papers/w22105</t>
  </si>
  <si>
    <t>Despite increasing calls for reform many countries continue to provide subsidies for gasoline and diesel. This paper quantifies the external costs of global fuel subsidies using the latest available data and estimates from the World Bank and International Monetary Fund. Under preferred assumptions about supply and demand elasticities, current subsidies cause $44 billion in external costs annually. This includes $8 billion from carbon dioxide emissions, $7 billion from local pollutants, $12 billion from traffic congestion, and $17 billion from accidents. Government incentives for alternative fuel vehicles are unlikely to cost-effectively reduce these externalities as they do little to address traffic congestion or accidents, and only indirectly address carbon dioxide and local pollutants.</t>
  </si>
  <si>
    <t>National Bureau of Economic Research</t>
  </si>
  <si>
    <t>Working Paper</t>
  </si>
  <si>
    <t>CN5HXV2A</t>
  </si>
  <si>
    <t>Cronin, Julie Anne; Fullerton, Don; Sexton, Steven E.</t>
  </si>
  <si>
    <t>Vertical and horizontal redistributions from a carbon tax and rebate</t>
  </si>
  <si>
    <t>2017</t>
  </si>
  <si>
    <t>JVPNUYJV</t>
  </si>
  <si>
    <t>Crowder, Kyle; Downey, Liam</t>
  </si>
  <si>
    <t>Interneighborhood Migration, Race, and Environmental Hazards: Modeling Microlevel Processes of Environmental Inequality</t>
  </si>
  <si>
    <t>American Journal of Sociology</t>
  </si>
  <si>
    <t>0002-9602</t>
  </si>
  <si>
    <t>10.1086/649576</t>
  </si>
  <si>
    <t>http://www.journals.uchicago.edu/doi/10.1086/649576</t>
  </si>
  <si>
    <t>This study combines longitudinal individual‐level data with neighborhood‐level industrial hazard data to examine the extent and sources of environmental inequality. Results indicate that profound racial and ethnic differences in proximity to industrial pollution persist when differences in individual education, household income, and other microlevel characteristics are controlled. Examination of underlying migration patterns further reveals that black and Latino householders move into neighborhoods with significantly higher hazard levels than do comparable whites and that racial differences in proximity to neighborhood pollution are maintained more by these disparate mobility destinations than by differential effects of pollution on the decision to move.</t>
  </si>
  <si>
    <t>2010-01</t>
  </si>
  <si>
    <t>1110-1149</t>
  </si>
  <si>
    <t>3V77XW5Z</t>
  </si>
  <si>
    <t>Dasgupta, Aniruddha; Beard, Victoria A.</t>
  </si>
  <si>
    <t>Community Driven Development, Collective Action and Elite Capture in Indonesia</t>
  </si>
  <si>
    <t>Development and Change</t>
  </si>
  <si>
    <t>0012-155X</t>
  </si>
  <si>
    <t>10.1111/j.1467-7660.2007.00410.x</t>
  </si>
  <si>
    <t>https://doi.org/10.1111/j.1467-7660.2007.00410.x</t>
  </si>
  <si>
    <t>ABSTRACT In response to the well documented limitations of top-down, modernist and authoritarian approaches that have dominated development, practitioners and academics increasingly promote more community-based approaches. The World Bank uses the term ?community driven development? to describe projects that increase a community's control over the development process. In an analysis of a community driven poverty alleviation project in Indonesia, this article examines the vulnerability of such an approach to elite capture. The expected relationships among a community's capacity for collective action, elite control over project decisions and elite capture of project benefits were not found. In cases where the project was controlled by elites, benefits continued to be delivered to the poor, and where power was the most evenly distributed, resource allocation to the poor was restricted. Communities where both non-elites and elites participated in democratic self-governance, however, did demonstrate an ability to redress elite capture when it occurred.</t>
  </si>
  <si>
    <t>2007-03-01</t>
  </si>
  <si>
    <t>2019-11-06 00:00:00</t>
  </si>
  <si>
    <t>229-249</t>
  </si>
  <si>
    <t>QLM3JK9R</t>
  </si>
  <si>
    <t>Cropper, Maureen; Puri, Jyotsna; Griffiths, Charles</t>
  </si>
  <si>
    <t>Predicting the Location of Deforestation : The Role of Roads and Protected Areas in North Thailand</t>
  </si>
  <si>
    <t>10.3368/le.77.2.172</t>
  </si>
  <si>
    <t>Abstract: Using plot level data, we estimate a bivariate probit model to explain land clearing and the siting of protected areas in North Thailand in 1986. The model suggests that protected areas (national parks and wildlife sanctuaries together) did not reduce the likelihood of forest clearing; however, wildlife sanctuaries may have reduced the probability of deforestation. Road building, by reducing impedance-weighted distance to market, has promoted clearing, especially near the forest fringe. We simulate the impact of further road building to show where road building is likely to have greatest impact and where it is likely to threaten protected areas. (JEL Q23, Q28, R40)</t>
  </si>
  <si>
    <t>172-186</t>
  </si>
  <si>
    <t>P4XHMK4E</t>
  </si>
  <si>
    <t>Dalin, Carole; Qiu, Huanguang; Hanasaki, Naota; Mauzerall, Denise L.; Rodriguez-Iturbe, Ignacio</t>
  </si>
  <si>
    <t>Proceedings of the National Academy of Sciences</t>
  </si>
  <si>
    <t>0027-8424</t>
  </si>
  <si>
    <t>China's economic growth is expected to continue into the next decades, accompanied by sustained urbanization and industrialization. The associated increase in demand for land, water resources, and rich foods will deepen the challenge of sustainably feeding the population and balancing agricultural and environmental policies. We combine a hydrologic model with an economic model to project China's future food trade patterns and embedded water resources by 2030 and to analyze the effects of targeted irrigation reductions on this system, notably on national agricultural water consumption and food self-sufficiency. We simulate interprovincial and international food trade with a general equilibrium welfare model and a linear programming optimization, and we obtain province-level estimates of commodities' virtual water content with a hydrologic model. We find that reducing irrigated land in regions highly dependent on scarce river flow and nonrenewable groundwater resources, such as Inner Mongolia and the greater Beijing area, can improve the efficiency of agriculture and trade regarding water resources. It can also avoid significant consumption of irrigation water across China (up to 14.8 km3/y, reduction by 14%), while incurring relatively small decreases in national food self-sufficiency (e.g., by 3% for wheat). Other researchers found that a national, rather than local, water policy would have similar effects on food production but would only reduce irrigation water consumption by 5%.</t>
  </si>
  <si>
    <t>T9HCL2I8</t>
  </si>
  <si>
    <t>Curran, Sara R.; Cooke, Abigail M.</t>
  </si>
  <si>
    <t>Unexpected Outcomes of Thai Cassava Trade : A Case of Global Complexity and Local Unsustainability</t>
  </si>
  <si>
    <t>Globalizations</t>
  </si>
  <si>
    <t>1474-7731</t>
  </si>
  <si>
    <t>10.1080/14747730802057449</t>
  </si>
  <si>
    <t>Tracing the Thai cassava (Manihot esculenta) trade network, between 1960 and 2000, offers a compelling example of global complexity at work. The emergence of Thailand's dominance of world export markets caught the world by surprise. The opening up of a European market for cassava was supposed to be met by Brazilian and Indonesian producers. Instead, Thailand took over the market by 1975. Several factors facilitated this emergence including: entrepreneurial diasporic networks of Thai-Chinese traders, local political economy conditions in both Europe and Thailand, and ecological conditions in Thailand. These same factors also shaped the subsequent timing of the closing of the European market, the emergence of a new industry association, the creation of new cassava products, and the expansion to other markets. Furthermore, the dynamic nature of cassava market yielded equivocal outcomes for both Europe and Thai farmers. A Chinese version of this article's abstract is available online at: www.informaworld.com/rglo</t>
  </si>
  <si>
    <t>FQ5TCWES</t>
  </si>
  <si>
    <t>Dayton-Johnson, Jeff; Bardhan, Pranab</t>
  </si>
  <si>
    <t>Inequality and conservation on the local commons: A theoretical exercise</t>
  </si>
  <si>
    <t>Economic Journal</t>
  </si>
  <si>
    <t>00130133</t>
  </si>
  <si>
    <t>10.1111/1468-0297.00731</t>
  </si>
  <si>
    <t>To analyse the effect of asset inequality on co-operation within a group, we consider a two-player nonco-operative model of conservation of a common-pool resource. Overexploitation by one user affects another's payoff by reducing the next-period catch. We give necessary and sufficient conditions such that conservation is a Nash equilibrium, and show that increasing inequality does not, in general, favour full conservation. However, once inequality is sufficiently great, further inequality can raise efficiency. Thus, the relationship between inequality and economic efficiency is U-shaped. Finally, we analyse the implications for conservation if players have earning opportunities outside the commons.</t>
  </si>
  <si>
    <t>HFJPDWG4</t>
  </si>
  <si>
    <t>Dawson, Wayne; Moser, Dietmar; van Kleunen, Mark; Kreft, Holger; Pergl, Jan; Pyšek, Petr; Weigelt, Patrick; Winter, Marten; Lenzner, Bernd; Blackburn, Tim M.; Dyer, Ellie E.; Cassey, Phillip; Scrivens, Sally L.; Economo, Evan P.; Guénard, Benoit; Capinha, César; Seebens, Hanno; García-Díaz, Pablo; Nentwig, Wolfgang; García-Berthou, Emili; Casal, Christine; Mandrak, Nicholas E.; Fuller, Pam; Meyer, Carsten; Essl, Franz</t>
  </si>
  <si>
    <t>Nature Ecology &amp; Evolution</t>
  </si>
  <si>
    <t>2397-334X</t>
  </si>
  <si>
    <t>2017-06</t>
  </si>
  <si>
    <t>0186</t>
  </si>
  <si>
    <t>JUNE</t>
  </si>
  <si>
    <t>RUIS5YQY</t>
  </si>
  <si>
    <t>Datta, Saugato</t>
  </si>
  <si>
    <t>The impact of improved highways on Indian firms</t>
  </si>
  <si>
    <t>Journal of Development Economics</t>
  </si>
  <si>
    <t>03043878</t>
  </si>
  <si>
    <t>10.1016/j.jdeveco.2011.08.005</t>
  </si>
  <si>
    <t>India's Golden Quadrilateral Program, a major highway project, aimed at improving the quality and width of existing highways connecting the four largest cities in India. It affected the quality of highways available to firms in cities that lay along the routes of the four upgraded highways, while leaving the quality of highways available to firms in other cities unaffected. This feature of the project allows for a difference-in-difference estimation strategy, where status on and off the improved highways, and distance from them, are used as treatment variables. This strategy is implemented using data from the 2002 and 2005 rounds of the World Bank Enterprise Surveys for India. Firms in cities affected by the Golden Quadrilateral highway project reduced their average stock of input inventories by between 6 and 12days' worth of production. Firms in cities where road quality did not improve showed no significant changes. The reduction in stocks of input inventories also varied inversely with the distance between the city in which a firm was located and the nearest city on an improved highway. Firms on the Golden Quadrilateral were also more likely to have switched the supplier who provided them with their primary input, suggesting that they saw reason to re-optimize their choice of supplier after the arrival of better highways. Consistent with these findings, firms on the improved highways reported decreased transportation obstacles to production, while firms in control cities reported no such change.</t>
  </si>
  <si>
    <t>46-57</t>
  </si>
  <si>
    <t>4WEULRV2</t>
  </si>
  <si>
    <t>Darity, William A.; Mason, Patrick L.; Stewart, James B.</t>
  </si>
  <si>
    <t>The economics of identity: The origin and persistence of racial identity norms</t>
  </si>
  <si>
    <t>Journal of Economic Behavior and Organization</t>
  </si>
  <si>
    <t>01672681</t>
  </si>
  <si>
    <t>10.1016/j.jebo.2004.09.005</t>
  </si>
  <si>
    <t>This study uses evolutionary game theory to model the relationship between racial identity formation and inter-racial disparities in economic and non-economic outcomes. Starting with a fixed population of persons who are easily identified according to an exogenous criterion, for example, phenotype, we then allow individuals to pursue either a racialist or an individualist identity strategy in social interactions. The formation of identity norms imposes both positive and negative externalities on each person's identity actions. There are forces in the model that might push society toward racialism, individualism, or a mixed identity equilibrium, depending on matching assumptions, dynamic assumptions, parameter values, and initial conditions. ?? 2005.</t>
  </si>
  <si>
    <t>2006</t>
  </si>
  <si>
    <t>WKX5F5ND</t>
  </si>
  <si>
    <t>Daniels, Peter</t>
  </si>
  <si>
    <t>Economic gains from technology-intensive trade: an empirical assessment</t>
  </si>
  <si>
    <t>Camb. J. Econ.</t>
  </si>
  <si>
    <t>14643545</t>
  </si>
  <si>
    <t>10.1093/cje/23.4.427</t>
  </si>
  <si>
    <t>National investment in technological activity is commonly justified in terms of the positive impacts upon productivity, international competitiveness and related aspects of national economic performance. This premise has found a supportive theoretical framework in the new technology and growth models. Based on extended technology-gap models, this study examines cross-country empirical evidence on the relationship between technology-intensive trade performance (as a proxy for technological output) and per capita economic performance, utilising 1978 to 1992 data for around 45 nations. The results provide some support for a positive relationship between trade performance and economic returns. However, the weak and often inconsistent results suggest that the unconditional pursuit of technology-intensive trade improvements may not necessarily have the expected net benefits. Keywords:Technology, International trade, Economic welfare, Growth.</t>
  </si>
  <si>
    <t>PNGC39KR</t>
  </si>
  <si>
    <t>Damon, Maria; Zivin, Joshua Graff; Thirumurthy, Harsha</t>
  </si>
  <si>
    <t>Health shocks and natural resource management: Evidence from Western Kenya</t>
  </si>
  <si>
    <t>10960449</t>
  </si>
  <si>
    <t>10.1016/j.jeem.2014.10.006</t>
  </si>
  <si>
    <t>Poverty and altered planning horizons brought on by the HIV/AIDS epidemic can change individual discount rates, altering incentives to conserve natural resources. Using longitudinal household survey data from Western Kenya, we estimate the effects of health status on investments in soil quality, as indicated by households' agricultural land fallowing decisions. We first show that this effect is theoretically ambiguous: while health improvements lower discount rates and thus increase incentives to conserve natural resources, they also increase labor productivity and make it more likely that households can engage in labor-intensive resource extraction activities. We find that household size and composition are predictors of whether the effect of health improvements on discount rates dominates the productivity effect, or vice-versa. Since households with more and younger members are better able to reallocate labor to cope with productivity shocks, the discount rate effect dominates for these households and health improvements lead to greater levels of conservation. In smaller families with less substitutable labor, the productivity effect dominates and health improvements lead to greater environmental degradation.</t>
  </si>
  <si>
    <t>BPEGJ9NI</t>
  </si>
  <si>
    <t>Davis, J. A.; Froend, R.</t>
  </si>
  <si>
    <t>Loss and degradation of wetlands in southwestern Australia: Underlying causes, consequences and solutions</t>
  </si>
  <si>
    <t>Wetlands Ecology and Management</t>
  </si>
  <si>
    <t>09234861</t>
  </si>
  <si>
    <t>10.1023/A:1008400404021</t>
  </si>
  <si>
    <t>Many wetlands (estimated to be about 70%) have been lost in the coastal plain region of southwestern Australia since British settlement (in 1829), primarily as a result of infilling or drainage to create land for agricultural use or urban development. While further loss is almost universally acknowledged as undesirable, wetland degradation continues with little overt public recognition of the causes or consequences. Obvious and direct causes include nutrient enrichment, salinization, pollution with pesticides and heavy metals, the invasion of exotic flora and flora, loss of fringing vegetation and altered hydrological regimes occurring as a result of urbanization and agricultural practices. Underlying causes include a lack of understanding of wetland hydrology and ecology on behalf of both planning agencies and the private sector, and poor coordination of the many different agencies responsible for wet-land management. Public and political awareness of wetland values continues to increase, but sectoral organization and responsibilities for wetland management lag behind. Sufficient scientific information now exists for improved management, protection and restoration of wetlands in southwestern Australia. However, this improvement cannot occur without the necessary political will and corresponding sectoral responses needed to implement coordinated wetland management policies and actions.</t>
  </si>
  <si>
    <t>HBK5IJKM</t>
  </si>
  <si>
    <t>Dasgupta, Susmita; Laplante, Benoit; Wang, Hua; Wheeler, David</t>
  </si>
  <si>
    <t>Confronting the Environmental Kuznets Curve</t>
  </si>
  <si>
    <t>147-168</t>
  </si>
  <si>
    <t>GVKJDHRY</t>
  </si>
  <si>
    <t>DeClerck, F. A. J.; Jones, S. K.; Attwood, S.; Bossio, D.; Girvetz, E.; Chaplin-Kramer, B.; Enfors, E.; Fremier, A. K.; Gordon, L. J.; Kizito, F.; Lopez Noriega, I.; Matthews, N.; McCartney, M.; Meacham, M.; Noble, A.; Quintero, M.; Remans, Roseline; Soppe, Richard; Willemen, L.; Wood, S. L. R.; Zhang, W.</t>
  </si>
  <si>
    <t>Agricultural ecosystems and their services: the vanguard of sustainability?</t>
  </si>
  <si>
    <t>1877-3435</t>
  </si>
  <si>
    <t>Sustainable Development Goals offer an opportunity to improve human well-being while conserving natural resources. Ecosystem services highlight human well-being benefits ecosystems, including agricultural ecosystems, provides. Whereas agricultural systems produce the majority of our food, they drive significant environmental degradation. This tension between development and environmental conservation objectives is not an immutable outcome as agricultural systems are simultaneously dependents, and providers of ecosystem services. Recognizing this duality allows integration of environmental and development objectives and leverages agricultural ecosystem services for achieving sustainability targets. We propose a framework to operationalize ecosystem services and resilience-based interventions in agricultural landscapes and call for renewed efforts to apply resilience-based approaches to landscape management challenges and for refocusing ecosystem service research on human well-being outcomes.</t>
  </si>
  <si>
    <t>QD6XISVR</t>
  </si>
  <si>
    <t>Dell'Angelo, Jampel; Rulli, Maria Cristina; D'Odorico, Paolo</t>
  </si>
  <si>
    <t>The Global Water Grabbing Syndrome</t>
  </si>
  <si>
    <t>Ecological Economics</t>
  </si>
  <si>
    <t>09218009</t>
  </si>
  <si>
    <t>10.1016/j.ecolecon.2017.06.033</t>
  </si>
  <si>
    <t>Large-scale acquisitions of agricultural land in developing countries have been rapidly increasing in the last 10 years, contributing to a major agrarian transition from subsistence or small scale farming to large-scale commercial agriculture by agribusiness transnational corporations. Likely driven by recent food crises, new bioenergy policies, and financial speculations, this phenomenon has been often investigated from the economic development, human right, land tenure and food security perspectives, while its hydrologic implications have remained understudied. It has been suggested that a major driver of large-scale land acquisitions (LSLAs) is the quest for water resources that can be used (locally) to sustain agricultural production in the acquired land. The appropriation of water resources associated with LSLAs has often been termed ‘water grabbing', though to date a formal definition of such a normative and inherently pejorative term is missing. The intrinsic assumption is that the acquisition of water undergoes the same dynamics of unbalanced power relationships that underlie many LSLAs. Here we invoke hydrological theories of “green” and “blue” water flows to stress the extent to which water appropriations are inherently coupled to land acquisitions and specifically focus on blue water. We then propose a formal definition of blue water grabbing based both on biophysical conditions (water scarcity) and ethical implications (human right to food). Blue water grabs are appropriations of irrigation (i.e., blue) water in regions affected by undernourishment and where agricultural production is constrained by blue water availability. We use this framework to provide a global assessment of the likelihood that LSLAs entail blue water grabbing.</t>
  </si>
  <si>
    <t>276-285</t>
  </si>
  <si>
    <t>J36IMMXF</t>
  </si>
  <si>
    <t>bookSection</t>
  </si>
  <si>
    <t>Dell'Angelo, Jampel; McCord, Paul F.; Baldwin, Elizabeth; Cox, Michael E.; Gower, Drew; Caylor, Kelly; Evans, Tom P.</t>
  </si>
  <si>
    <t>Multilevel governance of irrigation systems and adaptation to climate change in Kenya</t>
  </si>
  <si>
    <t>The global water system in the Anthropocene</t>
  </si>
  <si>
    <t>323-341</t>
  </si>
  <si>
    <t>Springer</t>
  </si>
  <si>
    <t>M4LNT7W7</t>
  </si>
  <si>
    <t>DeFries, R.; Herold, M.; Verchot, L.; Macedo, M. N.; Shimabukuro, Y.</t>
  </si>
  <si>
    <t>Export-oriented deforestation in Mato Grosso: harbinger or exception for other tropical forests?</t>
  </si>
  <si>
    <t>0962-8436</t>
  </si>
  <si>
    <t>10.1098/rstb.2012.0173</t>
  </si>
  <si>
    <t>The Brazilian state of Mato Grosso was a global deforestation hotspot in the early 2000s. Deforested land is used predominantly to produce meat for distal consumption either through cattle ranching or soya bean for livestock feed. Deforestation declined dramatically in the latter part of the decade through a combination of market forces, policies, enforcement and improved monitoring. This study assesses how representative the national-level drivers underlying Mato Grosso's export-oriented deforestation are in other tropical forest countries based on agricultural exports, commercial agriculture and urbanization. We also assess how pervasive the governance and technical monitoring capacity that enabled Mato Grosso's decline in deforestation is in other countries. We find that between 41 and 54 per cent of 2000-2005 deforestation in tropical forest countries (other than Brazil) occurred in countries with drivers similar to Brazil. Very few countries had national-level governance and capacity similar to Brazil. Results suggest that the ecological, hydrological and social consequences of land-use change for export-oriented agriculture as discussed in this Theme Issue were applicable in about one-third of all tropical forest countries in 2000-2005. However, the feasibility of replicating Mato Grosso's success with controlling deforestation is more limited. Production landscapes to support distal consumption similar to Mato Grosso are likely to become more prevalent and are unlikely to follow a land-use transition model with increasing forest cover.</t>
  </si>
  <si>
    <t>20120173-20120173</t>
  </si>
  <si>
    <t>1619</t>
  </si>
  <si>
    <t>55GSL5XK</t>
  </si>
  <si>
    <t>manuscript</t>
  </si>
  <si>
    <t>De Stercke, S.</t>
  </si>
  <si>
    <t>Dynamics of Energy Systems: A Useful Perspective</t>
  </si>
  <si>
    <t>A long term study of the energy system from an output perspective shows its dynamics in terms of its basic driver: end-use. Long term energy system dynamics have traditionally been characterized using primary energy inputs. They therefore have a supply bias and do not show technological improvements in efficiency and productivity in the downstream components of the energy system, which historically have been both fundamental as well as dominant. How are the dynamics affected by taking an alternative view through an output lens? In this Interim Report, historical useful energy balances since 1900 for key countries and regions as well as the world are presented. The method for constructing them is documented. Rates of change, energy intensities, fuel shares, the sectoral breakup and the attribution according to end-use are compared between the primary, final and useful energy levels. The data show that useful energy measures paint a different picture: they reveal a sharper drop in carbon intensity and a better correlation with economic activity compared to traditional input-based measures based on primary energy inputs. An exergy layer is also added. This shows that there is a vast potential (in thermodynamic terms) to reduce primary energy use while providing the same useful exergy output. The data set is a foundation on which to build in developing new alternative measures of systems change and transitions that are closer to the ultimate output of energy systems: the provision of energy services.</t>
  </si>
  <si>
    <t>Laxenburg</t>
  </si>
  <si>
    <t>YVZNJRS4</t>
  </si>
  <si>
    <t>de Sherbinin, Alex; VanWey, Leah K.; McSweeney, Kendra; Aggarwal, Rimjhim; Barbieri, Alisson; Henry, Sabine; Hunter, Lori M.; Twine, Wayne; Walker, Robert</t>
  </si>
  <si>
    <t>Rural household demographics, livelihoods and the environment</t>
  </si>
  <si>
    <t>Global Environmental Change</t>
  </si>
  <si>
    <t>09593780</t>
  </si>
  <si>
    <t>10.1016/j.gloenvcha.2007.05.005</t>
  </si>
  <si>
    <t>This paper reviews and synthesizes findings from scholarly work on linkages among rural household demographics, livelihoods and the environment. Using the livelihood approach as an organizing framework, we examine evidence on the multiple pathways linking environmental variables and the following demographic variables: fertility, migration, morbidity and mortality, and lifecycles. Although the review draws on studies from the entire developing world, we find the majority of microlevel studies have been conducted in either marginal (mountainous or arid) or frontier environments, especially Amazonia. Though the linkages are mediated by many complex and often context-specific factors, there is strong evidence that dependence on natural resources intensifies when households lose human and social capital through adult morbidity and mortality, and qualified evidence for the influence of environmental factors on household decision-making regarding fertility and migration. Two decades of research on lifecycles and land cover change at the farm level have yielded a number of insights about how households make use of different land-use and natural resource management strategies at different stages. A thread running throughout the review is the importance of managing risk through livelihood diversification, ensuring future income security, and culture-specific norms regarding appropriate and desirable activities and demographic responses. Recommendations for future research are provided. ?? 2007 Elsevier Ltd. All rights reserved.</t>
  </si>
  <si>
    <t>A7ZSBQXX</t>
  </si>
  <si>
    <t>De Longueville, Florence; Hountondji, Yvon; Ozer, Pierre; Henry, Sabine</t>
  </si>
  <si>
    <t>The air quality in African rural environments. Preliminary implications for health: The case of respiratory disease in the northern Benin</t>
  </si>
  <si>
    <t>Water, Air, and Soil Pollution</t>
  </si>
  <si>
    <t>15732932</t>
  </si>
  <si>
    <t>Recently, the World Health Organization's International Association for Research on Cancer classified outdoor air pollution as carcinogenic to humans and puts air pollution in the same category as tobacco smoke, UV radiation, and plutonium. The ambient air is polluted by emissions from motor vehicles, industrial processes, power generation, household combustion of solid fuel, and other sources. Dust storms lead to particulate levels that exceed internationally recommended levels, especially near the Sahara. However, this source of air pollution appears to be under-studied, particularly in the literature devoted to human health impacts in West Africa. More than 50% of the total dust emitted into the atmosphere comes from the Sahara. These aerosols contribute to increase the concentrations of particles smaller than 10 µm (PM10), which are breathable particles. This study is the first designed to assess the real impact of Saharan dust on air quality and respiratory health of children in a region of West Africa. Dust events having affected the Northern Benin during the dry seasons between 2003 and 2007 were determined. The analyzed health data are the monthly rates of acute lower respiratory infections (ALRI). Over the entire study period, 61 days of dust events were observed in the region. They recorded on average a daily PM10 concentration of 1017 µg m-3, more than 18 times higher than that calculated on all days without dust events. The study also highlighted a mean increase of 12.5% of ALRI rates during the months recording dust events. The use of daily health data should help to refine these initial results in the future.</t>
  </si>
  <si>
    <t>24FIZM9D</t>
  </si>
  <si>
    <t>Diamond, Jared</t>
  </si>
  <si>
    <t>Social Structure</t>
  </si>
  <si>
    <t>Guns, Germs and Steel: The Fates of Human Societies</t>
  </si>
  <si>
    <t>Almost all species of domesticated large mammals prove to be ones whose wild ancestors share three social characteristics: they live in herds; they maintain a well-developed dominance hierarchy among herd members; and the herds occupy overlapping home ranges rather than mutually exclusive territories...When the herd is on the move, its members maintain a stereotyped order: in the rear, the stallion; in the front, the top-ranking female, followed by her foals in order of age, with the youngest first; and behind her, the other mares in order of rank, each followed by her foals in order of age. In that way, many adults can coexist in the herd without constant fighting and with each other knowing its rank.</t>
  </si>
  <si>
    <t>1997</t>
  </si>
  <si>
    <t>RKBMRUWE</t>
  </si>
  <si>
    <t>Di Nunzio, Jack</t>
  </si>
  <si>
    <t>Conflict on the Nile: The future of transboundary water disputes over the world's longest river</t>
  </si>
  <si>
    <t>The impacts of the Nile on the politics of the North African region have been so significant that they threaten to spark an interstate conflict, which could potentially destabilise the whole area. The countries in the Basin depend heavily on the Nile, which is the only major renewable source of water in the area; consequently, it is essential to their food and water security.</t>
  </si>
  <si>
    <t>Future Directions International</t>
  </si>
  <si>
    <t>3A5V9HVX</t>
  </si>
  <si>
    <t>Deng, Xiangzheng; Huang, Jikun; Uchida, Emi; Rozelle, Scott; Gibson, John</t>
  </si>
  <si>
    <t>Pressure cookers or pressure valves: Do roads lead to deforestation in China?</t>
  </si>
  <si>
    <t>10.1016/j.jeem.2010.04.005</t>
  </si>
  <si>
    <t>79-94</t>
  </si>
  <si>
    <t>6Y9AAZSF</t>
  </si>
  <si>
    <t>Devall, Bill; Sessions, George</t>
  </si>
  <si>
    <t>Deep ecology</t>
  </si>
  <si>
    <t>0-87905-247-3</t>
  </si>
  <si>
    <t>"A Peregrine Smith book."</t>
  </si>
  <si>
    <t>1985</t>
  </si>
  <si>
    <t>Gibbs Smith</t>
  </si>
  <si>
    <t>MIFSHQGS</t>
  </si>
  <si>
    <t>Dercon, Stefan; Gilligan, Daniel O.; Hoddinott, John; Woldehanna, Tassew</t>
  </si>
  <si>
    <t>The Impact of Agricultural Extension and Roads on Poverty and Consumption Growth in Fifteen Ethiopian Villages</t>
  </si>
  <si>
    <t>American Journal of Agricultural Economics</t>
  </si>
  <si>
    <t>10.1111/j.1467-8276.2009.01325.x</t>
  </si>
  <si>
    <t>1007</t>
  </si>
  <si>
    <t>AVLWAIML</t>
  </si>
  <si>
    <t>Delmas, Magali; Blass, Vered Doctori</t>
  </si>
  <si>
    <t>Measuring corporate environmental performance: the trade-offs of sustainability ratings</t>
  </si>
  <si>
    <t>Business Strategy and the Environment</t>
  </si>
  <si>
    <t>09644733</t>
  </si>
  <si>
    <t>10.1002/bse.676</t>
  </si>
  <si>
    <t>Socially responsible investing (SRI) represents an investment process that refl ects environ-mental and social preferences. The fi nancial industry is in a unique position to move cor-porations towards corporate sustainability. However, there is often little transparency regarding the metrics used to evaluate corporate social and environmental performance and the trade-offs involved in the evaluation. In this paper we discuss the various trade-offs of sustainability screening methodologies. We show that the rating of companies varies signifi cantly according to whether the screening is based on toxic releases and regulatory compliance or on the quality of environmental policy and disclosure. We base our analysis on the evaluation of the performance of 15 fi rms in the chemical sector. The analysis indi-cates that fi rms that have the most advanced reporting and environmental management practices tend also to have higher levels of toxic releases and lower environmental compli-ance. We provide methodological recommendations to help stakeholders evaluate corpo-rate environmental performance.</t>
  </si>
  <si>
    <t>2010-05</t>
  </si>
  <si>
    <t>245-260</t>
  </si>
  <si>
    <t>Z6L3MVBT</t>
  </si>
  <si>
    <t>Agrawal, Arun; Yadama, Gautam</t>
  </si>
  <si>
    <t>How do local institutions mediate market and population pressures on resources? Forest Panchayats in Kumaon, India</t>
  </si>
  <si>
    <t>Development and change</t>
  </si>
  <si>
    <t>10.1111/1467-7660.00050</t>
  </si>
  <si>
    <t>2022-09-23 09:12:09</t>
  </si>
  <si>
    <t>2022-09-23T09:12:09Z</t>
  </si>
  <si>
    <t>435-465</t>
  </si>
  <si>
    <t>K6ZKTFY3</t>
  </si>
  <si>
    <t>Agrawal, Arun</t>
  </si>
  <si>
    <t>Indigenous and Scientific Knowledge: Some Critical Comments</t>
  </si>
  <si>
    <t>Antropologi Indonesia; No 55 (1998): Jurnal Antropologi Indonesia</t>
  </si>
  <si>
    <t>http://journal.ui.ac.id/index.php/jai/article/view/3331/2618 %3C/div%3E</t>
  </si>
  <si>
    <t>Dalam artikel ini, penulis bertujuan untuk merangsang terjadinya debat tentang pengetahuan lokal ( indigenous knowledge ) bertitik tolak dari pendapatnya tentang adanya kontradiksi dan kelemahan-kelemahan konseptual dalam banyak tulisan tentang pengetahuan lokal. Pokok permasalahan yang dibahas dalam artikel ini terutama memfokus pada argumen penulis bahwa perbedaan antara pengetahuan lokal dan pengetahuan ilmiah atau Barat dapat menimbulkan masalah bagi mereka yang percaya atas makna penting dari pengetahuan lokal bagi pembangunan. Artikel ini mengkaji beberapa kontradiksi dan ironi yang terdapat dalam upaya memberikan penekanan pada makna penting pengetahuan lokal. Menurut penulis, pembedaan pengetahuan lokal dan pengetahuan Barat sebagai dua tipe pengetahuan merupakan hal yang tidak produktif dalam upaya melibatkan peranan pengetahuan lokal itu dalam pembangunan yang tangguh dan berkelanjutan. Penulis juga mengemukakan bahwa sebenarnya tidak ada sesuatu yang baru tentang retorika dan perwujudan pengetahuan lokal. Ia pun berpendapat bahwa strategi untuk menyusun arsip dan menyebarluaskan pengetahuan lokal itu juga bertentangan dengan konsep dasar dari pengetahuan lokal itu sendiri. Bagian akhir dari artikel ini secara tentantif menelusuri sejumlah kemungkinan dalam mencari jalan ke luar dari dilema ini. Di antaranya adalah melaksanakan preservasi pengetahuan lokal in situ . Upaya ini hanya akan berhasil bila penduduk setempat dapat memperoleh kontrol atas penggunaan lahan dan sumber-sumber daya alamnya.</t>
  </si>
  <si>
    <t>2022-09-23 09:11:57</t>
  </si>
  <si>
    <t>2022-09-23T09:11:57Z</t>
  </si>
  <si>
    <t>BYIRWRCD</t>
  </si>
  <si>
    <t>Agnew, Robert</t>
  </si>
  <si>
    <t>Race and youth crime: Why isn't the relationship stronger?</t>
  </si>
  <si>
    <t>Race and Justice</t>
  </si>
  <si>
    <t>10.1177/2153368715597465</t>
  </si>
  <si>
    <t>2022-09-23 09:11:23</t>
  </si>
  <si>
    <t>2022-09-23T09:11:23Z</t>
  </si>
  <si>
    <t>195-221</t>
  </si>
  <si>
    <t>D464VL5D</t>
  </si>
  <si>
    <t>Common Property Institutions and Sustainable Governance of Resources</t>
  </si>
  <si>
    <t>World Development</t>
  </si>
  <si>
    <t>0305750X</t>
  </si>
  <si>
    <t>10.1016/S0305-750X(01)00063-8</t>
  </si>
  <si>
    <t>https://linkinghub.elsevier.com/retrieve/pii/S0305750X01000638</t>
  </si>
  <si>
    <t>2001-10</t>
  </si>
  <si>
    <t>2022-09-23 06:27:59</t>
  </si>
  <si>
    <t>2022-09-23T06:27:59Z</t>
  </si>
  <si>
    <t>2022-09-22 07:27:20</t>
  </si>
  <si>
    <t>1649-1672</t>
  </si>
  <si>
    <t>ipbes-global_chapter2.1_drivers; ipbes-global_chapter6</t>
  </si>
  <si>
    <t>NKA6CW6T</t>
  </si>
  <si>
    <t>Agnew, David J.; Pearce, John; Pramod, Ganapathiraju; Peatman, Tom; Watson, Reg; Beddington, John R.; Pitcher, Tony J.</t>
  </si>
  <si>
    <t>Estimating the Worldwide Extent of Illegal Fishing</t>
  </si>
  <si>
    <t>PLoS ONE</t>
  </si>
  <si>
    <t>1932-6203</t>
  </si>
  <si>
    <t>10.1371/journal.pone.0004570</t>
  </si>
  <si>
    <t>https://dx.plos.org/10.1371/journal.pone.0004570</t>
  </si>
  <si>
    <t>2009-02-25</t>
  </si>
  <si>
    <t>2022-09-23 06:27:55</t>
  </si>
  <si>
    <t>2022-09-23T06:27:55Z</t>
  </si>
  <si>
    <t>2022-09-19 21:16:54</t>
  </si>
  <si>
    <t>e4570</t>
  </si>
  <si>
    <t>ipbes-global_chapter2.1_drivers; ipbes-global_chapter3</t>
  </si>
  <si>
    <t>Sandin, Stuart A.</t>
  </si>
  <si>
    <t>4Y4P64FH</t>
  </si>
  <si>
    <t>Agarwala, Matthew; Atkinson, Giles; Fry, Benjamin Palmer; Homewood, Katherine; Mourato, Susana; Rowcliffe, J. Marcus; Wallace, Graham; Milner-Gulland, E. J.</t>
  </si>
  <si>
    <t>Assessing the relationship between human well-being and ecosystem services: a review of frameworks</t>
  </si>
  <si>
    <t>Conservation and Society</t>
  </si>
  <si>
    <t>0972-4923</t>
  </si>
  <si>
    <t>10.4103/0972-4923.155592</t>
  </si>
  <si>
    <t>http://www.conservationandsociety.org/text.asp?2014/12/4/437/155592</t>
  </si>
  <si>
    <t>Focusing on the most impoverished populations, we critically review and synthesise key themes from dominant frameworks for assessing the relationship between well-being and ecosystem services in developing countries. This requires a differentiated approach to conceptualising well-being that appropriately reflects the perspectives of the poorest-those most directly dependent on ecosystem services, and their vulnerability to external and policy-driven environmental change. The frameworks analysed draw upon environmental sciences, economics, psychology, sociology, and anthropology, and were selected on the basis of their demonstrated or potential ability to illustrate the relationship between environmental change and human well-being, as well as their prevalence in real world applications. Thus, the synthesis offered here is informed by the various theoretical, methodological, and hermeneutical contributions from each field to the notion of well-being. The review highlights several key dimensions that should be considered by those interested in understanding and assessing the impact of environmental change on the well-being of the world's poorest people: the importance of interdisciplinary consideration of well-being, the need for frameworks that integrate subjective and objective aspects of well-being, and the central importance of context and relational aspects of well-being. The review is of particular interest to those engaged in the post-2015 development agenda.</t>
  </si>
  <si>
    <t>437</t>
  </si>
  <si>
    <t>ASRUW97B</t>
  </si>
  <si>
    <t>Ahrends, A.; Burgess, N. D.; Milledge, S. A. H.; Bulling, M. T.; Fisher, B.; Smart, J. C. R.; Clarke, G. P.; Mhoro, B. E.; Lewis, S. L.</t>
  </si>
  <si>
    <t>http://www.ncbi.nlm.nih.gov/pubmed/20679200 http://www.pubmedcentral.nih.gov/articlerender.fcgi?artid=PMC2930481 http://www.pnas.org/cgi/doi/10.1073/pnas.0914471107</t>
  </si>
  <si>
    <t>Tropical forest degradation emits carbon at a rate of approximately 0.5 Pgxy(-1), reduces biodiversity, and facilitates forest clearance. Understanding degradation drivers and patterns is therefore crucial to managing forests to mitigate climate change and reduce biodiversity loss. Putative patterns of degradation affecting forest stocks, carbon, and biodiversity have variously been described previously, but these have not been quantitatively assessed together or tested systematically. Economic theory predicts a systematic allocation of land to its highest use value in response to distance from centers of demand. We tested this theory to see if forest exploitation would expand through time and space as concentric waves, with each wave targeting lower value products. We used forest data along a transect from 10 to 220 km from Dar es Salaam (DES), Tanzania, collected at two points in time (1991 and 2005). Our predictions were confirmed: high-value logging expanded 9 kmxy(-1), and an inner wave of lower value charcoal production 2 kmxy(-1). This resource utilization is shown to reduce the public goods of carbon storage and species richness, which significantly increased with each kilometer from DES [carbon, 0.2 Mgxha(-1); 0.1 species per sample area (0.4 ha)]. Our study suggests that tropical forest degradation can be modeled and predicted, with its attendant loss of some public goods. In sub-Saharan Africa, an area experiencing the highest rate of urban migration worldwide, coupled with a high dependence on forest-based resources, predicting the spatiotemporal patterns of degradation can inform policies designed to extract resources without unsustainably reducing carbon storage and biodiversity.</t>
  </si>
  <si>
    <t>2010-08</t>
  </si>
  <si>
    <t>14556-14561</t>
  </si>
  <si>
    <t>RB9AZVKL</t>
  </si>
  <si>
    <t>Agrawal, Arun; Gupta, Krishna</t>
  </si>
  <si>
    <t>Decentralization and Participation: The Governance of Common Pool Resources in Nepal's Terai</t>
  </si>
  <si>
    <t>10.1016/j.worlddev.2005.04.009</t>
  </si>
  <si>
    <t>Decentralization has emerged as an important instrument of environmental and development policy in the last two decades. Presumed benefits of environmental policy decentralization depend in significant measure on broad participation in the programs that governments create to decentralize decision making related to resource management. This paper uses data from protected areas in Nepal's Terai to examine who participates in environmental decentralization programs. On the basis of our statistical analysis, we highlight the fact that the likelihood of participation in community-level user groups is greater for those who are economically and socially better-off. We also find that individuals who have greater access to and who visit government offices related to decentralization policies more often are also more likely to participate in user groups created by state officials. Finally, we find a negative correlation between education and levels of participation. Our study and analysis support the argument that for decentralization policies to be successful on equity issues, it is important to build institutional mechanisms that encourage poorer and more marginal households to access government officials, improve access to educational opportunities, and create incentives to promote more interactions between less powerful rural residents and government officials.</t>
  </si>
  <si>
    <t>1101-1114</t>
  </si>
  <si>
    <t>TX2D4HE8</t>
  </si>
  <si>
    <t>Agarwal, Bina</t>
  </si>
  <si>
    <t>Gender and forest conservation: The impact of women's participation in community forest governance</t>
  </si>
  <si>
    <t>10.1016/j.ecolecon.2009.04.025</t>
  </si>
  <si>
    <t>Would enhancing women's presence in community institutions of forest governance improve resource conservation and regeneration? This paper focuses on this little addressed question. Based on the author's primary data on communities managing their local forests in parts of India and Nepal, it statistically assesses whether the gender composition of a local forest management group affects forest conservation outcomes, after controlling for other characteristics of the management group, aspects of institutional functioning, forest and population characteristics, and related factors. It is found that groups with a high proportion of women in their executive committee (EC)-the principal decision-making body-show significantly greater improvements in forest condition in both regions. Moreover, groups with all-women ECs in the Nepal sample have better forest regeneration and canopy growth than other groups, despite receiving much smaller and more degraded forests. Older EC members, especially older women, also make a particular difference, as does employing a guard. The beneficial impact of women's presence on conservation outcomes is attributable especially to women's contributions to improved forest protection and rule compliance. More opportunity for women to use their knowledge of plant species and methods of product extraction, as well as greater cooperation among women, are also likely contributory factors. ?? 2009 Elsevier B.V. All rights reserved.</t>
  </si>
  <si>
    <t>2785-2799</t>
  </si>
  <si>
    <t>PU5UZDPI</t>
  </si>
  <si>
    <t>Agrawal, Arun; Chhatre, Ashwini; Hardin, Rebecca</t>
  </si>
  <si>
    <t>Changing governance of the world's forests</t>
  </si>
  <si>
    <t>1095-9203</t>
  </si>
  <si>
    <t>10.1126/science.1155369</t>
  </si>
  <si>
    <t>Major features of contemporary forest governance include decentralization of forest management, logging concessions in publicly owned commercially valuable forests, and timber certification, primarily in temperate forests. Although a majority of forests continue to be owned formally by governments, the effectiveness of forest governance is increasingly independent of formal ownership. Growing and competing demands for food, biofuels, timber, and environmental services will pose severe challenges to effective forest governance in the future, especially in conjunction with the direct and indirect impacts of climate change. A greater role for community and market actors in forest governance and deeper attention to the factors that lead to effective governance, beyond ownership patterns, is necessary to address future forest governance challenges.</t>
  </si>
  <si>
    <t>1460-2</t>
  </si>
  <si>
    <t>2AVS7EIP</t>
  </si>
  <si>
    <t>Hall, Tanya J.; Lopez, Roberto G.; Marshall, Maria I.; Dennis, Jennifer H.</t>
  </si>
  <si>
    <t>Barriers to adopting sustainable floriculture certification</t>
  </si>
  <si>
    <t>HortScience</t>
  </si>
  <si>
    <t>10.21273/HORTSCI.45.5.778</t>
  </si>
  <si>
    <t>2022-09-23 09:13:10</t>
  </si>
  <si>
    <t>2022-09-23T09:13:10Z</t>
  </si>
  <si>
    <t>778-783</t>
  </si>
  <si>
    <t>WM7NR8BE</t>
  </si>
  <si>
    <t>Hart, P. Sol; Nisbet, Erik C.</t>
  </si>
  <si>
    <t>Boomerang effects in science communication: How motivated reasoning and identity cues amplify opinion polarization about climate mitigation policies</t>
  </si>
  <si>
    <t>Communication Research</t>
  </si>
  <si>
    <t>10.1177/0093650211416646</t>
  </si>
  <si>
    <t>2022-09-23 09:13:04</t>
  </si>
  <si>
    <t>2022-09-23T09:13:04Z</t>
  </si>
  <si>
    <t>701-723</t>
  </si>
  <si>
    <t>6</t>
  </si>
  <si>
    <t>V3D99YER</t>
  </si>
  <si>
    <t>Guo, Guang-Xia; Deng, Huan; Qiao, Min; Yao, Huai-Ying; Zhu, Yong-Guan</t>
  </si>
  <si>
    <t>Effect of long-term wastewater irrigation on potential denitrification and denitrifying communities in soils at the watershed scale</t>
  </si>
  <si>
    <t>Environmental science &amp; technology</t>
  </si>
  <si>
    <t>10.1021/es304714a</t>
  </si>
  <si>
    <t>2022-09-23 09:12:39</t>
  </si>
  <si>
    <t>2022-09-23T09:12:39Z</t>
  </si>
  <si>
    <t>3105-3113</t>
  </si>
  <si>
    <t>SM8QBKYM</t>
  </si>
  <si>
    <t>Hejnowicz, Adam P.; Raffaelli, David G.; Rudd, Murray A.; White, Piran C. L.</t>
  </si>
  <si>
    <t>Evaluating the outcomes of payments for ecosystem services programmes using a capital asset framework</t>
  </si>
  <si>
    <t>Ecosystem Services</t>
  </si>
  <si>
    <t>10.1016/j.ecoser.2014.05.001</t>
  </si>
  <si>
    <t>2022-09-23 09:12:31</t>
  </si>
  <si>
    <t>2022-09-23T09:12:31Z</t>
  </si>
  <si>
    <t>83-97</t>
  </si>
  <si>
    <t>4LZ4PI2P</t>
  </si>
  <si>
    <t>Hilton, F. G. Hank; Levinson, Arik</t>
  </si>
  <si>
    <t>Factoring the environmental Kuznets curve: evidence from automotive lead emissions</t>
  </si>
  <si>
    <t>10.1006/jeem.1998.1023</t>
  </si>
  <si>
    <t>1998</t>
  </si>
  <si>
    <t>2022-09-23 09:12:27</t>
  </si>
  <si>
    <t>2022-09-23T09:12:27Z</t>
  </si>
  <si>
    <t>126-141</t>
  </si>
  <si>
    <t>3YNKD2QI</t>
  </si>
  <si>
    <t>Griscom, Heather P.; Griscom, Bronson W.; Ashton, Mark S.</t>
  </si>
  <si>
    <t>Forest regeneration from pasture in the dry tropics of Panama: effects of cattle, exotic grass, and forested riparia</t>
  </si>
  <si>
    <t>Restoration Ecology</t>
  </si>
  <si>
    <t>10.1111/j.1526-100X.2007.00342.x</t>
  </si>
  <si>
    <t>2022-09-23 09:12:23</t>
  </si>
  <si>
    <t>2022-09-23T09:12:23Z</t>
  </si>
  <si>
    <t>117-126</t>
  </si>
  <si>
    <t>73YM4RK4</t>
  </si>
  <si>
    <t>Grether, Jean-Marie; Mathys, Nicole A.; de Melo, Jaime</t>
  </si>
  <si>
    <t>Scale, technique and composition effects in manufacturing SO 2 emissions</t>
  </si>
  <si>
    <t>10.1007/s10640-008-9237-5</t>
  </si>
  <si>
    <t>2022-09-23 09:11:19</t>
  </si>
  <si>
    <t>2022-09-23T09:11:19Z</t>
  </si>
  <si>
    <t>257-274</t>
  </si>
  <si>
    <t>P7D53D67</t>
  </si>
  <si>
    <t>Havice, Elizabeth; Iles, Alastair</t>
  </si>
  <si>
    <t>Shaping the aquaculture sustainability assemblage: Revealing the rule-making behind the rules</t>
  </si>
  <si>
    <t>Geoforum</t>
  </si>
  <si>
    <t>10.1016/j.geoforum.2014.10.008</t>
  </si>
  <si>
    <t>2022-09-23 09:11:15</t>
  </si>
  <si>
    <t>2022-09-23T09:11:15Z</t>
  </si>
  <si>
    <t>27-37</t>
  </si>
  <si>
    <t>IMIMMN8S</t>
  </si>
  <si>
    <t>Gómez-Baggethun, Erik; Martín-López, Berta; Barton, David; Braat, Leon; Saarikoski, H.; Kelemen, E.; García-Llorente, M.; van den Bergh, Jeroen; Arias, P.; Berry, P.</t>
  </si>
  <si>
    <t>State-of-the-art report on integrated valuation of ecosystem services</t>
  </si>
  <si>
    <t>EU FP7 OpenNESS Project Deliverable</t>
  </si>
  <si>
    <t>2022-09-23 09:11:09</t>
  </si>
  <si>
    <t>2022-09-23T09:11:09Z</t>
  </si>
  <si>
    <t>1-33</t>
  </si>
  <si>
    <t>CBND8UHR</t>
  </si>
  <si>
    <t>Hatanaka, Maki; Bain, Carmen; Busch, Lawrence</t>
  </si>
  <si>
    <t>Third-party certification in the global agrifood system</t>
  </si>
  <si>
    <t>Food policy</t>
  </si>
  <si>
    <t>10.1016/j.foodpol.2005.05.006</t>
  </si>
  <si>
    <t>2022-09-23 09:09:44</t>
  </si>
  <si>
    <t>2022-09-23T09:09:44Z</t>
  </si>
  <si>
    <t>354-369</t>
  </si>
  <si>
    <t>QAVWJMSG</t>
  </si>
  <si>
    <t>Greenstone, Michael</t>
  </si>
  <si>
    <t>The impacts of environmental regulations on industrial activity: Evidence from the 1970 and 1977 clean air act amendments and the census of manufactures</t>
  </si>
  <si>
    <t>Journal of political economy</t>
  </si>
  <si>
    <t>10.1086/342808</t>
  </si>
  <si>
    <t>2022-09-23 09:09:21</t>
  </si>
  <si>
    <t>2022-09-23T09:09:21Z</t>
  </si>
  <si>
    <t>1175-1219</t>
  </si>
  <si>
    <t>9WLPSYWK</t>
  </si>
  <si>
    <t>Gordon, H. S.</t>
  </si>
  <si>
    <t>The economic theory of a common-property resource: The fishery</t>
  </si>
  <si>
    <t>The Journal of Political Economy</t>
  </si>
  <si>
    <t>10.1086/257497</t>
  </si>
  <si>
    <t>1954</t>
  </si>
  <si>
    <t>2022-09-23 09:09:11</t>
  </si>
  <si>
    <t>2022-09-23T09:09:11Z</t>
  </si>
  <si>
    <t>124-142</t>
  </si>
  <si>
    <t>H8GSSDN7</t>
  </si>
  <si>
    <t>González, Alma Amalia; Nigh, Ronald</t>
  </si>
  <si>
    <t>Smallholder participation and certification of organic farm products in Mexico</t>
  </si>
  <si>
    <t>Journal of Rural Studies</t>
  </si>
  <si>
    <t>10.1016/j.jrurstud.2005.08.004</t>
  </si>
  <si>
    <t>2022-09-23 09:08:37</t>
  </si>
  <si>
    <t>2022-09-23T09:08:37Z</t>
  </si>
  <si>
    <t>449-460</t>
  </si>
  <si>
    <t>8EUUC4A4</t>
  </si>
  <si>
    <t>Harbaugh, William T.; Levinson, Arik; Wilson, David Molloy</t>
  </si>
  <si>
    <t>Reexamining the empirical evidence for an environmental Kuznets curve</t>
  </si>
  <si>
    <t>Review of Economics and Statistics</t>
  </si>
  <si>
    <t>10.1162/003465302320259538</t>
  </si>
  <si>
    <t>2022-09-23 09:08:18</t>
  </si>
  <si>
    <t>2022-09-23T09:08:18Z</t>
  </si>
  <si>
    <t>541-551</t>
  </si>
  <si>
    <t>SQSVW99A</t>
  </si>
  <si>
    <t>Guthrie, Daniel A.</t>
  </si>
  <si>
    <t>Primitive man's relationship to nature</t>
  </si>
  <si>
    <t>BioScience</t>
  </si>
  <si>
    <t>10.2307/1295922</t>
  </si>
  <si>
    <t>1971</t>
  </si>
  <si>
    <t>2022-09-23 09:08:00</t>
  </si>
  <si>
    <t>2022-09-23T09:08:00Z</t>
  </si>
  <si>
    <t>721-723</t>
  </si>
  <si>
    <t>13</t>
  </si>
  <si>
    <t>ZEZUSX7U</t>
  </si>
  <si>
    <t>Haufler, Virginia</t>
  </si>
  <si>
    <t>New forms of governance: certification regimes as social regulations of the global market</t>
  </si>
  <si>
    <t>Social and political dimensions of forest certification</t>
  </si>
  <si>
    <t>2022-09-23 09:07:20</t>
  </si>
  <si>
    <t>2022-09-23T09:07:20Z</t>
  </si>
  <si>
    <t>237-247</t>
  </si>
  <si>
    <t>FA3KV6Y8</t>
  </si>
  <si>
    <t>Hobbs, Richard J.; Higgs, Eric; Hall, Carol M.; Bridgewater, Peter; Chapin, F. Stuart; Ellis, Erle C.; Ewel, John J.; Hallett, Lauren M.; Harris, James; Hulvey, Kristen B.; Others</t>
  </si>
  <si>
    <t>Managing the whole landscape: historical, hybrid, and novel ecosystems</t>
  </si>
  <si>
    <t>Frontiers in Ecology and the Environment</t>
  </si>
  <si>
    <t>10.1890/130300</t>
  </si>
  <si>
    <t>2022-09-23 09:06:39</t>
  </si>
  <si>
    <t>2022-09-23T09:06:39Z</t>
  </si>
  <si>
    <t>557-564</t>
  </si>
  <si>
    <t>XXPN32P5</t>
  </si>
  <si>
    <t>Hegerl, Gabriele; Luterbacher, Juerg; González-Rouco, Fidel; Tett, Simon F. B.; Crowley, Thomas; Xoplaki, Elena</t>
  </si>
  <si>
    <t>10.1038/ngeo1057</t>
  </si>
  <si>
    <t>2022-09-23 09:06:03</t>
  </si>
  <si>
    <t>2022-09-23T09:06:03Z</t>
  </si>
  <si>
    <t>99</t>
  </si>
  <si>
    <t>KNXNNAPL</t>
  </si>
  <si>
    <t>Hattich, Giannina S. I.; Listmann, Luisa; Raab, Julia; Ozod-Seradj, Dorthe; Reusch, Thorsten B. H.; Matthiessen, Birte</t>
  </si>
  <si>
    <t>Biology Letters</t>
  </si>
  <si>
    <t>2022-09-23 09:05:57</t>
  </si>
  <si>
    <t>2022-09-23T09:05:57Z</t>
  </si>
  <si>
    <t>BSD9UCIV</t>
  </si>
  <si>
    <t>Hanley, Nick; Banerjee, Simanti; Lennox, Gareth D.; Armsworth, Paul R.</t>
  </si>
  <si>
    <t>How should we incentivize private landowners to ‘produce'more biodiversity?</t>
  </si>
  <si>
    <t>Oxford Review of Economic Policy</t>
  </si>
  <si>
    <t>10.1093/oxrep/grs002</t>
  </si>
  <si>
    <t>2022-09-23 09:05:42</t>
  </si>
  <si>
    <t>2022-09-23T09:05:42Z</t>
  </si>
  <si>
    <t>93-113</t>
  </si>
  <si>
    <t>APDA4EU8</t>
  </si>
  <si>
    <t>Grimm, Nancy B.; Faeth, Stanley H.; Golubiewski, Nancy E.; Redman, Charles L.; Wu, Jianguo; Bai, Xuemei; Briggs, John M.</t>
  </si>
  <si>
    <t>Global Change and the Ecology of Cities</t>
  </si>
  <si>
    <t>10.1126/science.1150195</t>
  </si>
  <si>
    <t>2022-09-23 09:05:24</t>
  </si>
  <si>
    <t>2022-09-23T09:05:24Z</t>
  </si>
  <si>
    <t>5864</t>
  </si>
  <si>
    <t>BCPMNZ6F</t>
  </si>
  <si>
    <t>Grossman, Gene M.; Krueger, Alan B.</t>
  </si>
  <si>
    <t>Economic growth and the environment</t>
  </si>
  <si>
    <t>The quarterly journal of economics</t>
  </si>
  <si>
    <t>10.2307/2118443</t>
  </si>
  <si>
    <t>1995</t>
  </si>
  <si>
    <t>2022-09-23 09:04:26</t>
  </si>
  <si>
    <t>2022-09-23T09:04:26Z</t>
  </si>
  <si>
    <t>353-377</t>
  </si>
  <si>
    <t>EQXJNC3M</t>
  </si>
  <si>
    <t>Hinojosa, Leonith</t>
  </si>
  <si>
    <t>Change in rural livelihoods in the Andes: do extractive industries make any difference?</t>
  </si>
  <si>
    <t>Community Development Journal</t>
  </si>
  <si>
    <t>10.1093/cdj/bst023</t>
  </si>
  <si>
    <t>2022-09-23 09:01:59</t>
  </si>
  <si>
    <t>2022-09-23T09:01:59Z</t>
  </si>
  <si>
    <t>421-436</t>
  </si>
  <si>
    <t>Z7XQB5H5</t>
  </si>
  <si>
    <t>He, Jun; Lang, Rong; Xu, Jianchu</t>
  </si>
  <si>
    <t>Local dynamics driving forest transition: insights from upland villages in Southwest China</t>
  </si>
  <si>
    <t>Forests</t>
  </si>
  <si>
    <t>10.3390/f5020214</t>
  </si>
  <si>
    <t>2022-09-23 09:00:51</t>
  </si>
  <si>
    <t>2022-09-23T09:00:51Z</t>
  </si>
  <si>
    <t>214-233</t>
  </si>
  <si>
    <t>ISVDJH6F</t>
  </si>
  <si>
    <t>Greene, Steven</t>
  </si>
  <si>
    <t>Understanding party identification: A social identity approach</t>
  </si>
  <si>
    <t>Political Psychology</t>
  </si>
  <si>
    <t>10.1111/0162-895X.00150</t>
  </si>
  <si>
    <t>2022-09-23 08:59:34</t>
  </si>
  <si>
    <t>2022-09-23T08:59:34Z</t>
  </si>
  <si>
    <t>393-403</t>
  </si>
  <si>
    <t>EFA9VPVZ</t>
  </si>
  <si>
    <t>Hijmans, Robert J.; Cameron, Susan E.; Parra, Juan L.; Jones, Peter G.; Jarvis, Andy</t>
  </si>
  <si>
    <t>International Journal of Climatology</t>
  </si>
  <si>
    <t>https://doi.org/10.1002/joc.1276</t>
  </si>
  <si>
    <t>2022-09-23 08:59:31</t>
  </si>
  <si>
    <t>2022-09-23T08:59:31Z</t>
  </si>
  <si>
    <t>1965-1978</t>
  </si>
  <si>
    <t>15</t>
  </si>
  <si>
    <t>L9ULNG6D</t>
  </si>
  <si>
    <t>Hansen, M. C.; Potapov, P. V.; Moore, R.; Hancher, M.; Turubanova, S. A.; Tyukavina, A.; Thau, D.; Stehman, S. V.; Goetz, S. J.; Loveland, T. R.; Kommareddy, A.; Egorov, A.; Chini, L.; Justice, C. O.; Townshend, J. R. G.</t>
  </si>
  <si>
    <t>High-Resolution Global Maps of 21st-Century Forest Cover Change</t>
  </si>
  <si>
    <t>10.1126/science.1244693</t>
  </si>
  <si>
    <t>https://www.science.org/doi/10.1126/science.1244693</t>
  </si>
  <si>
    <t>Forests in Flux                            Forests worldwide are in a state of flux, with accelerating losses in some regions and gains in others.                                Hansen                 et al.                              (p.               850               ) examined global Landsat data at a 30-meter spatial resolution to characterize forest extent, loss, and gain from 2000 to 2012. Globally, 2.3 million square kilometers of forest were lost during the 12-year study period and 0.8 million square kilometers of new forest were gained. The tropics exhibited both the greatest losses and the greatest gains (through regrowth and plantation), with losses outstripping gains.                        ,              Landsat data reveals details of forest losses and gains across the globe on an annual basis from 2000 to 2012.           ,              Quantification of global forest change has been lacking despite the recognized importance of forest ecosystem services. In this study, Earth observation satellite data were used to map global forest loss (2.3 million square kilometers) and gain (0.8 million square kilometers) from 2000 to 2012 at a spatial resolution of 30 meters. The tropics were the only climate domain to exhibit a trend, with forest loss increasing by 2101 square kilometers per year. Brazil’s well-documented reduction in deforestation was offset by increasing forest loss in Indonesia, Malaysia, Paraguay, Bolivia, Zambia, Angola, and elsewhere. Intensive forestry practiced within subtropical forests resulted in the highest rates of forest change globally. Boreal forest loss due largely to fire and forestry was second to that in the tropics in absolute and proportional terms. These results depict a globally consistent and locally relevant record of forest change.</t>
  </si>
  <si>
    <t>2013-11-15</t>
  </si>
  <si>
    <t>2022-09-23 08:17:55</t>
  </si>
  <si>
    <t>2022-09-23T08:17:55Z</t>
  </si>
  <si>
    <t>2022-09-19 21:16:42</t>
  </si>
  <si>
    <t>850-853</t>
  </si>
  <si>
    <t>6160</t>
  </si>
  <si>
    <t>ipbes-global_chapter2.1_drivers; ipbes-global_chapter2.2_nature; ipbes-global_chapter3; ipbes-global_chapter4</t>
  </si>
  <si>
    <t>6X5DBFBC</t>
  </si>
  <si>
    <t>Hoare, Alison</t>
  </si>
  <si>
    <t>Tackling Illegal Logging and the Related Trade: What Progress and Where Next?</t>
  </si>
  <si>
    <t>https://www.chathamhouse.org/publication/tackling-illegal-logging-and-related-trade-what-progress-and-where-next</t>
  </si>
  <si>
    <t>2022-09-23 08:01:02</t>
  </si>
  <si>
    <t>2022-09-23T08:01:02Z</t>
  </si>
  <si>
    <t>79</t>
  </si>
  <si>
    <t>Chatham House</t>
  </si>
  <si>
    <t>London</t>
  </si>
  <si>
    <t>5ZIDHJLB</t>
  </si>
  <si>
    <t>Halpern, Benjamin S.; Frazier, Melanie; Potapenko, John; Casey, Kenneth S.; Koenig, Kellee; Longo, Catherine; Lowndes, Julia Stewart; Rockwood, R. Cotton; Selig, Elizabeth R.; Selkoe, Kimberly A.; Walbridge, Shaun</t>
  </si>
  <si>
    <t>Spatial and temporal changes in cumulative human impacts on the world’s ocean</t>
  </si>
  <si>
    <t>Nature Communications</t>
  </si>
  <si>
    <t>2041-1723</t>
  </si>
  <si>
    <t>http://www.nature.com/articles/ncomms8615</t>
  </si>
  <si>
    <t>2015-11</t>
  </si>
  <si>
    <t>2022-09-23 07:53:07</t>
  </si>
  <si>
    <t>2022-09-23T07:53:07Z</t>
  </si>
  <si>
    <t>2022-09-19 21:15:48</t>
  </si>
  <si>
    <t>7615</t>
  </si>
  <si>
    <t>Nat Commun</t>
  </si>
  <si>
    <t>ipbes-global_chapter2.1_drivers; ipbes-global_chapter3; ipbes-global_chapter5</t>
  </si>
  <si>
    <t>DEJHA4EI</t>
  </si>
  <si>
    <t>Hoegh-Guldberg, Ove; Poloczanska, Elvira S.; Skirving, William; Dove, Sophie</t>
  </si>
  <si>
    <t>Frontiers in Marine Science</t>
  </si>
  <si>
    <t>2296-7745</t>
  </si>
  <si>
    <t>http://journal.frontiersin.org/article/10.3389/fmars.2017.00158/full</t>
  </si>
  <si>
    <t>Coral reefs are found in a wide range of environments, where they provide food and habitat to a large range of organisms as well as other ecological goods and services. Warm-water coral reefs, for example, occupy shallow sunlit, warm and alkaline waters in order to grow and calcify at the high rates necessary to build and maintain their calcium carbonate structures. At deeper locations (40 – 150 m), “mesophotic” (low light) coral reefs accumulate calcium carbonate at much lower rates (if at all in some cases) yet remain important as habitat for a wide range of organisms, including those important for fisheries. Finally, even deeper, down to 2000 m or more, the so-called ‘cold-water' coral reefs are found in the dark depths. Despite their importance, coral reefs are facing significant challenges from human activities including pollution, over-harvesting, physical destruction, and climate change. In the latter case, even lower greenhouse gas emission scenarios (such as Representative Concentration Pathway RCP 4.5) are likely drive the elimination of most warm-water coral reefs by 2040-2050. Cold-water corals are also threatened by warming temperatures and ocean acidification although evidence of the direct effect of climate change is less clear. Evidence that coral reefs can adapt at rates which are sufficient for them to keep up with rapid ocean warming and acidification is minimal, especially given that corals are long-lived and hence have slow rates of evolution. Conclusions that coral reefs will migrate to higher latitudes as they warm are equally unfounded, with the observations of tropical species appearing at high latitudes ‘necessary but not sufficient' evidence that entire coral reef ecosystems are shifting. On the contrary, coral reefs are likely to degrade rapidly over the next 20 years, presenting fundamental challenges for the 500 million people who derive food, income, coastal protection, and a range of other services from coral reefs. Unless rapid advances to the goals of the Paris Climate Change Agreement occur over the next decade, hundreds of millions of people are likely to face increasing amounts of poverty and social disruption, and, in some cases, regional insecurity.</t>
  </si>
  <si>
    <t>2022-09-23 07:35:05</t>
  </si>
  <si>
    <t>2022-09-23T07:35:05Z</t>
  </si>
  <si>
    <t>May</t>
  </si>
  <si>
    <t>ipbes-global_chapter2.1_drivers; ipbes-global_chapter4</t>
  </si>
  <si>
    <t>R69XMZJN</t>
  </si>
  <si>
    <t>Gómez Tovar, Laura; Martin, Lauren; Gómez Cruz, Manuel Angel; Mutersbaugh, Tad</t>
  </si>
  <si>
    <t>Certified organic agriculture in Mexico: Market connections and certification practices in large and small producers</t>
  </si>
  <si>
    <t>07430167</t>
  </si>
  <si>
    <t>10.1016/j.jrurstud.2005.10.002</t>
  </si>
  <si>
    <t>https://linkinghub.elsevier.com/retrieve/pii/S0743016705000884</t>
  </si>
  <si>
    <t>2005-10</t>
  </si>
  <si>
    <t>2022-09-23 07:33:49</t>
  </si>
  <si>
    <t>2022-09-23T07:33:49Z</t>
  </si>
  <si>
    <t>2022-09-22 07:27:09</t>
  </si>
  <si>
    <t>461-474</t>
  </si>
  <si>
    <t>Certified organic agriculture in Mexico</t>
  </si>
  <si>
    <t>MAD2STAA</t>
  </si>
  <si>
    <t>Hall, Gillette; Patrinos, Harry Anthony</t>
  </si>
  <si>
    <t>Indigenous peoples, poverty, and development</t>
  </si>
  <si>
    <t>1-107-02057-3</t>
  </si>
  <si>
    <t>"This is the first book that documents poverty systematically for the world's indigenous peoples in developing regions in Asia, Africa and Latin America. The volume compiles results for roughly 85 percent of the world's indigenous peoples. It draws on nationally representative data to compare trends in countries' poverty rates and other social indicators with those for indigenous sub-populations and provides comparable data for a wide range of countries all over the world. "–Publisher's website. Introduction / Gillette H. Hall and Harry Anthony Patrinos – Indigenous peoples and development goals : a global snapshot / Kevin Alan David Macdonald – Becoming indigenous : identity and heterogeneity in a global movement / Jerome M. Levi and Biorn Maybury-Lewis – Indigenous peoples in Central Africa : the case of the Pygmies / Quentin Wodon, Prospere Backiny-Yetna, and Arbi Ben-Achour – China : a case study in rapid poverty reduction / Emily Hannum and Meiyan Wang – India : the scheduled tribes / Maitreyi Bordia Das [and others] – Laos : ethnolinguistic diversity and disadvantage / Elizabeth M. King and Dominique van de Walle – Vietnam : a widening poverty gap for ethnic minorities / Hai-Ahn Dang – Latin America / Gillette H. Hall and Harry Anthony Patrinos – Conclusion / Gillette H. Hall and Harry Anthony Patrinos.</t>
  </si>
  <si>
    <t>Cambridge University Press</t>
  </si>
  <si>
    <t>ipbes-global_chapter1; ipbes-global_chapter2.1_drivers</t>
  </si>
  <si>
    <t>J4SYDKBN</t>
  </si>
  <si>
    <t>Hayes, Tanya; Murtinho, Felipe; Wolff, Hendrik</t>
  </si>
  <si>
    <t>An institutional analysis of Payment for Environmental Services on collectively managed lands in Ecuador</t>
  </si>
  <si>
    <t>10.1016/j.ecolecon.2015.07.017</t>
  </si>
  <si>
    <t>http://dx.doi.org/10.1016/j.ecolecon.2015.07.017</t>
  </si>
  <si>
    <t>The application of Payment for Environmental Services (PES) programs on communal lands raises questions about how PES interacts with collective resource management institutions. We explore how an Ecuadorian payment program is associated with the development of rules to manage shared grazing lands. In addition, we assess the communal characteristics that make it more likely that a participant community will change their land-use rules. Our analysis draws from an almost complete census of participant communities in the Ecuadorian highlands (n = 44), a survey of non-participant communities (n = 23) and a household questionnaire (n = 420). We find that the majority of participant communities have strengthened their land-use rules since program participation. Communities that craft new rules and apply their rules are more likely to be organized and have internal monitoring and enforcement mechanisms. Poorer communities are also more likely to have made a rule change in response to participation; wealthier communities are more likely to maintain existent land-use institutions. We find no association between rule change and level of payment. Our results highlight the need to disaggregate the role of payments and contract commitment and to further analyze how community characteristics may influence the effectiveness and equity of PES in communal contexts.</t>
  </si>
  <si>
    <t>81-89</t>
  </si>
  <si>
    <t>37IHM9L2</t>
  </si>
  <si>
    <t>Hily, Emeline; Gégout, Jean-Claude</t>
  </si>
  <si>
    <t>Designing species-specific conservation contracts in a heterogeneous landscape with unobservable conservation costs and benefits</t>
  </si>
  <si>
    <t>https://ideas.repec.org/p/lef/wpaper/2016-02.html</t>
  </si>
  <si>
    <t>Paying for species-specific conservation requires to encourage landowners to provide both habitat suitability in order to establish conservation networks, and species protection in order to maintain its presence. We investigate the possibility to define differentiated contracts for species-specific conservation when both conservation costs and benefits are unobservable and heterogeneous. We develop a common-value principal-agent model, in which the principal’s preferences for both types of conservation benefits is explicitly taken into account. The level of effective protection benefits provided by an agent is captured by her level of unobservable protection costs. We analytically demonstrate the possibility to define differentiated conservation payments despite a non-responsiveness situation, known to usually lead to bunching equilibria. Results of numerical landscape-scale simulations show that contracts derived from a common-value model can perform better than those derived from a classic adverse selection model. We find differentiated contracts, which are closer to first-best ones and show interesting cost-effectiveness performances.</t>
  </si>
  <si>
    <t>Laboratoire d'Economie Forestiere, AgroParisTech-INRA</t>
  </si>
  <si>
    <t>RUBGAEV3</t>
  </si>
  <si>
    <t>Harper, Sarah; Zeller, Dirk; Hauzer, Melissa; Pauly, Daniel; Sumaila, Ussif Rashid</t>
  </si>
  <si>
    <t>Women and fisheries: Contribution to food security and local economies</t>
  </si>
  <si>
    <t>Marine Policy</t>
  </si>
  <si>
    <t>0308597X</t>
  </si>
  <si>
    <t>10.1016/j.marpol.2012.10.018</t>
  </si>
  <si>
    <t>https://linkinghub.elsevier.com/retrieve/pii/S0308597X12002175</t>
  </si>
  <si>
    <t>2013-05</t>
  </si>
  <si>
    <t>2022-09-20 08:39:23</t>
  </si>
  <si>
    <t>56-63</t>
  </si>
  <si>
    <t>Women and fisheries</t>
  </si>
  <si>
    <t>SJTTXXYB</t>
  </si>
  <si>
    <t>Hajjar, Reem</t>
  </si>
  <si>
    <t>Advancing small-scale forestry under FLEGT and REDD in Ghana</t>
  </si>
  <si>
    <t>Forest Policy and Economics</t>
  </si>
  <si>
    <t>13899341</t>
  </si>
  <si>
    <t>10.1016/j.forpol.2014.09.014</t>
  </si>
  <si>
    <t>https://linkinghub.elsevier.com/retrieve/pii/S1389934114001695</t>
  </si>
  <si>
    <t>2015-09</t>
  </si>
  <si>
    <t>2022-09-19 21:15:00</t>
  </si>
  <si>
    <t>12-20</t>
  </si>
  <si>
    <t>DME5AZBD</t>
  </si>
  <si>
    <t>Halpern, Benjamin S.; Walbridge, Shaun; Selkoe, Kimberly A.; Kappel, Carrie V.; Micheli, Fiorenza; D'Agrosa, Caterina; Bruno, John F.; Casey, Kenneth S.; Ebert, Colin; Fox, Helen E.; Fujita, Rod; Heinemann, Dennis; Lenihan, Hunter S.; Madin, Elizabeth M. P.; Perry, Matthew T.; Selig, Elizabeth R.; Spalding, Mark; Steneck, Robert; Watson, Reg</t>
  </si>
  <si>
    <t>A Global Map of Human Impact on Marine Ecosystems</t>
  </si>
  <si>
    <t>https://www.science.org/doi/10.1126/science.1149345</t>
  </si>
  <si>
    <t>The management and conservation of the world's oceans require synthesis of spatial data on the distribution and intensity of human activities and the overlap of their impacts on marine ecosystems. We developed an ecosystem-specific, multiscale spatial model to synthesize 17 global data sets of anthropogenic drivers of ecological change for 20 marine ecosystems. Our analysis indicates that no area is unaffected by human influence and that a large fraction (41%) is strongly affected by multiple drivers. However, large areas of relatively little human impact remain, particularly near the poles. The analytical process and resulting maps provide flexible tools for regional and global efforts to allocate conservation resources; to implement ecosystem-based management; and to inform marine spatial planning, education, and basic research.</t>
  </si>
  <si>
    <t>2008-02-15</t>
  </si>
  <si>
    <t>2022-09-19 21:16:40</t>
  </si>
  <si>
    <t>948-952</t>
  </si>
  <si>
    <t>5865</t>
  </si>
  <si>
    <t>7YZ6DFR9</t>
  </si>
  <si>
    <t>Haddeland, Ingjerd; Heinke, Jens; Biemans, Hester; Eisner, Stephanie; Flörke, Martina; Hanasaki, Naota; Konzmann, Markus; Ludwig, Fulco; Masaki, Yoshimitsu; Schewe, Jacob; Stacke, Tobias; Tessler, Zachary D.; Wada, Yoshihide; Wisser, Dominik</t>
  </si>
  <si>
    <t>http://www.pnas.org/lookup/doi/10.1073/pnas.1222475110</t>
  </si>
  <si>
    <t>Humans directly change the dynamics of the water cycle through dams constructed for water storage, and through water withdrawals for industrial, agricultural, or domestic purposes. Climate change is expected to additionally affect water supply and demand. Here, analyses of climate change and direct human impacts on the terrestrial water cycle are presented and compared using a multimodel approach. Seven global hydrological models have been forced with multiple climate projections, and with and without taking into account impacts of human interventions such as dams and water withdrawals on the hydrological cycle. Model results are analyzed for different levels of global warming, allowing for analyses in line with temperature targets for climate change mitigation. The results indicate that direct human impacts on the water cycle in some regions, e.g., parts of Asia and in the western United States, are of the same order of magnitude, or even exceed impacts to be expected for moderate levels of global warming (+2 K). Despite some spread in model projections, irrigation water consumption is generally projected to increase with higher global mean temperatures. Irrigation water scarcity is particularly large in parts of southern and eastern Asia, and is expected to become even larger in the future.</t>
  </si>
  <si>
    <t>3251-3256</t>
  </si>
  <si>
    <t>9</t>
  </si>
  <si>
    <t>ipbes-global_chapter2.1_drivers; ipbes-global_chapter2.3_ncp</t>
  </si>
  <si>
    <t>UAL2HBSP</t>
  </si>
  <si>
    <t>Hoegh-Guldberg, O.; Bruno, J. F.</t>
  </si>
  <si>
    <t>http://www.sciencemag.org/cgi/doi/10.1126/science.1189930</t>
  </si>
  <si>
    <t>1523-1528</t>
  </si>
  <si>
    <t>5985</t>
  </si>
  <si>
    <t>ipbes-global_chapter2.1_drivers; ipbes-global_chapter2.2_nature</t>
  </si>
  <si>
    <t>FSHF73H6</t>
  </si>
  <si>
    <t>Güneralp, Burak; Güneralp, Inci; Liu, Ying</t>
  </si>
  <si>
    <t>Changing global patterns of urban exposure to flood and drought hazards</t>
  </si>
  <si>
    <t>10.1016/j.gloenvcha.2015.01.002</t>
  </si>
  <si>
    <t>The studies that quantify the human and economic costs of increasing exposure of cities to various natural hazards consider climate change together with increasing levels of population and economic activity, but assume constant urban extent. Accurate estimates of the potential losses due to changing exposure of cities, however, require that we know where they will grow in the future. Here, we present the first-ever estimates of the changing exposure of urban infrastructure to floods and droughts due to urban land expansion from 2000 to 2030. The percentage of the global urban land that lies within the low elevation coastal zone (LECZ) increases only slightly to 13% by 2030; nonetheless, this corresponds to a 230% increase in the amount of urban land within the LECZ (from 71,000km\textlesssup\textgreater2\textless/sup\textgreater to 234,000km\textlesssup\textgreater2\textless/sup\textgreater). In 2000, about 30% of the global urban land (i.e., nearly 200,000km\textlesssup\textgreater2\textless/sup\textgreater) was located in the high-frequency flood zones; by 2030, this will reach 40% (i.e., over 700,000km\textlesssup\textgreater2\textless/sup\textgreater). The emerging coastal metropolitan regions in Africa and Asia will be larger than those in the developed countries and will have larger areas exposed to flooding. The urban extent in drylands will increase by nearly 300,000km\textlesssup\textgreater2\textless/sup\textgreater, reaching almost 500,000km\textlesssup\textgreater2\textless/sup\textgreater. Overall, without factoring in the potential impacts from climate change, the extent of urban areas exposed to flood and drought hazards will increase, respectively, 2.7 and almost 2 times by 2030. Globally, urban land exposed to both floods and droughts is expected to increase over 250%. There are significant geographical variations in the rates and magnitudes of urban expansion exposed to floods or droughts or both. Several policy options exist to safeguard urban infrastructure from flood and drought hazards. These range from directing development away from flood- or drought-prone zones to large-scale adoption of "green infrastructure" (or "eco-efficient infrastructure"). Decisions, taken today on managing urban growth in locations exposed to these hazards, can make a big difference in mitigating likely losses due to floods and droughts in the near future.</t>
  </si>
  <si>
    <t>217-225</t>
  </si>
  <si>
    <t>5H7HR4QJ</t>
  </si>
  <si>
    <t>Gordon, Todd; Webber, Jeffery R</t>
  </si>
  <si>
    <t>Imperialism and Resistance: Canadian mining companies in Latin America</t>
  </si>
  <si>
    <t>Third World Quarterly</t>
  </si>
  <si>
    <t>0143-6597</t>
  </si>
  <si>
    <t>10.1080/01436590701726509</t>
  </si>
  <si>
    <t>https://doi.org/10.1080/01436590701726509</t>
  </si>
  <si>
    <t>2008-02-01</t>
  </si>
  <si>
    <t>63-87</t>
  </si>
  <si>
    <t>UCNNIAGP</t>
  </si>
  <si>
    <t>Green, Fergus</t>
  </si>
  <si>
    <t>Nationally self-interested climate change mitigation: a unified conceptual framework</t>
  </si>
  <si>
    <t>https://www.nottingham.ac.uk/climateethicseconomics/documents/papers-workshop-2/green.pdf</t>
  </si>
  <si>
    <t>B2Q8UCKR</t>
  </si>
  <si>
    <t>Herring, Stephanie C.; Hoell, Andrew; Hoerling, Martin P.; Kossin, James P.; Schreck III, Carl J.; Stott, Peter A.</t>
  </si>
  <si>
    <t>Explaining extreme events of 2015 from a climate perspective</t>
  </si>
  <si>
    <t>Bulletin of the American Meteorological Society</t>
  </si>
  <si>
    <t>10.1175/BAMS-D-16-0149</t>
  </si>
  <si>
    <t>https://journals.ametsoc.org/doi/10.1175/BAMS-ExplainingExtremeEvents2015.1</t>
  </si>
  <si>
    <t>S1-S145</t>
  </si>
  <si>
    <t>12</t>
  </si>
  <si>
    <t>K3X6JJDH</t>
  </si>
  <si>
    <t>thesis</t>
  </si>
  <si>
    <t>Herrera Garcia, Luis Diego</t>
  </si>
  <si>
    <t>Protected Areas' Deforestation Spillovers and Two Critical Underlying Mechanisms: An Empirical Exploration for the Brazilian Amazon</t>
  </si>
  <si>
    <t>Duke University</t>
  </si>
  <si>
    <t>PhD Thesis</t>
  </si>
  <si>
    <t>6ZV828LX</t>
  </si>
  <si>
    <t>HLPE</t>
  </si>
  <si>
    <t>Investing in smallholder agriculture for food security. A report by the High Level Panel of Experts on Food Security and Nutrition of the Committee on World Food Security</t>
  </si>
  <si>
    <t>Food and Agriculture Organization of the United Nations</t>
  </si>
  <si>
    <t>DJER5PWY</t>
  </si>
  <si>
    <t>Guertin, Carl-Éric</t>
  </si>
  <si>
    <t>Illegal Logging and Illegal Activities in the Forestry Sector: Overview and Possible Issues for the UNECE Timber Committee and FAO European Forestry Commission. A paper presented as basis of an expert presentation at the UNECE Timber Committee Market Discussions on 7-8 October 2003, Geneva, Switzerland</t>
  </si>
  <si>
    <t>https://www.unece.org/fileadmin/DAM/timber/docs/tc-sessions/tc-61/presentations/guertin-paper.pdf</t>
  </si>
  <si>
    <t>27NBMW8Z</t>
  </si>
  <si>
    <t>Hamilton, James</t>
  </si>
  <si>
    <t>Causes and Consequences of the Oil Shock of 2007-08</t>
  </si>
  <si>
    <t>http://www.nber.org/papers/w15002.pdf</t>
  </si>
  <si>
    <t>2009-05</t>
  </si>
  <si>
    <t>Cambridge, MA</t>
  </si>
  <si>
    <t>DW9JS9WY</t>
  </si>
  <si>
    <t>Heynen, Nik; Perkins, Harold A.; Roy, Parama</t>
  </si>
  <si>
    <t>The Political Ecology of Uneven Urban Green Space</t>
  </si>
  <si>
    <t>Urban Affairs Review</t>
  </si>
  <si>
    <t>1078-0874</t>
  </si>
  <si>
    <t>10.1177/1078087406290729</t>
  </si>
  <si>
    <t>http://journals.sagepub.com/doi/10.1177/1078087406290729</t>
  </si>
  <si>
    <t>This article investigates the role of urban political economy, private-public property relations, and race and ethnicity in the social production of Milwaukee's urban forest. By integrating urban-forest canopy-cover data from aerial photography, United States Census data, and qualitative data collected through in-depth interviews, this analysis suggests that there is an inequitable distribution of urban canopy cover within Milwaukee. Since urban trees positively affect quality of life, the spatially inequitable distribu- tion of urban trees in relation to race and ethnicity is yet another instance of urban environmental inequality that deserves greater consideration in light of contemporary and dynamic property relations within capitalist societies. Keywords:</t>
  </si>
  <si>
    <t>2006-09</t>
  </si>
  <si>
    <t>3-25</t>
  </si>
  <si>
    <t>LC3NJHFP</t>
  </si>
  <si>
    <t>Grafton, R. Quentin; Squires, Dale; Fox, Kevin J.</t>
  </si>
  <si>
    <t>Private Property and Economic Efficiency: A Study of a Common‐Pool Resource</t>
  </si>
  <si>
    <t>The Journal of Law and Economics</t>
  </si>
  <si>
    <t>0022-2186</t>
  </si>
  <si>
    <t>10.1086/467469</t>
  </si>
  <si>
    <t>https://www.journals.uchicago.edu/doi/10.1086/467469</t>
  </si>
  <si>
    <t>The British Columbia halibut fishery provides a natural experiment$\backslash$nof the effects of "privatizing the commons." Using firm-level data$\backslash$nfrom the fishery 2 years before private harvesting rights were introduced,$\backslash$nthe year they were implemented, and 3 years afterward, a stochastic$\backslash$nfrontier is estimated to test for changes in technical, allocative,$\backslash$nand economic efficiency. The study indicates that (1) the short-run$\backslash$nefficiency gains from privatization may take several years to materialize$\backslash$nand can be compromised by restrictions on transferability, duration,$\backslash$nand divisibility of the property right; (2) substantial long-run$\backslash$ngains in efficiency can be jeopardized by preexisting regulations$\backslash$nand the bundling of the property right to the capital stock; and$\backslash$n(3) the gains from privatization are not just in terms of cost efficiency$\backslash$nbut include important benefits in revenue and product form.</t>
  </si>
  <si>
    <t>2000-10</t>
  </si>
  <si>
    <t>679-714</t>
  </si>
  <si>
    <t>4ATXSGS8</t>
  </si>
  <si>
    <t>GRI; UN Global Compact; WBCSD</t>
  </si>
  <si>
    <t>SDG Compass: The guide for business action on the SDGs</t>
  </si>
  <si>
    <t>https://sdgcompass.org/wp-content/uploads/2015/12/019104_SDG_Compass_Guide_2015.pdf</t>
  </si>
  <si>
    <t>Our planet faces massive economic, social and environmental challenges. To combat these, the Sustainable Development Goals (SDGs) define global priorities and aspirations for 2030. They represent an unprecedented opportunity to eliminate extreme poverty and put the world on a sustainable path. Governments worldwide have already agreed to these goals. Now it is time for business to take action. The SDG Compass explains how the SDGs affect your business – offering you the tools and knowledge to put sustainability at the heart of your strategy.</t>
  </si>
  <si>
    <t>United Nations</t>
  </si>
  <si>
    <t>BKZUMHXM</t>
  </si>
  <si>
    <t>Guler, Yasmin; Ford, Alex T.</t>
  </si>
  <si>
    <t>Aquatic Toxicology</t>
  </si>
  <si>
    <t>0166-445X</t>
  </si>
  <si>
    <t>397-404</t>
  </si>
  <si>
    <t>6Q3HIXVK</t>
  </si>
  <si>
    <t>Hackett, S.; Schlager, E.; Walker, J.</t>
  </si>
  <si>
    <t>The Role of Communication in Resolving Commons Dilemmas: Experimental Evidence with Heterogeneous Appropriators</t>
  </si>
  <si>
    <t>10.1006/jeem.1994.1029</t>
  </si>
  <si>
    <t>1994</t>
  </si>
  <si>
    <t>99-126</t>
  </si>
  <si>
    <t>QYMQR2BR</t>
  </si>
  <si>
    <t>Gylfason, Thorvaldur</t>
  </si>
  <si>
    <t>Development and growth in mineral-rich countries</t>
  </si>
  <si>
    <t>Sustainable Growth and Resource Productivity: Economic and Global Policy Issues</t>
  </si>
  <si>
    <t>10.9774/GLEAF.978-1-907643-06-4_5</t>
  </si>
  <si>
    <t>Social development and economic growth are closely intertwined. Social indicators—of life expectancy, fertility and literacy, for example—convey a clear and consistent picture of rapid progress around the world in recent decades, sometimes a more transparent picture than do more commonly used economic indicators. Since 1960, the people of China have seen their life expectancy increase by nine months per year; in India, by four to five months; in Ghana, by more than three months. The sources of greater prosperity and longer lives are gradually becoming better understood, especially the economic forces such as investment, education, trade and economic stability, to name but a few of the determinants of growth identified before the advent of modern growth theory by philosophers and economists from Adam Smith to W. Arthur Lewis and Robert M. Solow. Diversification away from excessive dependence on natural resources, including minerals, has been identified as a possible additional source of growth through assorted channels that will be discussed in what follows. The role of political and social forces in economic development is less well understood, however, so this is where we begin.</t>
  </si>
  <si>
    <t>42-84</t>
  </si>
  <si>
    <t>April</t>
  </si>
  <si>
    <t>3G7IZZKS</t>
  </si>
  <si>
    <t>Gutmann, Myron P.; Field, Vincenzo</t>
  </si>
  <si>
    <t>Katrina in historical context: Environment and migration in the U.S</t>
  </si>
  <si>
    <t>Population and Environment</t>
  </si>
  <si>
    <t>01990039</t>
  </si>
  <si>
    <t>10.1007/s11111-009-0088-y</t>
  </si>
  <si>
    <t>The massive publicity surrounding the exodus of residents from New Orleans spurred by Hurricane Katrina has encouraged interest in the ways that past migration in the U.S. has been shaped by environmental factors. So has Timothy Egan's exciting book, The Worst Hard Time: The Untold Story of those who survived the Great American Dust Bowl. This paper places those dramatic stories into a much less exciting context, demonstrating that the kinds of environmental factors exemplified by Katrina and the Dust Bowl are dwarfed in importance and frequency by the other ways that environment has both impeded and assisted the forces of migration. We accomplish this goal by enumerating four types of environmental influence on migration in the U.S.: 1) environmental calamities, including floods, hurricanes, earthquakes, and tornadoes, 2) environmental hardships and their obverse, short-term environmental benefits, including both drought and short periods of favorable weather, 3) environmental amenities, including warmth, sun, and proximity to water or mountains, and 4) environmental barriers and their management, including heat, air conditioning, flood control, drainage, and irrigation. In U.S. history, all four of these have driven migration flows in one direction or another. Placing Katrina into this historical context is an important task, both because the environmental calamities of which Katrina is an example are relatively rare and have not had a wide impact, and because focusing on them defers interest from the other kinds of environmental impacts, whose effect on migration may have been stronger and more persistent, though less dramatic.</t>
  </si>
  <si>
    <t>JS7SAZEM</t>
  </si>
  <si>
    <t>Haines-Young, R.</t>
  </si>
  <si>
    <t>0264-8377</t>
  </si>
  <si>
    <t>I8C7PUYH</t>
  </si>
  <si>
    <t>Haghshenas, Hossein; Vaziri, Manouchehr</t>
  </si>
  <si>
    <t>Urban sustainable transportation indicators for global comparison</t>
  </si>
  <si>
    <t>Ecological Indicators</t>
  </si>
  <si>
    <t>1470-160X</t>
  </si>
  <si>
    <t>10.1016/j.ecolind.2011.09.010</t>
  </si>
  <si>
    <t>Transportation has significant and long lasting economical, social and environmental impacts, and so is an important dimension of urban sustainability. Some attempts have been made to develop sustainable transport indicators, STI. A few studies actually apply STI to compare sustainability among various world cities. In this paper various world cities ranked in terms of urban sustainable transport composite index. The study database is created from UITP databank: “Millennium cities database for sustainable mobility” or MCDST. Firstly sustainable transportation indicators were selected by reviewing past researches. Some indicators are edited or redefined. Consequently 9 STI were developed, 3 indicators in each 3 groups of environmental, economical and social. Then composite index was also suggested by combination of 9 standardized indicators. According to composite index various cities were compared. Finally some important factors affecting urban transportation sustainability were determined by using correlation analyses between composite index and cities characterizes.</t>
  </si>
  <si>
    <t>115-121</t>
  </si>
  <si>
    <t>LPME8LWX</t>
  </si>
  <si>
    <t>Hagenlocher, Michael; Lang, Stefan; Tiede, Dirk</t>
  </si>
  <si>
    <t>Integrated assessment of the environmental impact of an IDP camp in Sudan based on very high resolution multi-temporal satellite imagery</t>
  </si>
  <si>
    <t>Remote Sensing of Environment</t>
  </si>
  <si>
    <t>00344257</t>
  </si>
  <si>
    <t>10.1016/j.rse.2012.08.010</t>
  </si>
  <si>
    <t>Population displacement due to armed conflicts, regional crises, or natural disasters often leads to large-scale settlements that impact the local environment. The specific dynamics of such semi-permanent settlements, comprising both the structural changes (to the extent of the camp, and the population density), and their wider impacts on the surroundings, require adaptive monitoring capacities. In areas where livelihoods and food security are highly dependent on natural resources, environmental deterioration can result in violent conflicts over access to, or control of, scarce natural resources, or in renewed migration of the population. Remote sensing, and in particular very high spatial resolution satellite imagery, can help determine the actual population dynamics, together with environmental changes in the surrounding areas. In an ex-post assessment using three time slices (2002, 2004, 2008) we assessed the changing environmental conditions and the resulting implications for human security and ecosystem integrity in the vicinity of a large internally displaced persons (IDP) camp in northern Darfur, Sudan. We used a Weighted Natural Resource Depletion index that integrates selected land use/land cover target classes and their relative importance for human security and/or ecosystem integrity by incorporating weightings assigned by experts to each of these classes. The results showed that the dramatic increase in the camp's population between June 2002 and May 2008 (from approximately 1200 to about 50,000 inhabitants) and areal extent (a growth of ∼. 436%) was accompanied by a noticeable decrease in the area covered by single shrubs and small trees (∼ - 68%), in the area covered by patches of shrubs and trees (∼ - 34%), and in the area covered by grassland (∼ - 3%). Moreover, a marked expansion in small-scale farming was observed, especially into fertile wadi soils. Almost 45% of all grid cells (60. m. ×. 60. m) had experienced at least some degree of depletion of natural resources (i.e. woody vegetation, grassland, etc.) between 2002 and 2008. Major depletion was observed in the north-eastern and eastern parts of the camp in particular, while minor depletion occurred over almost all of the study area. © 2012 Elsevier Inc.</t>
  </si>
  <si>
    <t>6BK3C7BR</t>
  </si>
  <si>
    <t>Haddad, Nick M.; Brudvig, Lars A.; Clobert, Jean; Davies, Kendi F.; Gonzalez, Andrew; Holt, Robert D.; Lovejoy, Thomas E.; Sexton, Joseph O.; Austin, Mike P.; Collins, Cathy D.; Cook, William M.; Damschen, Ellen I.; Ewers, Robert M.; Foster, Bryan L.; Jenkins, Clinton N.; King, Andrew J.; Laurance, William F.; Levey, Douglas J.; Margules, Chris R.; Melbourne, Brett A.; Nicholls, A. O.; Orrock, John L.; Song, Dan-xia; Townshend, John R.</t>
  </si>
  <si>
    <t>Habitat fragmentation and its lasting impact on Earth ' s ecosystems</t>
  </si>
  <si>
    <t>Applied Ecology</t>
  </si>
  <si>
    <t>We conducted an analysis of global forest cover to reveal that 70% of remaining forest is within 1 km of the forest's edge, subject to the degrading effects of fragmentation. A synthesis of fragmentation experiments spanning multiple biomes and scales, five continents, and 35 yearsdemonstratesthathabitat fragmentation reduces bio- diversity by 13 to 75% and impairs key ecosystem functions by decreasing biomass and altering nutrient cycles. Effects are greatest in the smallest and most isolated fragments, and they magnify with the passage of time. These findings indicate an urgent need for conservation and restoration measures to improve landscape connectivity, which will reduce extinction rates and help maintain ecosystem services. INTRODUCTION</t>
  </si>
  <si>
    <t>YWABZ9H8</t>
  </si>
  <si>
    <t>Gypens, Nathalie; Borges, Alberto V.</t>
  </si>
  <si>
    <t>S454KB56</t>
  </si>
  <si>
    <t>Gutman, Garik; Janetos, Anthony C.; Justice, Christopher O.; Moran, Emilio F.; Mustard, John F.; Rindfuss, Ronald R.; Skole, David; Turner Ii, Billy Lee; Cochrane, Mark A.</t>
  </si>
  <si>
    <t>Land change science: Observing, monitoring and understanding trajectories of change on the earth's surface</t>
  </si>
  <si>
    <t>1-4020-2561-0</t>
  </si>
  <si>
    <t>2004</t>
  </si>
  <si>
    <t>Springer Science &amp; Business Media</t>
  </si>
  <si>
    <t>TGLI53VB</t>
  </si>
  <si>
    <t>Hansen, Andrew J.; DeFries, Ruth</t>
  </si>
  <si>
    <t>Ecological mechanisms linking protected areas to surrounding lands</t>
  </si>
  <si>
    <t>1051-0761</t>
  </si>
  <si>
    <t>Land use is expanding and intensifying in the unprotected lands surrounding many of the world's protected areas. The influence of this land use change on ecological processes is poorly understood. The goal of this paper is to draw on ecological theory to provide a synthetic framework for understanding how land use change around protected areas may alter ecological processes and biodiversity within protected areas and to provide a basis for identifying scientifically based management alternatives. We first present a conceptual model of protected areas embedded within larger ecosystems that often include surrounding human land use. Drawing on case studies in this Invited Feature, we then explore a comprehensive set of ecological mechanisms by which land use on surrounding lands may influence ecological processes and biodiversity within reserves. These mechanisms involve changes in ecosystem size, with implications for minimum dynamic area, species–area effect, and trophic structure; altered flows of materials and disturbances into and out of reserves; effects on crucial habitats for seasonal and migration movements and population source/sink dynamics; and exposure to humans through hunting, poaching, exotics species, and disease. These ecological mechanisms provide a basis for assessing the vulnerability of protected areas to land use. They also suggest criteria for designing regional management to sustain protected areas in the context of surrounding human land use. These design criteria include maximizing the area of functional habitats, identifying and maintaining ecological process zones, maintaining key migration and source habitats, and managing human proximity and edge effects.</t>
  </si>
  <si>
    <t>2007</t>
  </si>
  <si>
    <t>ZQK2TGLF</t>
  </si>
  <si>
    <t>Hannon, B.; Stein, R. G.; Segal, B. Z.; Serber, D.</t>
  </si>
  <si>
    <t>Energy and Labor in the Construction Sector</t>
  </si>
  <si>
    <t>10.1126/science.202.4370.837</t>
  </si>
  <si>
    <t>1978-11</t>
  </si>
  <si>
    <t>837-847</t>
  </si>
  <si>
    <t>4370</t>
  </si>
  <si>
    <t>LSKWM96T</t>
  </si>
  <si>
    <t>Hamoudi, Amar; Jeuland, Marc; Lombardo, Sarah; Patil, Sumeet; Pattanayak, Subhrendu K.; Rai, Shailesh</t>
  </si>
  <si>
    <t>The effect of water quality testing on household behavior: evidence from an experiment in rural India</t>
  </si>
  <si>
    <t>American Journal of Tropical Medicine and Hygiene</t>
  </si>
  <si>
    <t>1476-1645</t>
  </si>
  <si>
    <t>10.4269/ajtmh.2012.12-0051</t>
  </si>
  <si>
    <t>How does specific information about contamination in a household's drinking water affect water handling behavior? We randomly split a sample of households in rural Andhra Pradesh, India. The treatment group observed a contamination test of the drinking water in their own household storage vessel; while they were waiting for their results, they were also provided with a list of actions that they could take to remedy contamination if they tested positive. The control group received no test or guidance. The drinking water of nearly 90% of tested households showed evidence of contamination by fecal bacteria. They reacted by purchasing more of their water from commercial sources but not by making more time-intensive adjustments. Providing salient evidence of risk increases demand for commercial clean water.</t>
  </si>
  <si>
    <t>2012-07</t>
  </si>
  <si>
    <t>18-22</t>
  </si>
  <si>
    <t>NLDPD45V</t>
  </si>
  <si>
    <t>Halpenny, Elizabeth A.</t>
  </si>
  <si>
    <t>Pro-environmental behaviours and park visitors: The effect of place attachment</t>
  </si>
  <si>
    <t>Journal of Environmental Psychology</t>
  </si>
  <si>
    <t>0272-4944</t>
  </si>
  <si>
    <t>10.1016/j.jenvp.2010.04.006</t>
  </si>
  <si>
    <t>409-421</t>
  </si>
  <si>
    <t>QZA7XVQ4</t>
  </si>
  <si>
    <t>Halmy, M. W. A.</t>
  </si>
  <si>
    <t>Traditional knowledge associated with desert ecosystems in Egypt</t>
  </si>
  <si>
    <t>Science and Policy for People and Nature Indigenous and Local Knowledge of Biodiversity and Ecosystem Services in Africa</t>
  </si>
  <si>
    <t>108-144</t>
  </si>
  <si>
    <t>UNESCO</t>
  </si>
  <si>
    <t>Paris</t>
  </si>
  <si>
    <t>Roué, M.; Césard, N.; Adou Yao, Y. C.; Oteng-Yeboah, A.</t>
  </si>
  <si>
    <t>IVJEHT9F</t>
  </si>
  <si>
    <t>Hale, Thomas; Roger, Charles</t>
  </si>
  <si>
    <t>Orchestration and transnational climate governance</t>
  </si>
  <si>
    <t>Review of International Organizations</t>
  </si>
  <si>
    <t>15597431</t>
  </si>
  <si>
    <t>10.1007/s11558-013-9174-0</t>
  </si>
  <si>
    <t>With multilateral efforts to mitigate climate change in gridlock, attention has turned to transnational climate governance initiatives, through which sub- and non-state actors seek to reduce greenhouse gases. These initiatives include networks of cities committed to lowering their carbon footprints, voluntary corporate reduction targets and disclosure processes, and many of the rules that govern carbon markets. The paper considers the role of “traditional” actors in world politics—states and intergovernmental organizations—in orchestrating such initiatives. This strategy ac- counts for nearly a third of transnational climate governance initiatives, we find, and upends the conventional dichotomy between “top down” and “bottom up” solutions to global collective action problems.We develop a theory to explain when states and intergovernmental organizations are likely to engage in orchestration, and we provide initial support for this theory with a new dataset of transnational climate governance initiatives and case studies of two of the most active orchestrators, the World Bank and the United Kingdom.</t>
  </si>
  <si>
    <t>CJL879NT</t>
  </si>
  <si>
    <t>Hardin, Garrett</t>
  </si>
  <si>
    <t>The tragedy of the commons</t>
  </si>
  <si>
    <t>10.1126/science.162.3859.1243</t>
  </si>
  <si>
    <t>The population problem has no technical solution; it requires a fundamental extension in morality.</t>
  </si>
  <si>
    <t>1968</t>
  </si>
  <si>
    <t>1243-1248</t>
  </si>
  <si>
    <t>3W49CTJX</t>
  </si>
  <si>
    <t>Heal, Geoffrey M.</t>
  </si>
  <si>
    <t>Nature and the Marketplace: Capturing the Value of Ecosystem Services</t>
  </si>
  <si>
    <t>2000</t>
  </si>
  <si>
    <t>Island Press</t>
  </si>
  <si>
    <t>Washington DC</t>
  </si>
  <si>
    <t>8XHGMM3A</t>
  </si>
  <si>
    <t>The impact of payments for environmental services on communal lands: An analysis of the factors driving household land-use behavior in Ecuador</t>
  </si>
  <si>
    <t>0305-750X</t>
  </si>
  <si>
    <t>10.1016/j.worlddev.2017.01.003</t>
  </si>
  <si>
    <t>Summary This article examines how Payments for Environmental Services (PES) influence household land-use behavior in the context of common-property lands. PES programs have been increasingly applied to communities who collectively manage their lands. While a number of authors have expressed concerns about the ability of said programs to generate additional environmental benefits and the potential for PES to counter community resource management arrangements, few empirical studies have explicitly examined PES in the context of communal resource management. Here, we take advantage of the gradual rollout of an Ecuadorian PES program to compare land-use behavior on collective lands in participant communities to households in communities that are waiting to participate. The goals of the analysis are to (a) identify if the PES program has produced changes in land-use, (b) assess the degree to which household characteristics and communal governance conditions drive land-use behavior, and (c) explore the interplay between PES and communal resource management institutions. Data were gathered from a cross-sectional survey of 399 households located in 11 communities. We use difference-in-differences to estimate the average effect of PES program participation on household behavior. Logit models, coupled with qualitative analysis, unpack how communal governance characteristics influence land-use behavior and the interplay between communal governance conditions and PES. We find that PES reduced the number of households grazing livestock on collective lands by 12%, however, household and communal governance factors are also instrumental in determining land-use decisions. Our results provide empirical insights into the debate over PES in collective resource management and illustrate how PES and communal resource management institutions can build upon each other to attain desired household conservation behavior.</t>
  </si>
  <si>
    <t>427-446</t>
  </si>
  <si>
    <t>CKDFB9X5</t>
  </si>
  <si>
    <t>Hardoy, Jorge E.; Mitlin, Diana; Satterthwaite, David</t>
  </si>
  <si>
    <t>Environmental problems in an urbanizing world: finding solutions in cities in Africa, Asia and Latin America</t>
  </si>
  <si>
    <t>Routledge</t>
  </si>
  <si>
    <t>KHZ3DMS8</t>
  </si>
  <si>
    <t>Hilson, Gavin M.</t>
  </si>
  <si>
    <t>The socio-economic impacts of artisanal and small-scale mining in developing countries</t>
  </si>
  <si>
    <t>978-90-5809-615-9</t>
  </si>
  <si>
    <t>This work examines both the positive and negative socio-economic impacts of artisanal and small-scale mining in developing countries. It features the following five sections: policy and regulatory issues in the small-scale mining industry; artisanal and small-scale mining, labour and the community; African case studies of artisanal and small-scale mining; Asian case studies of artisanal and small-scale mining; Latin American case studies of artisanal and small-scale mining.</t>
  </si>
  <si>
    <t>CRC Press</t>
  </si>
  <si>
    <t>MU9ZGU5A</t>
  </si>
  <si>
    <t>Herold, Martin; Román-Cuesta, Rosa; Mollicone, Danilo; Hirata, Yasumasa; Van Laake, Patrick; Asner, Gregory P.; Souza, Carlos; Skutsch, Margaret; Avitabile, Valerio; MacDicken, Ken</t>
  </si>
  <si>
    <t>Options for monitoring and estimating historical carbon emissions from forest degradation in the context of REDD+</t>
  </si>
  <si>
    <t>Carbon Balance and Management</t>
  </si>
  <si>
    <t>1750-0680</t>
  </si>
  <si>
    <t>10.1186/1750-0680-6-13</t>
  </si>
  <si>
    <t>Measuring forest degradation and related forest carbon stock changes is more challenging than measuring deforestation since degradation implies changes in the structure of the forest and does not entail a change in land use, making it less easily detectable through remote sensing. Although we anticipate the use of the IPCC guidance under the United Framework Convention on Climate Change (UNFCCC), there is no one single method for monitoring forest degradation for the case of REDD+ policy. In this review paper we highlight that the choice depends upon a number of factors including the type of degradation, available historical data, capacities and resources, and the potentials and limitations of various measurement and monitoring approaches. Current degradation rates can be measured through field data (i.e. multi-date national forest inventories and permanent sample plot data, commercial forestry data sets, proxy data from domestic markets) and/or remote sensing data (i.e. direct mapping of canopy and forest structural changes or indirect mapping through modelling approaches), with the combination of techniques providing the best options. Developing countries frequently lack consistent historical field data for assessing past forest degradation, and so must rely more on remote sensing approaches mixed with current field assessments of carbon stock changes. Historical degradation estimates will have larger uncertainties as it will be difficult to determine their accuracy. However improving monitoring capacities for systematic forest degradation estimates today will help reduce uncertainties even for historical estimates.</t>
  </si>
  <si>
    <t>XB2TWZWI</t>
  </si>
  <si>
    <t>Herendeen, Robert A.; Ford, Charlotte; Hannon, Bruce</t>
  </si>
  <si>
    <t>Energy cost of living, 1972–1973</t>
  </si>
  <si>
    <t>Energy</t>
  </si>
  <si>
    <t>0360-5442</t>
  </si>
  <si>
    <t>10.1016/0360-5442(81)90069-4</t>
  </si>
  <si>
    <t>The total energy requirements of household consumption of all goods and services have been calculated. Source for consumption data is the 1972–1973 Bureau of Labor Statistics (BLS) Consumer Survey. These are converted to energy terms using input-output energy intensities. The dependence of household energy use on expenditures, number of household members, degree of urbanization, and other demographic-economic factors, has been investigated graphically and statistically. The major factor determining energy requirement is expenditure level, but this can be affected by up to about 15% by variation in the other factors. In agreement with previous work based on the 1960–1961 BLS Survey, we find that 1.(1) the dependence of total energy requirements on expenditures shows a tendency to saturation;2.(2) about one-half of the total energy of the average household is a result of the purchase of fuels and electricity while the other half results from the purchase of non-energy commodities. Application to the analysis of an energy tax and rebate program is discussed briefly.</t>
  </si>
  <si>
    <t>1981</t>
  </si>
  <si>
    <t>1433-1450</t>
  </si>
  <si>
    <t>XKWKXZLT</t>
  </si>
  <si>
    <t>Hecht, Susanna; Yang, Anastasia Lucy; Basnett, Bimbika Sijapati; Padoch, Christine; Peluso, Nancy L.</t>
  </si>
  <si>
    <t>People in motion, forests in transition: trends in migration, urbanization, and remittances and their effects on tropical forests</t>
  </si>
  <si>
    <t>CIFOR</t>
  </si>
  <si>
    <t>LLKEEQDJ</t>
  </si>
  <si>
    <t>Hilmers, Angela; Hilmers, David C.; Dave, Jayna</t>
  </si>
  <si>
    <t>Neighborhood disparities in access to healthy foods and their effects on environmental justice</t>
  </si>
  <si>
    <t>0090-0036</t>
  </si>
  <si>
    <t>Environmental justice is concerned with an equitable distribution of environmental burdens. These burdens comprise immediate health hazards as well as subtle inequities, such as limited access to healthy foods. We reviewed the literature on neighborhood disparities in access to fast-food outlets and convenience stores. Low-income neighborhoods offered greater access to food sources that promote unhealthy eating. The distribution of fast-food outlets and convenience stores differed by the racial/ethnic characteristics of the neighborhood. Further research is needed to address the limitations of current studies, identify effective policy actions to achieve environmental justice, and evaluate intervention strategies to promote lifelong healthy eating habits, optimum health, and vibrant communities.</t>
  </si>
  <si>
    <t>LNEHXV9W</t>
  </si>
  <si>
    <t>Hillygus, D. Sunshine; Shields, Todd G.</t>
  </si>
  <si>
    <t>The persuadable voter: Wedge issues in presidential campaigns</t>
  </si>
  <si>
    <t>Princeton University Press</t>
  </si>
  <si>
    <t>DAJNJPK2</t>
  </si>
  <si>
    <t>Heron, Scott F.; Maynard, Jeffrey A.; van Hooidonk, Ruben; Eakin, C. Mark</t>
  </si>
  <si>
    <t>Warming Trends and Bleaching Stress of the World's Coral Reefs 1985–2012</t>
  </si>
  <si>
    <t>Scientific Reports</t>
  </si>
  <si>
    <t>2045-2322</t>
  </si>
  <si>
    <t>Coral reefs across the world's oceans are in the midst of the longest bleaching event on record (from 2014 to at least 2016). As many of the world's reefs are remote, there is limited information on how past thermal conditions have influenced reef composition and current stress responses. Using satellite temperature data for 1985–2012, the analysis we present is the first to quantify, for global reef locations, spatial variations in warming trends, thermal stress events and temperature variability at reef-scale (∼4 km). Among over 60,000 reef pixels globally, 97% show positive SST trends during the study period with 60% warming significantly. Annual trends exceeded summertime trends at most locations. This indicates that the period of summer-like temperatures has become longer through the record, with a corresponding shortening of the ‘winter' reprieve from warm temperatures. The frequency of bleaching-level thermal stress increased three-fold between 1985–91 and 2006–12 – a trend climate model projections suggest will continue. The thermal history data products developed enable needed studies relating thermal history to bleaching resistance and community composition. Such analyses can help identify reefs more resilient to thermal stress.</t>
  </si>
  <si>
    <t>AEPVBLRV</t>
  </si>
  <si>
    <t>Herbertson, K.; Ballesteros, A.; Goodland, R.; Munilla, I.</t>
  </si>
  <si>
    <t>Breaking Ground. Engaging Communities in Extractive and Infrastructure Projects</t>
  </si>
  <si>
    <t>978-1-56973-703-3</t>
  </si>
  <si>
    <t>WRI</t>
  </si>
  <si>
    <t>6DS2T6X3</t>
  </si>
  <si>
    <t>Hofer, Heribert; Campbell, Kenneth L. I.; East, Marion L.; Huish, Sally A.</t>
  </si>
  <si>
    <t>The impact of game meat hunting on target and non-target species in the Serengeti</t>
  </si>
  <si>
    <t>The exploitation of mammal populations</t>
  </si>
  <si>
    <t>1996</t>
  </si>
  <si>
    <t>117-146</t>
  </si>
  <si>
    <t>RQVF6C8Y</t>
  </si>
  <si>
    <t>Hirschberger, Peter</t>
  </si>
  <si>
    <t>Global Rattan Trade: Pressure on Forest Resources – Analysis and Challenges</t>
  </si>
  <si>
    <t>The aim of this first-ever assessment of the global trade in rattan products is to map global rattan trade flows, identify key markets, and outline major trends. This is important background information for the WWF Sustainable Rattan Programme currently being implemented in Cambodia, Lao PDR, and Viet Nam. This assessment is primarily based on trade data provided by the United Nations Commodity Trade Statistics Database (UN Comtrade). Due to shortcomings associated with data provided by some of the key rattan-producing countries, this assessment is based mainly on trade data reported by import countries. Other relevant reports and websites, such as the International Network for Bamboo and Rattan (INBAR), as well as various experts were also used as sources of information. The main conclusions from this analysis are: 1. Rattan resources are declining In all countries where relevant information is available, rattan resources are declining rapidly, particularly for commercially valuable species and species with large diameter. The primary reasons for this are forest loss, which reduces suitable habitat for rattan plants, and overexploitation. Inventories of rattan resources do not exist in most producer countries, and where they do exist, they are out-dated or just rough estimations. As the actual volume and growth rate of rattan resources are unknown, the annual allowable cut is not determined in terms of sustainability but by the current demand of the rattan industry. This leads to overexploitation of commercially valuable rattan resources. 2. Global trade in rattan canes has decreased significantly in recent years</t>
  </si>
  <si>
    <t>PC4XUXLH</t>
  </si>
  <si>
    <t>Hinton, Jennifer J.</t>
  </si>
  <si>
    <t>Communities and Small-Scale Mining (CASM): An Integrated Review For Development Planning</t>
  </si>
  <si>
    <t>CASM</t>
  </si>
  <si>
    <t>7R4RZM6A</t>
  </si>
  <si>
    <t>Gollin, Douglas; Rogerson, Richard</t>
  </si>
  <si>
    <t>Agriculture, Roads, and Economic Development in Uganda</t>
  </si>
  <si>
    <t>A large fraction of Uganda's population continues to earn a living from quasi-subsistence agriculture. This paper uses a static general equilibrium model to explore the relationships between high transportation costs, low productivity, and the size of the quasi-subsistence sector. We parameterize the model to replicate some key features of the Ugandan data, and we then perform a series of quantitative experiments. Our results suggest that the population in quasi-subsistence agriculture is highly sensitive both to agricultural productivity levels and to transportation costs. The model also suggests positive complementarities between improvements in agricultural productivity and transportation.</t>
  </si>
  <si>
    <t>C9MSITBG</t>
  </si>
  <si>
    <t>Gordon, Line J.; Peterson, Garry D.; Bennett, Elena M.</t>
  </si>
  <si>
    <t>Agricultural modifications of hydrological flows create ecological surprises</t>
  </si>
  <si>
    <t>01695347</t>
  </si>
  <si>
    <t>Agricultural expansion and intensification have altered the quantity and quality of global water flows. Research suggests that these changes have increased the risk of catastrophic ecosystem regime shifts. We identify and review evidence for agriculture-related regime shifts in three parts of the hydrological cycle: interactions between agriculture and aquatic systems, agriculture and soil, and agriculture and the atmosphere. We describe the processes that shape these regime shifts and the scales at which they operate. As global demands for agriculture and water continue to grow, it is increasingly urgent for ecologists to develop new ways of anticipating, analyzing and managing nonlinear changes across scales in human-dominated landscapes. © 2007 Elsevier Ltd. All rights reserved.</t>
  </si>
  <si>
    <t>6GAPQJV9</t>
  </si>
  <si>
    <t>Goodwin, Neva R.</t>
  </si>
  <si>
    <t>An Overview of Climate Change: What Does it Mean for Our Way of Life: what is the Best Future We Can Hope For?</t>
  </si>
  <si>
    <t>Tufts University, Global Development and Environment Institute</t>
  </si>
  <si>
    <t>TZYKP3MR</t>
  </si>
  <si>
    <t>Golombek, Rolf; Hoel, Michael</t>
  </si>
  <si>
    <t>Unilateral Emission Reductions and Cross-Country Technology Spillovers</t>
  </si>
  <si>
    <t>Contributions to Economic Analysis &amp; Policy</t>
  </si>
  <si>
    <t>15380637</t>
  </si>
  <si>
    <t>10.2202/1538-0637.1318</t>
  </si>
  <si>
    <t>With limited participation in an international climate agreement, standard economic analysis suggests that a unilateral action taken by a group of countries in order to reduce its emissions is likely to be undermined by increases in emissions from other countries (carbon leakage). While analyses of carbon leakage typically have regarded the technology in each country as given, abatement technologies are in reality endogenous, and thus technology development may be affected by environmental policies. We demonstrate that with endogenous technologies and technology diffusion between countries, it is no longer obvious that reduced emissions in some countries will increase emissions in other countries. We identify cases in which reduced emissions in some countries might reduce emissions also in other countries. [ABSTRACT FROM AUTHOR]</t>
  </si>
  <si>
    <t>QTQKW586</t>
  </si>
  <si>
    <t>Grafton, R. Quentin</t>
  </si>
  <si>
    <t>Individual transferable quotas: theory and practice</t>
  </si>
  <si>
    <t>Reviews in Fish Biology and Fisheries</t>
  </si>
  <si>
    <t>0960-3166</t>
  </si>
  <si>
    <t>10.1007/BF00058517</t>
  </si>
  <si>
    <t>The paper examines the theory and practice of individual transferable quotas (ITQs) in fisheries. Using the experience of several countries, a number of ITQ programmes are examined with respect to fisher compliance and their effect upon economic efficiency, employment, the harvesting shares of fishers, cost recovery and rent capture.</t>
  </si>
  <si>
    <t>5-20</t>
  </si>
  <si>
    <t>38SK3HQF</t>
  </si>
  <si>
    <t>Gough, Clair; Shackley, Simon</t>
  </si>
  <si>
    <t>The Respectable Politics of Climate Change: The Epistemic Communities and NGOs</t>
  </si>
  <si>
    <t>International Affairs</t>
  </si>
  <si>
    <t>0020-5850</t>
  </si>
  <si>
    <t>10.1111/1468-2346.00195</t>
  </si>
  <si>
    <t>Climate change is unusual compared with most environmental issues in the extent to which it has become accepted among orthodox policy institutions and public- and private-sector organizations. The authors explore the conditions that have led to the establishment of an epistemic community that brings together a broad array of actors, including the various NGOs, and the operational dimensions that define the participation of NGOs within the community. An epistemic community does not imply conformity of opinion or approach but allows for differentiation in terms of how its members construct the problem, and their objectives, core beliefs and favoured responses to climate change. Three broad styles of engagement through which NGOs contribute to this debate are identified: developing creative policy solutions, knowledge construction, and lobbying or campaigning. It should be noted that the authors refer primarily to development or environmental NGOs (ENGOs), though they do discuss business NGOs at a few points.</t>
  </si>
  <si>
    <t>329-346</t>
  </si>
  <si>
    <t>HGQRGHKN</t>
  </si>
  <si>
    <t>Gössling, Stefan; Peeters, Paul</t>
  </si>
  <si>
    <t>Assessing tourism's global environmental impact 1900–2050</t>
  </si>
  <si>
    <t>Journal of Sustainable Tourism</t>
  </si>
  <si>
    <t>17477646</t>
  </si>
  <si>
    <t>10.1080/09669582.2015.1008500</t>
  </si>
  <si>
    <t>This paper pioneers the assessment of tourism's total global resource$\backslash$nuse, including its fossil fuel consumption, associated CO2 emissions,$\backslash$nfresh water, land, and food use. As tourism is a dynamic growth system,$\backslash$ncharacterized by rapidly increasing tourist numbers, understanding its$\backslash$npast, current, and future contributions to global resource use is a$\backslash$ncentral requirement for sustainable tourism assessments. The paper$\backslash$nintroduces the concept of resource use intensities (RUIs), which$\backslash$nrepresent tourism's resource needs per unit of consumption (e.g. energy$\backslash$nper guest night). Based on estimates of RUIs, a first assessment of$\backslash$ntourism's global resource use and emissions is provided for the period$\backslash$n1900-2050, utilizing the Peeters Global Tourism Transport Model. Results$\backslash$nindicate that the current (2010) global tourism system may require$\backslash$nc.16,700 PJ of energy, 138 km(3) of fresh water, 62,000 km(2) of land,$\backslash$nand 39.4 Mt of food, also causing emissions of 1.12 Gt CO2. Despite$\backslash$nefforts to implement more sustainable forms of tourism, analysis$\backslash$nindicates that tourism's overall resource consumption may grow by$\backslash$nbetween 92% (water) and 189% (land use) in the period 2010-2050. To$\backslash$nmaintain the global tourism system consequently requires rapidly growing$\backslash$nresource inputs, while the system is simultaneously becoming$\backslash$nincreasingly vulnerable to disruptions in resource flows.</t>
  </si>
  <si>
    <t>639-659</t>
  </si>
  <si>
    <t>A9ETWADU</t>
  </si>
  <si>
    <t>González-Esquivel, Carlos E.; Gavito, Mayra E.; Astier, Marta; Cadena-Salgado, Martin; Del-Val, Ek; Villamil-Echeverri, Laura; Merlín-Uribe, Yair; Balvanera, Patricia</t>
  </si>
  <si>
    <t>Ecosystem service trade-offs, perceived drivers, and sustainability in contrasting agroecosystems in central Mexico</t>
  </si>
  <si>
    <t>Ecology and Society</t>
  </si>
  <si>
    <t>1708-3087</t>
  </si>
  <si>
    <t>10.5751/ES-06875-200138</t>
  </si>
  <si>
    <t>ABSTRACT. The ability of agroecosystems to provide food ultimately depends on the regulating and supporting ecosystem services that underpin their functioning, such as the regulation of soil quality, water quality, soil erosion, pests, and pollinators. However, there are trade-offs between provisioning and regulating or supporting services, whose nature at the farm and plot scales is poorly understood. We analyzed data at the farm level for two agroecosystems with contrasting objectives in central Mexico: one aimed at staple crop production for self-subsistence and local markets, the other directed to a cash crop for export markets. Bivariate and multivariate trade- offs were analyzed for different crop management strategies (conventional, organic, traditional, crop rotation) and their underpinning socioeconomic drivers. There was a clear trade-off between crop yield and soil quality in self-subsistence systems. However, other expected trade-offs between yields and soil quality did not always occur, likely because of the overall good soils of the region and the low to medium input profile of most farms. Trade-offs were highly dependent on farm-specific agricultural practices; organic, traditional, and rotation management systems generally showed smaller trade-offs between yield and soil quality, pest control, and biodiversity than did conventional management systems. Perceived drivers reported by farmers included increasing prices for cash crops, rising costs of inputs, and extreme climatic events (e.g., drought, hail, frost). Farmers did not identify the regulation of soil quality, water quality, soil erosion, pests, or pollinators as important constraints. Although acceptable yields could be maintained irrespective of key regulating and supporting services according to these perceptions, current levels of soil erosion and nutrient runoff are likely to have important negative effects at the watershed scale. Sustainability in both agroecosystems could be increased substantially by promoting alternative practices</t>
  </si>
  <si>
    <t>art38</t>
  </si>
  <si>
    <t>5TMHJLSM</t>
  </si>
  <si>
    <t>Greaver, T. L.; Sullivan, T. J.; Herrick, J. D.; Barber, M. C.; Baron, J. S.; Cosby, B. J.; Deerhake, M. E.; Dennis, R. L.; Dubois, J. J. B.; Goodale, C. L.; Herlihy, A. T.; Lawrence, G. B.; Liu, L. L.; Lynch, J. A.; Novak, K. J.</t>
  </si>
  <si>
    <t>1540-9295</t>
  </si>
  <si>
    <t>Four decades after the passage of the US Clean Air Act, air-quality standards are set to protect ecosystems from damage caused by gas-phase nitrogen (N) and sulfur (S) compounds, but not from the deposition of these air pollutants to land and water. Here, we synthesize recent scientific literature on the ecological effects of N and S air pollution in the US. Deposition of N and S is the main driver of ecosystem acidification and contributes to nutrient enrichment in many natural systems. Although surface-water acidification has decreased in the US since 1990, it remains a problem in many regions. Perturbations to ecosystems caused by the nutrient effects of N deposition continue to emerge, although gas-phase concentrations are generally not high enough to cause phytotoxicity. In all, there is overwhelming evidence of a broad range of damaging effects to ecosystems in the US under current air-quality conditions</t>
  </si>
  <si>
    <t>CL28RL3I</t>
  </si>
  <si>
    <t>Gray, C. L.; Mueller, V.</t>
  </si>
  <si>
    <t>Natural disasters and population mobility in Bangladesh</t>
  </si>
  <si>
    <t>10.1073/pnas.1115944109</t>
  </si>
  <si>
    <t>http://www.pnas.org/cgi/doi/10.1073/pnas.1115944109</t>
  </si>
  <si>
    <t>The consequences of environmental change for human migration have gained increasing attention in the context of climate change and recent large-scale natural disasters, but as yet relatively few large-scale and quantitative studies have addressed this issue. We investigate the consequences of climate-related natural disasters for long-term population mobility in rural Bangladesh, a region particularly vulnerable to environmental change, using longitudinal survey data from 1,700 households spanning a 15-y period. Multivariate event history models are used to estimate the effects of flooding and crop failures on local population mobility and long-distance migration while controlling for a large set of potential confounders at various scales. The results indicate that flooding has modest effects on mobility that are most visible at moderate intensities and for women and the poor. However, crop failures unrelated to flooding have strong effects on mobility in which households that are not directly affected but live in severely affected areas are the most likely to move. These results point toward an alternate paradigm of disaster-induced mobility that recognizes the significant barriers to migration for vulnerable households as well their substantial local adaptive capacity.</t>
  </si>
  <si>
    <t>6000-6005</t>
  </si>
  <si>
    <t>16</t>
  </si>
  <si>
    <t>9SYIF6F7</t>
  </si>
  <si>
    <t>Gray, Clark L.</t>
  </si>
  <si>
    <t>Rural out-migration and smallholder agriculture in the southern Ecuadorian Andes</t>
  </si>
  <si>
    <t>10.1007/s11111-009-0081-5</t>
  </si>
  <si>
    <t>This study investigates the consequences of out-migration and migrant remittances for smallholder agriculture in a rural and environmentally marginal study area in the southern Ecuadorian Andes. Migration and remittances have the potential for transformative impacts on agriculture in origin areas of migration due to consequent declines in labor availability and increases in income, but previous studies have primarily found mixed and weak effects. This study provides additional insight by considering the gender and destination of migrants, key factors given gender norms influencing participation in agriculture, and the large gap in remit- tances sent by internal and international migrants. Building on recent methodo- logical innovations, the study uses original household survey data and multivariate statistical models to examine the consequences of migration and remittances for multiple agricultural outcomes, including maize production, agrodiversity, female participation in agriculture, and the use of land, labor, and chemical inputs. Con- sistent with previous studies, the results indicate that migration and remittances have mixed and countervailing effects on smallholder agriculture. Specifically, out- migration has lost-labor effects that differ between men and women, and interna- tional remittances have investment-promotion effects that result in increased maize production. Together, the results highlight the resilience of smallholder agriculture in the face of dramatic demographic chan</t>
  </si>
  <si>
    <t>IS5S5YG9</t>
  </si>
  <si>
    <t>Gray, Clark; Mueller, Valerie</t>
  </si>
  <si>
    <t>Drought and Population Mobility in Rural Ethiopia</t>
  </si>
  <si>
    <t>10.1016/j.worlddev.2011.05.023</t>
  </si>
  <si>
    <t>Significant attention has focused on the possibility that climate change will displace large populations in the developing world, but few multivariate studies have investigated climate-induced migration. We use event history methods and a unique longitudinal dataset from the rural Ethiopian highlands to investigate the effects of drought on population mobility over a 10-year period. The results indicate that men's labor migration increases with drought and that land-poor households are the most vulnerable. However, marriage-related moves by women also decrease with drought. These findings suggest a hybrid narrative of environmentally-induced migration that recognizes multiple dimensions of adaptation to environmental change. ?? 2011 Elsevier Ltd.</t>
  </si>
  <si>
    <t>A2Q4I27M</t>
  </si>
  <si>
    <t>Graves, Philip E.</t>
  </si>
  <si>
    <t>A Note on the Valuation of Collective Goods: Overlooked Input Market Free Riding for Non-Individually Incrementable Goods</t>
  </si>
  <si>
    <t>The B.E. Journal of Economic Analysis &amp; Policy</t>
  </si>
  <si>
    <t>1935-1682</t>
  </si>
  <si>
    <t>10.2202/1935-1682.2178</t>
  </si>
  <si>
    <t>CV44CGXW</t>
  </si>
  <si>
    <t>Grau, H. Ricardo; Aide, T. Mitchell; Zimmerman, Jess K.; Thomlinson, John R.; Helmer, Eileen; Zou, Xioming</t>
  </si>
  <si>
    <t>The ecological consequences of socioeconomic and land-use changes in postagriculture Puerto Rico</t>
  </si>
  <si>
    <t>0006-3568</t>
  </si>
  <si>
    <t>10.1641/0006-3568(2003)053[1159:TECOSA]2.0.CO;2</t>
  </si>
  <si>
    <t>Contrary to the general trend in the tropics, forests have recovered in Puerto Rico from less than 10% of the landscape in the late 1940s to more than 40% in the present. The recent Puerto Rican history of forest recovery provides the opportunity to study the ecological consequences of eco- nomic globalization, reflected in a shift from agriculture to manufacturing and in human migration from rural to urban areas. Forest structure rapidly recovers through secondary succession, reaching mature forest levels of local biodiversity and biomass in approximately 40 years.Despite the rapid structural recovery, the legacy of pre-abandonment land use, including widespread abundance of exotic species and broadscale floristic homogenization, is likely to persist for centuries</t>
  </si>
  <si>
    <t>V9AI73H4</t>
  </si>
  <si>
    <t>Gender, natural capital, and migration in the southern Ecuadorian Andes</t>
  </si>
  <si>
    <t>Environment and Planning A</t>
  </si>
  <si>
    <t>0308518X</t>
  </si>
  <si>
    <t>10.1068/a42170</t>
  </si>
  <si>
    <t>This paper investigates the roles of gender and natural capital (defined as land and associated environmental services) in out-migration from a rural study area in the southern Ecuadorian Andes. Drawing on original household survey data, I construct and compare multivariate event history models of individual-level, household-level, and community-level influences on the migration of men and women. The results undermine common assumptions that landlessness and environmental degradation universally contribute to out-migration. Instead, men access land resources to facilitate international migration and women are less likely to depart from environmentally marginal communities relative to other areas. These results reflect a significantly gendered migration system in which natural capital plays an important but unexpected role. [ABSTRACT FROM AUTHOR]; Copyright of Environment &amp; Planning A is the property of Pion Limited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</si>
  <si>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6FLHBV7I</t>
  </si>
  <si>
    <t>Environment, Land, and Rural Out-migration in the Southern Ecuadorian Andes</t>
  </si>
  <si>
    <t>10.1016/j.worlddev.2008.05.004</t>
  </si>
  <si>
    <t>Out-migration, environmental degradation, and changes in land distribution are all key processes of rural transformation in the developing world, but few quantitative studies have investigated their interactions in migrant origin areas. This study uses survey data from the southern Ecuadorian Andes and an event history model to investigate the effects of land ownership and environmental conditions on out-migration to local, internal, and international destinations. The results indicate that the effects of land ownership and other factors differ strongly across migration streams. Also, negative environmental conditions and landlessness do not consistently increase out-migration as commonly assumed in the literature. ?? 2008 Elsevier Ltd. All rights reserved.</t>
  </si>
  <si>
    <t>AF8L6DDW</t>
  </si>
  <si>
    <t>Grau, H. Ricardo; Aide, T. Mitchell</t>
  </si>
  <si>
    <t>Are Rural–Urban Migration and Sustainable Development Compatible in Mountain Systems?</t>
  </si>
  <si>
    <t>Mountain Research and Development</t>
  </si>
  <si>
    <t>0276-4741</t>
  </si>
  <si>
    <t>10.1659/mrd.0906</t>
  </si>
  <si>
    <t>Rural?urban migration is having a considerable socioeconomic and environmental effect in mountain regions. In response, most rural development programs discourage outmigration on the grounds that it has negative social consequences and compromises ecological sustainability. However, rural?urban migration generally improves the living standards of migrants and leads to the disintensification of land use in fragile ecosystems with low productivity, thus stimulating ecosystem recovery and improving watershed and biodiversity protection?as shown by experience in the Caribbean and South America. These advantages have emerged even in the absence of any planning and could be maximized if international funding agencies, NGOs, and local governments re-evaluated rural development strategies. At a minimum, rural?urban migration is a reality that should not be ignored. More importantly, rural?urban migration provides an opportunity to improve the living conditions of marginal populations while protecting the environment. Abstract Rural?urban migration is having a considerable socioeconomic and environmental effect in mountain regions. In response, most rural development programs discourage outmigration on the grounds that it has negative social consequences and compromises ecological sustainability. However, rural?urban migration generally improves the living standards of migrants and leads to the disintensification of land use in fragile ecosystems with low productivity, thus stimulating ecosystem recovery and improving watershed and biodiversity protection?as shown by experience in the Caribbean and South America. These advantages have emerged even in the absence of any planning and could be maximized if international funding agencies, NGOs, and local governments re-evaluated rural development strategies. At a minimum, rural?urban migration is a reality that should not be ignored. More importantly, rural?urban migration provides an opportunity to improve the living conditions of marginal populations while protecting the environment.</t>
  </si>
  <si>
    <t>TFH7DB4N</t>
  </si>
  <si>
    <t>Environmental impacts of a North American free trade agreement</t>
  </si>
  <si>
    <t>1991</t>
  </si>
  <si>
    <t>CKTNRSV6</t>
  </si>
  <si>
    <t>Grimm, Dietmar; Barkhorn, Ivan; Festa, David; Bonzon, Kate; Boomhower, Judd; Hovland, Valerie; Blau, Jason</t>
  </si>
  <si>
    <t>Assessing catch shares' effects evidence from Federal United States and associated British Columbian fisheries</t>
  </si>
  <si>
    <t>10.1016/j.marpol.2011.10.014</t>
  </si>
  <si>
    <t>2012-05</t>
  </si>
  <si>
    <t>644-657</t>
  </si>
  <si>
    <t>W7B348JI</t>
  </si>
  <si>
    <t>conferencePaper</t>
  </si>
  <si>
    <t>Fetter, Robert; Usmani, Faraz; Steck, Andrew L.; Timmins, Christopher D.; Wrenn, Douglas H.; Lass, Daniel A.; Lavoie, Nathalie</t>
  </si>
  <si>
    <t>Averting Expenditures and Desirable Goods: Consumer Demand for Bottled Water in the Presence of Fracking (with A</t>
  </si>
  <si>
    <t>https://www.semanticscholar.org/paper/Averting-Expenditures-and-Desirable-Goods%3A-Consumer-Fetter-Usmani/1c73ae05193ae8211c3874640252aec4012a2455</t>
  </si>
  <si>
    <t>2022-09-23 09:13:07</t>
  </si>
  <si>
    <t>2022-09-23T09:13:07Z</t>
  </si>
  <si>
    <t>G4TTFABB</t>
  </si>
  <si>
    <t>Gillingham, Kenneth; Newell, Richard; Palmer, Karen</t>
  </si>
  <si>
    <t>Energy efficiency policies: a retrospective examination</t>
  </si>
  <si>
    <t>Annu. Rev. Environ. Resour.</t>
  </si>
  <si>
    <t>10.1146/annurev.energy.31.020105.100157</t>
  </si>
  <si>
    <t>2022-09-23 09:12:33</t>
  </si>
  <si>
    <t>2022-09-23T09:12:33Z</t>
  </si>
  <si>
    <t>161-192</t>
  </si>
  <si>
    <t>31</t>
  </si>
  <si>
    <t>ELB7PLXR</t>
  </si>
  <si>
    <t>Galbraith, H.; Jones, R.; Park, R.; Clough, J.; Herrod-Julius, S.; Harrington, B.; Page, G.</t>
  </si>
  <si>
    <t>Global climate change and sea level rise: potential losses of intertidal habitat for shorebirds</t>
  </si>
  <si>
    <t>Waterbirds</t>
  </si>
  <si>
    <t>2022-09-23 09:12:19</t>
  </si>
  <si>
    <t>2022-09-23T09:12:19Z</t>
  </si>
  <si>
    <t>173-183</t>
  </si>
  <si>
    <t>25</t>
  </si>
  <si>
    <t>XTRNRH38</t>
  </si>
  <si>
    <t>Ferraro, Paul J.; Hanauer, Merlin M.; Miteva, Daniela A.; Canavire-Bacarreza, Gustavo Javier; Pattanayak, Subhrendu K.; Sims, Katharine R. E.</t>
  </si>
  <si>
    <t>More strictly protected areas are not necessarily more protective: evidence from Bolivia, Costa Rica, Indonesia, and Thailand</t>
  </si>
  <si>
    <t>Environmental Research Letters</t>
  </si>
  <si>
    <t>10.1088/1748-9326/8/2/025011</t>
  </si>
  <si>
    <t>2022-09-23 09:11:36</t>
  </si>
  <si>
    <t>2022-09-23T09:11:36Z</t>
  </si>
  <si>
    <t>25011</t>
  </si>
  <si>
    <t>8</t>
  </si>
  <si>
    <t>BTQQ99BR</t>
  </si>
  <si>
    <t>Franzke, Christian L. E.</t>
  </si>
  <si>
    <t>Nonlinear climate change</t>
  </si>
  <si>
    <t>Nature Climate Change</t>
  </si>
  <si>
    <t>2014-05</t>
  </si>
  <si>
    <t>2022-09-23 09:11:29</t>
  </si>
  <si>
    <t>2022-09-23T09:11:29Z</t>
  </si>
  <si>
    <t>423</t>
  </si>
  <si>
    <t>XQ6KCR2Q</t>
  </si>
  <si>
    <t>Foley, G.</t>
  </si>
  <si>
    <t>Sustainable woodfuel supplies from the dry tropical woodlands</t>
  </si>
  <si>
    <t>ESMAP technical paper</t>
  </si>
  <si>
    <t>2022-09-23 09:11:07</t>
  </si>
  <si>
    <t>2022-09-23T09:11:07Z</t>
  </si>
  <si>
    <t>1-94</t>
  </si>
  <si>
    <t>YEFRDNGW</t>
  </si>
  <si>
    <t>Feeney, D.; Berkes, Fikret; McCay, B.; Acheson, James M.</t>
  </si>
  <si>
    <t>The tragedy of the commons: Twenty-two years later</t>
  </si>
  <si>
    <t>Human Ecology</t>
  </si>
  <si>
    <t>00139157</t>
  </si>
  <si>
    <t>10.1007/BF00889070</t>
  </si>
  <si>
    <t>1990</t>
  </si>
  <si>
    <t>2022-09-23 09:09:46</t>
  </si>
  <si>
    <t>2022-09-23T09:09:46Z</t>
  </si>
  <si>
    <t>1-19</t>
  </si>
  <si>
    <t>18</t>
  </si>
  <si>
    <t>RFLQXJZW</t>
  </si>
  <si>
    <t>Fullerton, Don; Heutel, Garth</t>
  </si>
  <si>
    <t>The general equilibrium incidence of environmental taxes</t>
  </si>
  <si>
    <t>Journal of Public Economics</t>
  </si>
  <si>
    <t>10.1016/j.jpubeco.2006.07.004</t>
  </si>
  <si>
    <t>2022-09-23 09:09:20</t>
  </si>
  <si>
    <t>2022-09-23T09:09:20Z</t>
  </si>
  <si>
    <t>571-591</t>
  </si>
  <si>
    <t>91</t>
  </si>
  <si>
    <t>MEUGN734</t>
  </si>
  <si>
    <t>Gasper, Des</t>
  </si>
  <si>
    <t>The Ethics of Development From Economicism to Human Development</t>
  </si>
  <si>
    <t>Dehli: Vistaar Publications</t>
  </si>
  <si>
    <t>2022-09-23 09:09:17</t>
  </si>
  <si>
    <t>2022-09-23T09:09:17Z</t>
  </si>
  <si>
    <t>QBYHC3LA</t>
  </si>
  <si>
    <t>Galor, Oded</t>
  </si>
  <si>
    <t>The demographic transition: causes and consequences</t>
  </si>
  <si>
    <t>Cliometrica, Journal of Historical Economics and Econometric History</t>
  </si>
  <si>
    <t>This paper develops the theoretical foundations and the testable implications of the various mechanisms that have been proposed as possible triggers for the demographic transition. Moreover, it examines the empirical validity of each of the theories and their significance for the understanding of the transition from stagnation to growth. The analysis suggests that the rise in the demand for human capital in the process of development was the main trigger for the decline in fertility and the transition to modern growth.</t>
  </si>
  <si>
    <t>2022-09-23 09:09:12</t>
  </si>
  <si>
    <t>2022-09-23T09:09:12Z</t>
  </si>
  <si>
    <t>2SWFJJ3P</t>
  </si>
  <si>
    <t>Frosch, Robert A.; Gallopoulos, Nicholas E.</t>
  </si>
  <si>
    <t>Strategies for Manufacturing</t>
  </si>
  <si>
    <t>Scientific American</t>
  </si>
  <si>
    <t>10.1038/scientificamerican0989-144</t>
  </si>
  <si>
    <t>People create new technologies and industries to meet human needs more effectively and at lower cost. Innovation is a major agent of progress, and yet innovators' incomplete knowledge sometimes leads to undesirable side effects. Such unforeseen consequences of new inventions are not unique to the feverish industrialization of the 19th and 20th centuries. The ancient Greek myths tell of Pandora and the box full of plagues, of Prometheus punished for stealing fire from the gods and of Icarus, who plummeted from the sky when the sun's heat melted the wax of his wings. In historical times the shift from rawhide to tanned leather, although it made for garments and tools that lasted much longer and were more comfortable to wear and use, brought stenches and disease, so that tanneries had to be segregated from the communities they served. Today such inadvertent effects can have a global impact. Consider, for example, the invention of chlorinated fluorocarbons. Before CFC's were developed in the 1930's, refrigerator compressors contained ammonia or sulfur dioxide; either chemical was toxic, and leaks killed or injured many people. CFC's saved lives, saved money and provided such elements of modern life as air-conditioned buildings and untainted food. Only later did atmospheric scientists determine that CFC's contribute to global warming and affect the chemistry of the upper atmosphere, where they destroy ozone. Such failures should not diminish the fact that technology has improved the lot of people everywhere. Standards of living in many parts of the world are better today than they were 20 or 30 years ago. Many of the adverse effects of industrialization have been brought under control by further applications of technology. Yet as the world's population and standard of living increase, some of the old solutions to industrial pollution and everyday wastes no longer work. There is often no "other side of town" where the modern equivalents of tanneries can be put, no open space beyond the village gates where garbage can be dumped and do no harm.</t>
  </si>
  <si>
    <t>1989</t>
  </si>
  <si>
    <t>2022-09-23 09:08:47</t>
  </si>
  <si>
    <t>2022-09-23T09:08:47Z</t>
  </si>
  <si>
    <t>144-152</t>
  </si>
  <si>
    <t>261</t>
  </si>
  <si>
    <t>6BPWWRK7</t>
  </si>
  <si>
    <t>Gans, Will; Alberini, Anna; Longo, Alberto</t>
  </si>
  <si>
    <t>Smart meter devices and the effect of feedback on residential electricity consumption: Evidence from a natural experiment in Northern Ireland</t>
  </si>
  <si>
    <t>Energy Economics</t>
  </si>
  <si>
    <t>10.1016/j.eneco.2012.11.022</t>
  </si>
  <si>
    <t>2022-09-23 09:08:39</t>
  </si>
  <si>
    <t>2022-09-23T09:08:39Z</t>
  </si>
  <si>
    <t>729-743</t>
  </si>
  <si>
    <t>36</t>
  </si>
  <si>
    <t>XK9K8GFY</t>
  </si>
  <si>
    <t>Finkbeiner, Elena M.; Basurto, Xavier</t>
  </si>
  <si>
    <t>Re-defining co-management to facilitate small-scale fisheries reform: An illustration from northwest Mexico</t>
  </si>
  <si>
    <t>10.1016/j.marpol.2014.10.010</t>
  </si>
  <si>
    <t>2022-09-23 09:08:13</t>
  </si>
  <si>
    <t>2022-09-23T09:08:13Z</t>
  </si>
  <si>
    <t>433-441</t>
  </si>
  <si>
    <t>51</t>
  </si>
  <si>
    <t>W42RJ4MF</t>
  </si>
  <si>
    <t>Gereffi, Gary; Humphrey, John; Kaplinsky, Raphael; Others</t>
  </si>
  <si>
    <t>Introduction: Globalisation, value chains and development</t>
  </si>
  <si>
    <t>IDS bulletin</t>
  </si>
  <si>
    <t>10.1111/j.1759-5436.2001.mp32003001.x</t>
  </si>
  <si>
    <t>2022-09-23 09:06:07</t>
  </si>
  <si>
    <t>2022-09-23T09:06:07Z</t>
  </si>
  <si>
    <t>32</t>
  </si>
  <si>
    <t>T3FLT685</t>
  </si>
  <si>
    <t>Gadgil, M.; Berkes, F.; Folke, C.</t>
  </si>
  <si>
    <t>Indigenous Knowledge for Biodiversity Conservation</t>
  </si>
  <si>
    <t>Ambio</t>
  </si>
  <si>
    <t>1993</t>
  </si>
  <si>
    <t>2022-09-23 09:05:59</t>
  </si>
  <si>
    <t>2022-09-23T09:05:59Z</t>
  </si>
  <si>
    <t>151–156</t>
  </si>
  <si>
    <t>22</t>
  </si>
  <si>
    <t>BQPRQX3Q</t>
  </si>
  <si>
    <t>Galli, Alessandro; Wiedmann, Thomas; Ercin, Ertug; Knoblauch, Doris; Ewing, Brad; Giljum, Stefan</t>
  </si>
  <si>
    <t>Integrating ecological, carbon and water footprint into a “footprint family” of indicators: definition and role in tracking human pressure on the planet</t>
  </si>
  <si>
    <t>Ecological indicators</t>
  </si>
  <si>
    <t>10.1016/j.ecolind.2011.06.017</t>
  </si>
  <si>
    <t>2022-09-23 09:05:56</t>
  </si>
  <si>
    <t>2022-09-23T09:05:56Z</t>
  </si>
  <si>
    <t>100-112</t>
  </si>
  <si>
    <t>NW89Z758</t>
  </si>
  <si>
    <t>Fishelson, Gideon</t>
  </si>
  <si>
    <t>Emission control policies under uncertainty</t>
  </si>
  <si>
    <t>10.1016/0095-0696(76)90018-8</t>
  </si>
  <si>
    <t>1976</t>
  </si>
  <si>
    <t>2022-09-23 09:04:40</t>
  </si>
  <si>
    <t>2022-09-23T09:04:40Z</t>
  </si>
  <si>
    <t>189-197</t>
  </si>
  <si>
    <t>MM9VITII</t>
  </si>
  <si>
    <t>Fooks, Jacob R.; Messer, Kent D.; Duke, Joshua M.</t>
  </si>
  <si>
    <t>Dynamic entry, reverse auctions, and the purchase of environmental services</t>
  </si>
  <si>
    <t>10.3368/le.91.1.57</t>
  </si>
  <si>
    <t>2022-09-23 09:04:24</t>
  </si>
  <si>
    <t>2022-09-23T09:04:24Z</t>
  </si>
  <si>
    <t>57-75</t>
  </si>
  <si>
    <t>PLZDG8LC</t>
  </si>
  <si>
    <t>Giridharan, Renganathan; Ganesan, Sivaguru; Lau, S. S. Y.</t>
  </si>
  <si>
    <t>Daytime urban heat island effect in high-rise and high-density residential developments in Hong Kong</t>
  </si>
  <si>
    <t>Energy and buildings</t>
  </si>
  <si>
    <t>10.1016/j.enbuild.2003.12.016</t>
  </si>
  <si>
    <t>2022-09-23 09:04:07</t>
  </si>
  <si>
    <t>2022-09-23T09:04:07Z</t>
  </si>
  <si>
    <t>525-534</t>
  </si>
  <si>
    <t>6S6LZVIJ</t>
  </si>
  <si>
    <t>Ferraro, Paul J.</t>
  </si>
  <si>
    <t>Asymmetric information and contract design for payments for environmental services</t>
  </si>
  <si>
    <t>10.1016/j.ecolecon.2007.07.029</t>
  </si>
  <si>
    <t>2022-09-23 09:03:05</t>
  </si>
  <si>
    <t>2022-09-23T09:03:05Z</t>
  </si>
  <si>
    <t>810-821</t>
  </si>
  <si>
    <t>65</t>
  </si>
  <si>
    <t>TQ4LV2II</t>
  </si>
  <si>
    <t>Assigning priority to environmental policy interventions in a heterogeneous world</t>
  </si>
  <si>
    <t>Journal of Policy Analysis and Management</t>
  </si>
  <si>
    <t>10.1002/pam.10094</t>
  </si>
  <si>
    <t>2022-09-23 09:03:01</t>
  </si>
  <si>
    <t>2022-09-23T09:03:01Z</t>
  </si>
  <si>
    <t>27-43</t>
  </si>
  <si>
    <t>4J7FDAII</t>
  </si>
  <si>
    <t>Gale, Lewis; Mendez, José</t>
  </si>
  <si>
    <t>A Note on the Empirical Relationship between Trade, Growth and the Environment</t>
  </si>
  <si>
    <t>2022-09-23 09:02:44</t>
  </si>
  <si>
    <t>2022-09-23T09:02:44Z</t>
  </si>
  <si>
    <t>7HHNJFLC</t>
  </si>
  <si>
    <t>Gandhi, Jennifer; Przeworski, Adam</t>
  </si>
  <si>
    <t>Authoritarian institutions and the survival of autocrats</t>
  </si>
  <si>
    <t>Comparative political studies</t>
  </si>
  <si>
    <t>10.1177/0010414007305817</t>
  </si>
  <si>
    <t>2022-09-23 09:02:06</t>
  </si>
  <si>
    <t>2022-09-23T09:02:06Z</t>
  </si>
  <si>
    <t>1279-1301</t>
  </si>
  <si>
    <t>40</t>
  </si>
  <si>
    <t>NW5W4TSK</t>
  </si>
  <si>
    <t>Fullerton, Don; Monti, Holly</t>
  </si>
  <si>
    <t>Can pollution tax rebates protect low-wage earners?</t>
  </si>
  <si>
    <t>10.1016/j.jeem.2013.09.001</t>
  </si>
  <si>
    <t>2022-09-23 09:02:03</t>
  </si>
  <si>
    <t>2022-09-23T09:02:03Z</t>
  </si>
  <si>
    <t>539-553</t>
  </si>
  <si>
    <t>66</t>
  </si>
  <si>
    <t>GDCQ98HU</t>
  </si>
  <si>
    <t>Foster, Andrew D.; Rosenzweig, Mark R.</t>
  </si>
  <si>
    <t>Economic growth and the rise of forests</t>
  </si>
  <si>
    <t>The Quarterly Journal of Economics</t>
  </si>
  <si>
    <t>10.1162/003355303321675464</t>
  </si>
  <si>
    <t>2022-09-23 09:01:38</t>
  </si>
  <si>
    <t>2022-09-23T09:01:38Z</t>
  </si>
  <si>
    <t>601-637</t>
  </si>
  <si>
    <t>118</t>
  </si>
  <si>
    <t>P3XC34LR</t>
  </si>
  <si>
    <t>Fenske, James</t>
  </si>
  <si>
    <t>Land tenure and investment incentives: Evidence from West Africa</t>
  </si>
  <si>
    <t>10.1016/j.jdeveco.2010.05.001</t>
  </si>
  <si>
    <t>2022-09-23 09:00:52</t>
  </si>
  <si>
    <t>2022-09-23T09:00:52Z</t>
  </si>
  <si>
    <t>137-156</t>
  </si>
  <si>
    <t>95</t>
  </si>
  <si>
    <t>A934C6QF</t>
  </si>
  <si>
    <t>Font, Xavier; Epler Wood, M.; Black, R.; Crabtree, A.</t>
  </si>
  <si>
    <t>Sustainable tourism certification marketing and its contribution to SME market access</t>
  </si>
  <si>
    <t>Quality assurance and certification in ecotourism</t>
  </si>
  <si>
    <t>10.1079/9781845932374.0147</t>
  </si>
  <si>
    <t>2022-09-23 08:59:59</t>
  </si>
  <si>
    <t>2022-09-23T08:59:59Z</t>
  </si>
  <si>
    <t>147</t>
  </si>
  <si>
    <t>GQUP564J</t>
  </si>
  <si>
    <t>Gereva, Sompert; Vuki, V. C.</t>
  </si>
  <si>
    <t>Women's fishing activities on Aniwa Island, Tafea Province, South Vanuatu</t>
  </si>
  <si>
    <t>SPC Women in Fisheries Information Bulletin</t>
  </si>
  <si>
    <t>2022-09-23 08:59:26</t>
  </si>
  <si>
    <t>2022-09-23T08:59:26Z</t>
  </si>
  <si>
    <t>17-22</t>
  </si>
  <si>
    <t>21</t>
  </si>
  <si>
    <t>L7RSYI95</t>
  </si>
  <si>
    <t>Foley, Jonathan A.; DeFries, Ruth; Asner, Gregory P.; Barford, Carol; Bonan, Gordon; Carpenter, Stephen R.; Chapin, F. Stuart; Coe, Michael T.; Daily, Gretchen C.; Gibbs, Holly K.; Helkowski, Joseph H.; Holloway, Tracey; Howard, Erica A.; Kucharik, Christopher J.; Monfreda, Chad; Patz, Jonathan A.; Prentice, I. Colin; Ramankutty, Navin; Snyder, Peter K.</t>
  </si>
  <si>
    <t>Global Consequences of Land Use</t>
  </si>
  <si>
    <t>https://www.science.org/doi/10.1126/science.1111772</t>
  </si>
  <si>
    <t>Land use has generally been considered a local environmental issue, but it is becoming a force of global importance. Worldwide changes to forests, farmlands, waterways, and air are being driven by the need to provide food, fiber, water, and shelter to more than six billion people. Global croplands, pastures, plantations, and urban areas have expanded in recent decades, accompanied by large increases in energy, water, and fertilizer consumption, along with considerable losses of biodiversity. Such changes in land use have enabled humans to appropriate an increasing share of the planet's resources, but they also potentially undermine the capacity of ecosystems to sustain food production, maintain freshwater and forest resources, regulate climate and air quality, and ameliorate infectious diseases. We face the challenge of managing trade-offs between immediate human needs and maintaining the capacity of the biosphere to provide goods and services in the long term.</t>
  </si>
  <si>
    <t>2005-07-22</t>
  </si>
  <si>
    <t>2022-09-23 08:12:05</t>
  </si>
  <si>
    <t>2022-09-23T08:12:05Z</t>
  </si>
  <si>
    <t>570-574</t>
  </si>
  <si>
    <t>5734</t>
  </si>
  <si>
    <t>309</t>
  </si>
  <si>
    <t>ipbes-global_chapter2.1_drivers; ipbes-global_chapter3; ipbes-global_chapter4; ipbes-global_chapter5</t>
  </si>
  <si>
    <t>JZNP6BBC</t>
  </si>
  <si>
    <t>Golden, Christopher D.; Allison, Edward H.; Cheung, William W. L.; Dey, Madan M.; Halpern, Benjamin S.; McCauley, Douglas J.; Smith, Matthew; Vaitla, Bapu; Zeller, Dirk; Myers, Samuel S.</t>
  </si>
  <si>
    <t>Nutrition: Fall in fish catch threatens human health</t>
  </si>
  <si>
    <t>0028-0836, 1476-4687</t>
  </si>
  <si>
    <t>10.1038/534317a</t>
  </si>
  <si>
    <t>http://www.nature.com/articles/534317a</t>
  </si>
  <si>
    <t>2016-06</t>
  </si>
  <si>
    <t>2022-09-23 08:10:58</t>
  </si>
  <si>
    <t>2022-09-23T08:10:58Z</t>
  </si>
  <si>
    <t>2022-09-19 21:15:43</t>
  </si>
  <si>
    <t>317-320</t>
  </si>
  <si>
    <t>7607</t>
  </si>
  <si>
    <t>534</t>
  </si>
  <si>
    <t>Nutrition</t>
  </si>
  <si>
    <t>Q5RT4FSD</t>
  </si>
  <si>
    <t>Gibson, Clark C.; Williams, John T.; Ostrom, Elinor</t>
  </si>
  <si>
    <t>Local Enforcement and Better Forests</t>
  </si>
  <si>
    <t>10.1016/j.worlddev.2004.07.013</t>
  </si>
  <si>
    <t>https://linkinghub.elsevier.com/retrieve/pii/S0305750X04001949</t>
  </si>
  <si>
    <t>2005-02</t>
  </si>
  <si>
    <t>2022-09-23 08:04:01</t>
  </si>
  <si>
    <t>2022-09-23T08:04:01Z</t>
  </si>
  <si>
    <t>2022-09-22 07:27:18</t>
  </si>
  <si>
    <t>273-284</t>
  </si>
  <si>
    <t>33</t>
  </si>
  <si>
    <t>TRS5MKVX</t>
  </si>
  <si>
    <t>Galaz, Victor; Crona, Beatrice; Dauriach, Alice; Jouffray, Jean-Baptiste; Österblom, Henrik; Fichtner, Jan</t>
  </si>
  <si>
    <t>Tax havens and global environmental degradation</t>
  </si>
  <si>
    <t>10.1038/s41559-018-0497-3</t>
  </si>
  <si>
    <t>http://www.nature.com/articles/s41559-018-0497-3</t>
  </si>
  <si>
    <t>2018-09</t>
  </si>
  <si>
    <t>2022-09-23 07:51:07</t>
  </si>
  <si>
    <t>2022-09-23T07:51:07Z</t>
  </si>
  <si>
    <t>2022-09-22 07:27:30</t>
  </si>
  <si>
    <t>1352-1357</t>
  </si>
  <si>
    <t>Nat Ecol Evol</t>
  </si>
  <si>
    <t>ipbes-global_chapter2.1_drivers; ipbes-global_chapter5; ipbes-global_chapter6</t>
  </si>
  <si>
    <t>2T8ZTK93</t>
  </si>
  <si>
    <t>Gibbs, H. K.; Ruesch, A. S.; Achard, F.; Clayton, M. K.; Holmgren, P.; Ramankutty, N.; Foley, J. A.</t>
  </si>
  <si>
    <t>0027-8424, 1091-6490</t>
  </si>
  <si>
    <t>https://pnas.org/doi/full/10.1073/pnas.0910275107</t>
  </si>
  <si>
    <t>2010-09-21</t>
  </si>
  <si>
    <t>2022-09-23 07:30:17</t>
  </si>
  <si>
    <t>2022-09-23T07:30:17Z</t>
  </si>
  <si>
    <t>2022-09-19 21:15:54</t>
  </si>
  <si>
    <t>16732-16737</t>
  </si>
  <si>
    <t>38</t>
  </si>
  <si>
    <t>107</t>
  </si>
  <si>
    <t>Proc. Natl. Acad. Sci. U.S.A.</t>
  </si>
  <si>
    <t>2YSP2JX3</t>
  </si>
  <si>
    <t>Garnett, Stephen T.; Burgess, Neil D.; Fa, Julia E.; Fernández-Llamazares, Álvaro; Molnár, Zsolt; Robinson, Cathy J.; Watson, James E. M.; Zander, Kerstin K.; Austin, Beau; Brondizio, Eduardo S.; Collier, Neil French; Duncan, Tom; Ellis, Erle; Geyle, Hayley; Jackson, Micha V.; Jonas, Harry; Malmer, Pernilla; McGowan, Ben; Sivongxay, Amphone; Leiper, Ian</t>
  </si>
  <si>
    <t>A spatial overview of the global importance of Indigenous lands for conservation</t>
  </si>
  <si>
    <t>Nature Sustainability</t>
  </si>
  <si>
    <t>2398-9629</t>
  </si>
  <si>
    <t>10.1038/s41893-018-0100-6</t>
  </si>
  <si>
    <t>https://www.nature.com/articles/s41893-018-0100-6</t>
  </si>
  <si>
    <t>2018-07</t>
  </si>
  <si>
    <t>2022-09-23 06:57:42</t>
  </si>
  <si>
    <t>2022-09-23T06:57:42Z</t>
  </si>
  <si>
    <t>2022-09-22 07:27:32</t>
  </si>
  <si>
    <t>369-374</t>
  </si>
  <si>
    <t>Nat Sustain</t>
  </si>
  <si>
    <t>ipbes-global_chapter1; ipbes-global_chapter2.1_drivers; ipbes-global_chapter2.2_nature; ipbes-global_chapter2.3_ncp; ipbes-global_chapter4; ipbes-global_chapter5; ipbes-global_chapter6</t>
  </si>
  <si>
    <t>K4PX9FNM</t>
  </si>
  <si>
    <t>FPP; IIFB; SCBD</t>
  </si>
  <si>
    <t>Local Biodiversity Outlooks. Indigenous Peoples' and Local Communities' Contributions to the Implementation of the Strategic Plan for Biodiversity 2011-2020. A complement to the fourth edition of the Global Biodiversity Outlook</t>
  </si>
  <si>
    <t>156</t>
  </si>
  <si>
    <t>Forest Peoples Programme</t>
  </si>
  <si>
    <t>Moreton-in-Marsh, England</t>
  </si>
  <si>
    <t>M7MFEDWP</t>
  </si>
  <si>
    <t>Foley, Paul; McCay, Bonnie</t>
  </si>
  <si>
    <t>Certifying the commons: Eco-certification, privatization, and collective action</t>
  </si>
  <si>
    <t>17083087</t>
  </si>
  <si>
    <t>10.5751/ES-06459-190228</t>
  </si>
  <si>
    <t>We examine new dynamics of privatization and collective action in common$\backslash$npool resource situations facilitated by the nonstate multistakeholder$\backslash$ninstitutions of the Marine Stewardship Council (MSC), the global leader$\backslash$nin sustainability certification for wild caught seafood. Through a$\backslash$nreview of the literature and two case studies of fishing cooperatives in$\backslash$nBaja California Sur, Mexico and on Fogo Island in the Canadian Province$\backslash$nof Newfoundland and Labrador (NL), we advance two interrelated$\backslash$narguments. First, certification and eco-labeling institutions privatize$\backslash$nfisheries governance in largely unexamined ways through the injection of$\backslash$nnew forms of exclusive rights or privileges into common pool resource$\backslash$nsituations already complicated by access and property privileges,$\backslash$ncreating conditions for confusion and conflict as well as cooperation.$\backslash$nSecond, the MSC whole stock definition of sustainability places greater$\backslash$ndemands on certification clients for engaging in collective action by$\backslash$nencouraging coordination over all social extractions from targeted fish$\backslash$nstocks. Although rules encouraging collective action in common pool$\backslash$nsituations militate against the narrow private capture of certificate$\backslash$nand eco-label rights, they also undermine the ability of small-scale and$\backslash$ncommunity-based fisheries that are embedded in larger unhealthy fishery$\backslash$ncontexts to acquire the right to the MSC stamp of sustainability. We$\backslash$nconclude that MSC certification and eco-labeling create new institutions$\backslash$nof private property rights and collective action, which can result in$\backslash$nexclusionary practices, inclusionary collective action, or both. Much$\backslash$nwill depend on the specific common pool context and history of the$\backslash$nfishery.</t>
  </si>
  <si>
    <t>19</t>
  </si>
  <si>
    <t>9DFP3JM3</t>
  </si>
  <si>
    <t>Fornace, Kimberly M.; Abidin, Tommy Rowel; Alexander, Neal; Brock, Paddy; Grigg, Matthew J.; Murphy, Amanda; William, Timothy; Menon, Jayaram; Drakeley, Chris J.; Cox, Jonathan</t>
  </si>
  <si>
    <t>Association between Landscape Factors and Spatial Patterns of \textlessem\textgreaterPlasmodium knowlesi\textless/em\textgreater Infections in Sabah, Malaysia</t>
  </si>
  <si>
    <t>Emerging Infectious Disease journal</t>
  </si>
  <si>
    <t>1080-6059</t>
  </si>
  <si>
    <t>10.3201/eid2202.150656</t>
  </si>
  <si>
    <t>http://wwwnc.cdc.gov/eid/article/22/2/15-0656</t>
  </si>
  <si>
    <t>The zoonotic malaria species Plasmodium knowlesi has become the main cause of human malaria in Malaysian Borneo. Deforestation and associated environmental and population changes have been hypothesized as main drivers of this apparent emergence. We gathered village-level data for P. knowlesi incidence for the districts of Kudat and Kota Marudu in Sabah state, Malaysia, for 2008–2012. We adjusted malaria records from routine reporting systems to reflect the diagnostic uncertainty of microscopy for P. knowlesi. We also developed negative binomial spatial autoregressive models to assess potential associations between P. knowlesi incidence and environmental variables derived from satellite-based remote-sensing data. Marked spatial heterogeneity in P. knowlesi incidence was observed, and village-level numbers of P. knowlesi cases were positively associated with forest cover and historical forest loss in surrounding areas. These results suggest the likelihood that deforestation and associated environmental changes are key drivers in P. knowlesi transmission in these areas.</t>
  </si>
  <si>
    <t>201-208</t>
  </si>
  <si>
    <t>EIPQCMBL</t>
  </si>
  <si>
    <t>Gattuso, J.-P.; Magnan, A.; Billé, R.; Cheung, W. W. L.; Howes, E. L.; Joos, F.; Allemand, D.; Bopp, L.; Cooley, S. R.; Eakin, C. M.; Hoegh-Guldberg, O.; Kelly, R. P.; Pörtner, H.-O.; Rogers, A. D.; Baxter, J. M.; Laffoley, D.; Osborn, D.; Rankovic, A.; Rochette, J.; Sumaila, U. R.; Treyer, S.; Turley, C.</t>
  </si>
  <si>
    <t>Contrasting futures for ocean and society from different anthropogenic CO &lt;sub&gt;2&lt;/sub&gt; emissions scenarios</t>
  </si>
  <si>
    <t>https://www.science.org/doi/10.1126/science.aac4722</t>
  </si>
  <si>
    <t>Carbon emissions and their ocean impacts                            Anthropogenic CO               2               emissions directly affect atmospheric chemistry but also have a strong influence on the oceans. Gattuso               et al.               review how the physics, chemistry, and ecology of the oceans might be affected based on two CO               2               emission trajectories: one business as usual and one with aggressive reductions. Ocean warming, acidification, sea-level rise, and the expansion of oxygen minimum zones will continue to have distinct impacts on marine communities and ecosystems. The path that humanity takes regarding CO               2               emissions will largely determine the severity of these phenomena.                                         Science               , this issue               10.1126/science.aac4722                        ,              The amount and pace of our carbon dioxide emissions will determine how the oceans respond.           ,                             BACKGROUND                                Although the ocean moderates anthropogenic climate change, this has great impacts on its fundamental physics and chemistry, with important consequences for ecosystems and people. Yet, despite the ocean’s critical role in regulating climate—and providing food security and livelihoods for millions of people—international climate negotiations have only minimally considered impacts on the ocean. Here, we evaluate changes to the ocean and its ecosystems, as well as to the goods and services they provide, under two contrasting CO                 2                 scenarios: the current high-emissions trajectory (Representative Concentration Pathway 8.5, RCP8.5) and a stringent emissions scenario (RCP2.6) consistent with the Copenhagen Accord of keeping mean global temperature increase below 2°C in the 21st century. To do this, we draw on the consensus science in the latest assessment report of the Intergovernmental Panel on Climate Change and papers published since the assessment.                                                        ADVANCES                                Warming and acidification of surface ocean waters will increase proportionately with cumulative CO                 2                 emissions (see figure). Warm-water corals have already been affected, as have mid-latitude seagrass, high-latitude pteropods and krill, mid-latitude bivalves, and fin fishes. Even under the stringent emissions scenario (RCP2.6), warm-water corals and mid-latitude bivalves will be at high risk by 2100. Under our current rate of emissions, most marine organisms evaluated will have very high risk of impacts by 2100 and many by 2050. These results—derived from experiments, field observations, and modeling—are consistent with evidence from high-CO                 2                 periods in the paleorecord.                              Impacts to the ocean’s ecosystem services follow a parallel trajectory. Services such as coastal protection and capture fisheries are already affected by ocean warming and acidification. The risks of impacts to these services increase with continued emissions: They are predicted to remain moderate for the next 85 years for most services under stringent emission reductions, but the business-as-usual scenario (RCP8.5) would put all ecosystem services we considered at high or very high risk over the same time frame. These impacts will be cumulative or synergistic with other human impacts, such as overexploitation of living resources, habitat destruction, and pollution. Fin fisheries at low latitudes, which are a key source of protein and income for millions of people, will be at high risk.                                         OUTLOOK                                Four key messages emerge. First, the ocean strongly influences the climate system and provides important services to humans. Second, impacts on key marine and coastal organisms, ecosystems, and services are already detectable, and several will face high risk of impacts well before 2100, even under the low-emissions scenario (RCP2.6). These impacts will occur across all latitudes, making this a global concern beyond the north/south divide. Third, immediate and substantial reduction of CO                 2                 emissions is required to prevent the massive and mostly irreversible impacts on ocean ecosystems and their services that are projected with emissions greater than those in RCP2.6. Limiting emissions to this level is necessary to meet stated objectives of the United Nations Framework Convention on Climate Change; a substantially different ocean would result from any less-stringent emissions scenario. Fourth, as atmospheric CO                 2                 increases, protection, adaptation, and repair options for the ocean become fewer and less effective.                                               The ocean provides compelling arguments for rapid reductions in CO                 2                 emissions and eventually atmospheric CO                 2                 drawdown. Hence, any new global climate agreement that does not minimize the impacts on the ocean will be inadequate.                                                                                       Changes in ocean physics and chemistry and impacts on organisms and ecosystem services according to stringent (RCP2.6) and high business-as-usual (RCP8.5) CO                     2                     emissions scenarios.                                                           Changes in temperature (∆T) and pH (∆pH) in 2090 to 2099 are relative to preindustrial (1870 to 1899). Sea level rise (SLR) in 2100 is relative to 1901. RCP2.6 is much more favorable to the ocean, although important ecosystems, goods, and services remain vulnerable, and allows more-efficient management options.                     l                     ,                     m                     ,                     h                     : low, mid-, and high latitudes, respectively.                                                                                            ,              The ocean moderates anthropogenic climate change at the cost of profound alterations of its physics, chemistry, ecology, and services. Here, we evaluate and compare the risks of impacts on marine and coastal ecosystems—and the goods and services they provide—for growing cumulative carbon emissions under two contrasting emissions scenarios. The current emissions trajectory would rapidly and significantly alter many ecosystems and the associated services on which humans heavily depend. A reduced emissions scenario—consistent with the Copenhagen Accord’s goal of a global temperature increase of less than 2°C—is much more favorable to the ocean but still substantially alters important marine ecosystems and associated goods and services. The management options to address ocean impacts narrow as the ocean warms and acidifies. Consequently, any new climate regime that fails to minimize ocean impacts would be incomplete and inadequate.</t>
  </si>
  <si>
    <t>2015-07-03</t>
  </si>
  <si>
    <t>2022-09-19 21:16:44</t>
  </si>
  <si>
    <t>aac4722</t>
  </si>
  <si>
    <t>6243</t>
  </si>
  <si>
    <t>349</t>
  </si>
  <si>
    <t>S7TIPEFP</t>
  </si>
  <si>
    <t>Geist, Helmut J.; Lambin, Eric F.</t>
  </si>
  <si>
    <t>Proximate Causes and Underlying Driving Forces of Tropical Deforestation</t>
  </si>
  <si>
    <t>Reports on tropical deforestation due to both local and regional pressures which are acting in various combinations in different geographic locations. Factors including agricultural expansion, wood extraction, and infrastructure expansion; Economic factors, such as commercialization and the growth of timber markets; Conclusion.</t>
  </si>
  <si>
    <t>143</t>
  </si>
  <si>
    <t>52</t>
  </si>
  <si>
    <t>LAVZ8KDC</t>
  </si>
  <si>
    <t>Geyer, Roland; Jambeck, Jenna R.; Law, Kara Lavender</t>
  </si>
  <si>
    <t>2017-07</t>
  </si>
  <si>
    <t>e1700782</t>
  </si>
  <si>
    <t>AQMJI6KX</t>
  </si>
  <si>
    <t>Foley, Jonathan A.; Ramankutty, Navin; Brauman, Kate A.; Cassidy, Emily S.; Gerber, James S.; Johnston, Matt; Mueller, Nathaniel D.; O'Connell, Christine; Ray, Deepak K.; West, Paul C.; Balzer, Christian; Bennett, Elena M.; Carpenter, Stephen R.; Hill, Jason; Monfreda, Chad; Polasky, Stephen; Rockström, Johan; Sheehan, John; Siebert, Stefan; Tilman, David; Zaks, David P. M.</t>
  </si>
  <si>
    <t>Solutions for a cultivated planet</t>
  </si>
  <si>
    <t>00280836</t>
  </si>
  <si>
    <t>10.1038/nature10452</t>
  </si>
  <si>
    <t>Increasing population and consumption are placing unprecedented demands on agriculture and natural resources. Today, approximately a billion people are chronically malnourished while our agricultural systems are concurrently degrading land, water, biodiversity and climate on a global scale. To meet the world's future food security and sustainability needs, food production must grow substantially while, at the same time, agriculture's environmental footprint must shrink dramatically. Here we analyse solutions to this dilemma, showing that tremendous progress could be made by halting agricultural expansion, closing 'yield gaps' on underperforming lands, increasing cropping efficiency, shifting diets and reducing waste. Together, these strategies could double food production while greatly reducing the environmental impacts of agriculture.</t>
  </si>
  <si>
    <t>337-342</t>
  </si>
  <si>
    <t>7369</t>
  </si>
  <si>
    <t>478</t>
  </si>
  <si>
    <t>ipbes-global_chapter2.1_drivers; ipbes-global_chapter2.3_ncp; ipbes-global_chapter4; ipbes-global_chapter5</t>
  </si>
  <si>
    <t>URXTL4AN</t>
  </si>
  <si>
    <t>Forouzanfar, Mohammad H.; Alexander, Lily; Anderson, H. Ross; Bachman, Victoria F.; Biryukov, Stan; Brauer, Michael; Burnett, Richard; Casey, Daniel; Coates, Matthew M.; Cohen, Aaron; Delwiche, Kristen; Estep, Kara; Frostad, Joseph J.; Kc, Astha; Kyu, Hmwe H.; Moradi-Lakeh, Maziar; Ng, Marie; Slepak, Erica Leigh; Thomas, Bernadette A.; Wagner, Joseph; Aasvang, Gunn Marit; Abbafati, Cristiana; Ozgoren, Ayse Abbasoglu; Abd-Allah, Foad; Abera, Semaw Ferede; Aboyans, Victor; Abraham, Biju; Abraham, Jerry Puthenpurakal; Abubakar, Ibrahim; Abu-Rmeileh, Niveen M. E.; Aburto, Tania C.; Achoki, Tom; Adelekan, Ademola; Adofo, Koranteng; Adou, Arsène K.; Adsuar, José C.; Afshin, Ashkan; Agardh, Emilie E.; Al Khabouri, Mazin J.; Al Lami, Faris H.; Alam, Sayed Saidul; Alasfoor, Deena; Albittar, Mohammed I.; Alegretti, Miguel A.; Aleman, Alicia V.; Alemu, Zewdie A.; Alfonso-Cristancho, Rafael; Alhabib, Samia; Ali, Raghib; Ali, Mohammed K.; Alla, François; Allebeck, Peter; Allen, Peter J.; Alsharif, Ubai; Alvarez, Elena; Alvis-Guzman, Nelson; Amankwaa, Adansi A.; Amare, Azmeraw T.; Ameh, Emmanuel A.; Ameli, Omid; Amini, Heresh; Ammar, Walid; Anderson, Benjamin O.; Antonio, Carl Abelardo T.; Anwari, Palwasha; Cunningham, Solveig Argeseanu; Arnlöv, Johan; Arsenijevic, Valentina S. Arsic; Artaman, Al; Asghar, Rana J.; Assadi, Reza; Atkins, Lydia S.; Atkinson, Charles; Avila, Marco A.; Awuah, Baffour; Badawi, Alaa; Bahit, Maria C.; Bakfalouni, Talal; Balakrishnan, Kalpana; Balalla, Shivanthi; Balu, Ravi Kumar; Banerjee, Amitava; Barber, Ryan M.; Barker-Collo, Suzanne L.; Barquera, Simon; Barregard, Lars; Barrero, Lope H.; Barrientos-Gutierrez, Tonatiuh; Basto-Abreu, Ana C.; Basu, Arindam; Basu, Sanjay; Basulaiman, Mohammed O.; Ruvalcaba, Carolina Batis; Beardsley, Justin; Bedi, Neeraj; Bekele, Tolesa; Bell, Michelle L.; Benjet, Corina; Bennett, Derrick A.; Benzian, Habib; Bernabé, Eduardo; Beyene, Tariku J.; Bhala, Neeraj; Bhalla, Ashish; Bhutta, Zulfiqar A.; Bikbov, Boris; Abdulhak, Aref A. Bin; Blore, Jed D.; Blyth, Fiona M.; Bohensky, Megan A.; Başara, Berrak Bora; Borges, Guilherme; Bornstein, Natan M.; Bose, Dipan; Boufous, Soufiane; Bourne, Rupert R.; Brainin, Michael; Brazinova, Alexandra; Breitborde, Nicholas J.; Brenner, Hermann; Briggs, Adam D. M.; Broday, David M.; Brooks, Peter M.; Bruce, Nigel G.; Brugha, Traolach S.; Brunekreef, Bert; Buchbinder, Rachelle; Bui, Linh N.; Bukhman, Gene; Bulloch, Andrew G.; Burch, Michael; Burney, Peter G. J.; Campos-Nonato, Ismael R.; Campuzano, Julio C.; Cantoral, Alejandra J.; Caravanos, Jack; Cárdenas, Rosario; Cardis, Elisabeth; Carpenter, David O.; Caso, Valeria; Castañeda-Orjuela, Carlos A.; Castro, Ruben E.; Catalá-López, Ferrán; Cavalleri, Fiorella; Çavlin, Alanur; Chadha, Vineet K.; Chang, Jung-chen; Charlson, Fiona J.; Chen, Honglei; Chen, Wanqing; Chen, Zhengming; Chiang, Peggy P.; Chimed-Ochir, Odgerel; Chowdhury, Rajiv; Christophi, Costas A.; Chuang, Ting-Wu; Chugh, Sumeet S.; Cirillo, Massimo; Cla\s sen, Thomas K. D.; Colistro, Valentina; Colomar, Mercedes; Colquhoun, Samantha M.; Contreras, Alejandra G.; Cooper, Cyrus; Cooperrider, Kimberly; Cooper, Leslie T.; Coresh, Josef; Courville, Karen J.; Criqui, Michael H.; Cuevas-Nasu, Lucia; Damsere-Derry, James; Danawi, Hadi; Dandona, Lalit; Dandona, Rakhi; Dargan, Paul I.; Davis, Adrian; Davitoiu, Dragos V.; Dayama, Anand; de Castro, E. Filipa; De la Cruz-Góngora, Vanessa; De Leo, Diego; de Lima, Graça; Degenhardt, Louisa; del Pozo-Cruz, Borja; Dellavalle, Robert P.; Deribe, Kebede; Derrett, Sarah; Jarlais, Don C. Des; Dessalegn, Muluken; DeVeber, Gabrielle A.; Devries, Karen M.; Dharmaratne, Samath D.; Dherani, Mukesh K.; Dicker, Daniel; Ding, Eric L.; Dokova, Klara; Dorsey, E. Ray; Driscoll, Tim R.; Duan, Leilei; Durrani, Adnan M.; Ebel, Beth E.; Ellenbogen, Richard G.; Elshrek, Yousef M.; Endres, Matthias; Ermakov, Sergey P.; Erskine, Holly E.; Eshrati, Babak; Esteghamati, Alireza; Fahimi, Saman; Faraon, Emerito Jose A.; Farzadfar, Farshad; Fay, Derek F. J.; Feigin, Valery L.; Feigl, Andrea B.; Fereshtehnejad, Seyed-Mohammad; Ferrari, Alize J.; Ferri, Cleusa P.; Flaxman, Abraham D.; Fleming, Thomas D.; Foigt, Nataliya; Foreman, Kyle J.; Paleo, Urbano Fra; Franklin, Richard C.; Gabbe, Belinda; Gaffikin, Lynne; Gakidou, Emmanuela; Gamkrelidze, Amiran; Gankpé, Fortuné G.; Gansevoort, Ron T.; García-Guerra, Francisco A.; Gasana, Evariste; Geleijnse, Johanna M.; Gessner, Bradford D.; Gething, Pete; Gibney, Katherine B.; Gillum, Richard F.; Ginawi, Ibrahim A. M.; Giroud, Maurice; Giussani, Giorgia; Goenka, Shifalika; Goginashvili, Ketevan; Dantes, Hector Gomez; Gona, Philimon; de Cosio, Teresita Gonzalez; González-Castell, Dinorah; Gotay, Carolyn C.; Goto, Atsushi; Gouda, Hebe N.; Guerrant, Richard L.; Gugnani, Harish C.; Guillemin, Francis; Gunnell, David; Gupta, Rahul; Gupta, Rajeev; Gutiérrez, Reyna A.; Hafezi-Nejad, Nima; Hagan, Holly; Hagstromer, Maria; Halasa, Yara A.; Hamadeh, Randah R.; Hammami, Mouhanad; Hankey, Graeme J.; Hao, Yuantao; Harb, Hilda L.; Haregu, Tilahun Nigatu; Haro, Josep Maria; Havmoeller, Rasmus; Hay, Simon I.; Hedayati, Mohammad T.; Heredia-Pi, Ileana B.; Hernandez, Lucia; Heuton, Kyle R.; Heydarpour, Pouria; Hijar, Martha; Hoek, Hans W.; Hoffman, Howard J.; Hornberger, John C.; Hosgood, H. Dean; Hoy, Damian G.; Hsairi, Mohamed; Hu, Guoqing; Hu, Howard; Huang, Cheng; Huang, John J.; Hubbell, Bryan J.; Huiart, Laetitia; Husseini, Abdullatif; Iannarone, Marissa L.; Iburg, Kim M.; Idrisov, Bulat T.; Ikeda, Nayu; Innos, Kaire; Inoue, Manami; Islami, Farhad; Ismayilova, Samaya; Jacobsen, Kathryn H.; Jansen, Henrica A.; Jarvis, Deborah L.; Jassal, Simerjot K.; Jauregui, Alejandra; Jayaraman, Sudha; Jeemon, Panniyammakal; Jensen, Paul N.; Jha, Vivekanand; Jiang, Fan; Jiang, Guohong; Jiang, Ying; Jonas, Jost B.; Juel, Knud; Kan, Haidong; Roseline, Sidibe S. Kany; Karam, Nadim E.; Karch, André; Karema, Corine K.; Karthikeyan, Ganesan; Kaul, Anil; Kawakami, Norito; Kazi, Dhruv S.; Kemp, Andrew H.; Kengne, Andre P.; Keren, Andre; Khader, Yousef S.; Khalifa, Shams Eldin Ali Hassan; Khan, Ejaz A.; Khang, Young-Ho; Khatibzadeh, Shahab; Khonelidze, Irma; Kieling, Christian; Kim, Daniel; Kim, Sungroul; Kim, Yunjin; Kimokoti, Ruth W.; Kinfu, Yohannes; Kinge, Jonas M.; Kissela, Brett M.; Kivipelto, Miia; Knibbs, Luke D.; Knudsen, Ann Kristin; Kokubo, Yoshihiro; Kose, M. Rifat; Kosen, Soewarta; Kraemer, Alexander; Kravchenko, Michael; Krishnaswami, Sanjay; Kromhout, Hans; Ku, Tiffany; Defo, Barthelemy Kuate; Bicer, Burcu Kucuk; Kuipers, Ernst J.; Kulkarni, Chanda; Kulkarni, Veena S.; Kumar, G. Anil; Kwan, Gene F.; Lai, Taavi; Balaji, Arjun Lakshmana; Lalloo, Ratilal; Lallukka, Tea; Lam, Hilton; Lan, Qing; Lansingh, Van C.; Larson, Heidi J.; Larsson, Anders; Laryea, Dennis O.; Lavados, Pablo M.; Lawrynowicz, Alicia E.; Leasher, Janet L.; Lee, Jong-Tae; Leigh, James; Leung, Ricky; Levi, Miriam; Li, Yichong; Li, Yongmei; Liang, Juan; Liang, Xiaofeng; Lim, Stephen S.; Lindsay, M. Patrice; Lipshultz, Steven E.; Liu, Shiwei; Liu, Yang; Lloyd, Belinda K.; Logroscino, Giancarlo; London, Stephanie J.; Lopez, Nancy; Lortet-Tieulent, Joannie; Lotufo, Paulo A.; Lozano, Rafael; Lunevicius, Raimundas; Ma, Jixiang; Ma, Stefan; Machado, Vasco M. P.; MacIntyre, Michael F.; Magis-Rodriguez, Carlos; Mahdi, Abbas A.; Majdan, Marek; Malekzadeh, Reza; Mangalam, Srikanth; Mapoma, Christopher C.; Marape, Marape; Marcenes, Wagner; Margolis, David J.; Margono, Christopher; Marks, Guy B.; Martin, Randall V.; Marzan, Melvin B.; Mashal, Mohammad T.; Masiye, Felix; Mason-Jones, Amanda J.; Matsushita, Kunihiro; Matzopoulos, Richard; Mayosi, Bongani M.; Mazorodze, Tasara T.; McKay, Abigail C.; McKee, Martin; McLain, Abigail; Meaney, Peter A.; Medina, Catalina; Mehndiratta, Man Mohan; Mejia-Rodriguez, Fabiola; Mekonnen, Wubegzier; Melaku, Yohannes A.; Meltzer, Michele; Memish, Ziad A.; Mendoza, Walter; Mensah, George A.; Meretoja, Atte; Mhimbira, Francis Apolinary; Micha, Renata; Miller, Ted R.; Mills, Edward J.; Misganaw, Awoke; Mishra, Santosh; Ibrahim, Norlinah Mohamed; Mohammad, Karzan A.; Mokdad, Ali H.; Mola, Glen L.; Monasta, Lorenzo; Hernandez, Julio C. Montañez; Montico, Marcella; Moore, Ami R.; Morawska, Lidia; Mori, Rintaro; Moschandreas, Joanna; Moturi, Wilkister N.; Mozaffarian, Dariush; Mueller, Ulrich O.; Mukaigawara, Mitsuru; Mullany, Erin C.; Murthy, Kinnari S.; Naghavi, Mohsen; Nahas, Ziad; Naheed, Aliya; Naidoo, Kovin S.; Naldi, Luigi; Nand, Devina; Nangia, Vinay; Narayan, K. M. Venkat; Nash, Denis; Neal, Bruce; Nejjari, Chakib; Neupane, Sudan P.; Newton, Charles R.; Ngalesoni, Frida N.; de Dieu Ngirabega, Jean; Nguyen, Grant; Nguyen, Nhung T.; Nieuwenhuijsen, Mark J.; Nisar, Muhammad I.; Nogueira, José R.; Nolla, Joan M.; Nolte, Sandra; Norheim, Ole F.; Norman, Rosana E.; Norrving, Bo; Nyakarahuka, Luke; Oh, In-Hwan; Ohkubo, Takayoshi; Olusanya, Bolajoko O.; Omer, Saad B.; Opio, John Nelson; Orozco, Ricardo; Pagcatipunan, Rodolfo S.; Pain, Amanda W.; Pandian, Jeyaraj D.; Panelo, Carlo Irwin A.; Papachristou, Christina; Park, Eun-Kee; Parry, Charles D.; Caicedo, Angel J. Paternina; Patten, Scott B.; Paul, Vinod K.; Pavlin, Boris I.; Pearce, Neil; Pedraza, Lilia S.; Pedroza, Andrea; Stokic, Ljiljana Pejin; Pekericli, Ayfer; Pereira, David M.; Perez-Padilla, Rogelio; Perez-Ruiz, Fernando; Perico, Norberto; Perry, Samuel A. L.; Pervaiz, Aslam; Pesudovs, Konrad; Peterson, Carrie B.; Petzold, Max; Phillips, Michael R.; Phua, Hwee Pin; Plass, Dietrich; Poenaru, Dan; Polanczyk, Guilherme V.; Polinder, Suzanne; Pond, Constance D.; Pope, C. Arden; Pope, Daniel; Popova, Svetlana; Pourmalek, Farshad; Powles, John; Prabhakaran, Dorairaj; Prasad, Noela M.; Qato, Dima M.; Quezada, Amado D.; Quistberg, D. Alex A.; Racapé, Lionel; Rafay, Anwar; Rahimi, Kazem; Rahimi-Movaghar, Vafa; Rahman, Sajjad Ur; Raju, Murugesan; Rakovac, Ivo; Rana, Saleem M.; Rao, Mayuree; Razavi, Homie; Reddy, K. Srinath; Refaat, Amany H.; Rehm, Jürgen; Remuzzi, Giuseppe; Ribeiro, Antonio L.; Riccio, Patricia M.; Richardson, Lee; Riederer, Anne; Robinson, Margaret; Roca, Anna; Rodriguez, Alina; Rojas-Rueda, David; Romieu, Isabelle; Ronfani, Luca; Room, Robin; Roy, Nobhojit; Ruhago, George M.; Rushton, Lesley; Sabin, Nsanzimana; Sacco, Ralph L.; Saha, Sukanta; Sahathevan, Ramesh; Sahraian, Mohammad Ali; Salomon, Joshua A.; Salvo, Deborah; Sampson, Uchechukwu K.; Sanabria, Juan R.; Sanchez, Luz Maria; Sánchez-Pimienta, Tania G.; Sanchez-Riera, Lidia; Sandar, Logan; Santos, Itamar S.; Sapkota, Amir; Satpathy, Maheswar; Saunders, James E.; Sawhney, Monika; Saylan, Mete I.; Scarborough, Peter; Schmidt, Jürgen C.; Schneider, Ione J. C.; Schöttker, Ben; Schwebel, David C.; Scott, James G.; Seedat, Soraya; Sepanlou, Sadaf G.; Serdar, Berrin; Servan-Mori, Edson E.; Shaddick, Gavin; Shahraz, Saeid; Levy, Teresa Shamah; Shangguan, Siyi; She, Jun; Sheikhbahaei, Sara; Shibuya, Kenji; Shin, Hwashin H.; Shinohara, Yukito; Shiri, Rahman; Shishani, Kawkab; Shiue, Ivy; Sigfusdottir, Inga D.; Silberberg, Donald H.; Simard, Edgar P.; Sindi, Shireen; Singh, Abhishek; Singh, Gitanjali M.; Singh, Jasvinder A.; Skirbekk, Vegard; Sliwa, Karen; Soljak, Michael; Soneji, Samir; Søreide, Kjetil; Soshnikov, Sergey; Sposato, Luciano A.; Sreeramareddy, Chandrashekhar T.; Stapelberg, Nicolas J. C.; Stathopoulou, Vasiliki; Steckling, Nadine; Stein, Dan J.; Stein, Murray B.; Stephens, Natalie; Stöckl, Heidi; Straif, Kurt; Stroumpoulis, Konstantinos; Sturua, Lela; Sunguya, Bruno F.; Swaminathan, Soumya; Swaroop, Mamta; Sykes, Bryan L.; Tabb, Karen M.; Takahashi, Ken; Talongwa, Roberto T.; Tandon, Nikhil; Tanne, David; Tanner, Marcel; Tavakkoli, Mohammad; Te Ao, Braden J.; Teixeira, Carolina M.; Téllez Rojo, Martha M.; Terkawi, Abdullah S.; Texcalac-Sangrador, José Luis; Thackway, Sarah V.; Thomson, Blake; Thorne-Lyman, Andrew L.; Thrift, Amanda G.; Thurston, George D.; Tillmann, Taavi; Tobollik, Myriam; Tonelli, Marcello; Topouzis, Fotis; Towbin, Jeffrey A.; Toyoshima, Hideaki; Traebert, Jefferson; Tran, Bach X.; Trasande, Leonardo; Trillini, Matias; Trujillo, Ulises; Dimbuene, Zacharie Tsala; Tsilimbaris, Miltiadis; Tuzcu, Emin Murat; Uchendu, Uche S.; Ukwaja, Kingsley N.; Uzun, Selen B.; van de Vijver, Steven; Van Dingenen, Rita; van Gool, Coen H.; van Os, Jim; Varakin, Yuri Y.; Vasankari, Tommi J.; Vasconcelos, Ana Maria N.; Vavilala, Monica S.; Veerman, Lennert J.; Velasquez-Melendez, Gustavo; Venketasubramanian, N.; Vijayakumar, Lakshmi; Villalpando, Salvador; Violante, Francesco S.; Vlassov, Vasiliy Victorovich; Vollset, Stein Emil; Wagner, Gregory R.; Waller, Stephen G.; Wallin, Mitchell T.; Wan, Xia; Wang, Haidong; Wang, JianLi; Wang, Linhong; Wang, Wenzhi; Wang, Yanping; Warouw, Tati S.; Watts, Charlotte H.; Weichenthal, Scott; Weiderpass, Elisabete; Weintraub, Robert G.; Werdecker, Andrea; Wessells, K. Ryan; Westerman, Ronny; Whiteford, Harvey A.; Wilkinson, James D.; Williams, Hywel C.; Williams, Thomas N.; Woldeyohannes, Solomon M.; Wolfe, Charles D. A.; Wong, John Q.; Woolf, Anthony D.; Wright, Jonathan L.; Wurtz, Brittany; Xu, Gelin; Yan, Lijing L.; Yang, Gonghuan; Yano, Yuichiro; Ye, Pengpeng; Yenesew, Muluken; Yentür, Gökalp K.; Yip, Paul; Yonemoto, Naohiro; Yoon, Seok-Jun; Younis, Mustafa Z.; Younoussi, Zourkaleini; Yu, Chuanhua; Zaki, Maysaa E.; Zhao, Yong; Zheng, Yingfeng; Zhou, Maigeng; Zhu, Jun; Zhu, Shankuan; Zou, Xiaonong; Zunt, Joseph R.; Lopez, Alan D.; Vos, Theo; Murray, Christopher J.</t>
  </si>
  <si>
    <t>Global, regional, and national comparative risk assessment of 79 behavioural, environmental and occupational, and metabolic risks or clusters of risks in 188 countries, 1990–2013: a systematic analysis for the Global Burden of Disease Study 2013</t>
  </si>
  <si>
    <t>The Lancet</t>
  </si>
  <si>
    <t>10.1016/S0140-6736(15)00128-2</t>
  </si>
  <si>
    <t>2287-2323</t>
  </si>
  <si>
    <t>10010</t>
  </si>
  <si>
    <t>386</t>
  </si>
  <si>
    <t>KSLTL22I</t>
  </si>
  <si>
    <t>Global Witness</t>
  </si>
  <si>
    <t>Deadly Environment: The Dramatic Rise in Killings of Environmental and Land Defenders, 1.1. 2002-31.12. 2013</t>
  </si>
  <si>
    <t>978-0-9926910-6-6</t>
  </si>
  <si>
    <t>https://cdn.globalwitness.org/archive/files/library/deadly%20environment.pdf</t>
  </si>
  <si>
    <t>GLYQ4F59</t>
  </si>
  <si>
    <t>GACC</t>
  </si>
  <si>
    <t>Global Alliance for Clean Cookstoves</t>
  </si>
  <si>
    <t>https://www.cleancookingalliance.org/home/index.html</t>
  </si>
  <si>
    <t>UZ5WN7SA</t>
  </si>
  <si>
    <t>blogPost</t>
  </si>
  <si>
    <t>Future Earth</t>
  </si>
  <si>
    <t>“Seeds” project offers glimpse of brighter futures</t>
  </si>
  <si>
    <t>https://futureearth.org/2017/03/20/seeds-project-offers-glimpse-of-brighter-futures/</t>
  </si>
  <si>
    <t>QC2FGARJ</t>
  </si>
  <si>
    <t>Fiorino, Daniel J.</t>
  </si>
  <si>
    <t>The new environmental regulation</t>
  </si>
  <si>
    <t>MIT Press</t>
  </si>
  <si>
    <t>E5MUFZ3F</t>
  </si>
  <si>
    <t>FSC</t>
  </si>
  <si>
    <t>Facts and figures</t>
  </si>
  <si>
    <t>https://fsc.org/en/page/facts-figures</t>
  </si>
  <si>
    <t>QBLJPXZJ</t>
  </si>
  <si>
    <t>GLMRIS</t>
  </si>
  <si>
    <t>Commercial Fisheries Baseline Economic Assessment-US Waters of the Great Lakes, Upper Mississippi River, and Ohio River Basins</t>
  </si>
  <si>
    <t>AVE68FT5</t>
  </si>
  <si>
    <t>Fiorina, Morris P.</t>
  </si>
  <si>
    <t>Retrospective voting in American national elections</t>
  </si>
  <si>
    <t>Yale University Press</t>
  </si>
  <si>
    <t>New Haven</t>
  </si>
  <si>
    <t>ZD2KU3VR</t>
  </si>
  <si>
    <t>Gandhi, Jennifer</t>
  </si>
  <si>
    <t>Political institutions under dictatorship</t>
  </si>
  <si>
    <t>Emory University</t>
  </si>
  <si>
    <t>Atlanta</t>
  </si>
  <si>
    <t>8WVANKG9</t>
  </si>
  <si>
    <t>webpage</t>
  </si>
  <si>
    <t>Fisheries and Oceans Canada</t>
  </si>
  <si>
    <t>Causes of IUU Fishing</t>
  </si>
  <si>
    <t>Government of Canada</t>
  </si>
  <si>
    <t>https://dfo-mpo.gc.ca/international/isu-iuu-drvrs-eng.htm</t>
  </si>
  <si>
    <t>2009-02-03</t>
  </si>
  <si>
    <t>2018-01-01 00:00:00</t>
  </si>
  <si>
    <t>ZXVD9TLE</t>
  </si>
  <si>
    <t>Indigenous Peoples' Rights and Transnational and Other Business Enterprises: A Review of International Law and Jurisprudence A Submission to the African Commission on Human and Peoples' Rights</t>
  </si>
  <si>
    <t>70-pp.</t>
  </si>
  <si>
    <t>Moreton-in-Marsh</t>
  </si>
  <si>
    <t>6WVTE6R3</t>
  </si>
  <si>
    <t>Global Fishing Watch</t>
  </si>
  <si>
    <t>Map</t>
  </si>
  <si>
    <t>https://globalfishingwatch.org/map/</t>
  </si>
  <si>
    <t>5UJMNRR3</t>
  </si>
  <si>
    <t>Franco, Jennifer; Mehta, Lyla; Veldwisch, Gert Jan</t>
  </si>
  <si>
    <t>The Global Politics of Water Grabbing</t>
  </si>
  <si>
    <t>0143-6597, 1360-2241</t>
  </si>
  <si>
    <t>10.1080/01436597.2013.843852</t>
  </si>
  <si>
    <t>http://www.tandfonline.com/doi/abs/10.1080/01436597.2013.843852</t>
  </si>
  <si>
    <t>The contestation and appropriation of water is not new, but recent global debates on land grabbing are bringing increased attention to a water perspective in these discussions. Water grabbing takes place in a field that is plurallegal, both locally and globally. Formal law has been fostering grabs, both in land and water. Meanwhile, today’s formal water and land management have been separated from each other – an institutional void that makes encroachment even easier. Ambiguous processes of global water and land governance have increased local level uncertainties and complexities. Powerful players can navigate their ways through such uncertainties, making them into mechanisms of exclusion for poor and marginalised people. As in formal land management, corporate influence has grown in water management. For less powerful players, resolving ambiguities in conflicting regulatory frameworks may require tipping the balance in favour of the most congenial one. Yet compared to land governance, global water governance is today relatively less contested from an equity and water justice perspective, even though land is fixed, while water is fluid and part of the hydrological cycle – and therefore water grabbing potentially affects greater numbers of diverse water users. Water grabbing can be a powerful entry point for contestation, which is needed to build counterweights to the neoliberal corporate business led convergence in global resource governance discourses and processes. Elaborating a human right to water in response to water grabbing is urgently needed.</t>
  </si>
  <si>
    <t>2013-10</t>
  </si>
  <si>
    <t>2019-11-17 03:26:31</t>
  </si>
  <si>
    <t>1651-1675</t>
  </si>
  <si>
    <t>34</t>
  </si>
  <si>
    <t>RQS8ER2E</t>
  </si>
  <si>
    <t>Gilmore, Ruth Wilson</t>
  </si>
  <si>
    <t>Golden Gulag: Prisons, Surplus, Crisis, and Opposition in Globalizing California</t>
  </si>
  <si>
    <t>Despite a crime rate that has been falling steadily for decades, California has, what a state analyst called, "the biggest prison building project in the history of the world." The first detailed explanation of California's expanding prison population, Ruth Wilson Gilmore's landmark, award-winning Golden Gulag looks at how political and economic forces, ranging from global to local, conjoined to produce the prison boom. Detailing crises that hit California's economy with particular ferocity, Gilmore argues that defeats of radical struggles, weakening of labor, and shifting patterns of capital investment have been key conditions for prison growth. The results–a vast and expensive prison system, a huge number of incarcerated young people of color, and the increase in punitive justice such as the "three strikes" law–pose profound and troubling questions for the future of California, the United States, and the world. This revised second edition further connects California's prison model to broader national and international trends, and updates readers with developments in the 21st century, including mounting grassroots opposition to the carceral state and a changing public understanding of why mass incarceration matters today.</t>
  </si>
  <si>
    <t>University of California Press</t>
  </si>
  <si>
    <t>Berkeley</t>
  </si>
  <si>
    <t>PC2GDNWR</t>
  </si>
  <si>
    <t>Ferretti-Gallon, Kalifi; Busch, Jonah</t>
  </si>
  <si>
    <t>What Drives Deforestation and What Stops it? A Meta-Analysis of Spatially Explicit Econometric Studies</t>
  </si>
  <si>
    <t>SSRN Electronic Journal</t>
  </si>
  <si>
    <t>1556-5068</t>
  </si>
  <si>
    <t>10.2139/ssrn.2458040</t>
  </si>
  <si>
    <t>http://www.ssrn.com/abstract=2458040</t>
  </si>
  <si>
    <t>April 2014</t>
  </si>
  <si>
    <t>Center for Global Development Working Paper</t>
  </si>
  <si>
    <t>2D8QDIXQ</t>
  </si>
  <si>
    <t>Customary sustainable use of biodiversity by indigenous peoples and local communities: Examples, challenges, community initiatives and recommendations relating to CBD Article 10(c)</t>
  </si>
  <si>
    <t>http://www.forestpeoples.org/sites/default/files/publication/2010/11/10csynthversionoct2011.pdf</t>
  </si>
  <si>
    <t>ICSELWCL</t>
  </si>
  <si>
    <t>Fullerton, Don</t>
  </si>
  <si>
    <t>Six Distributional Effects of Environmental Policy</t>
  </si>
  <si>
    <t>Risk Analysis</t>
  </si>
  <si>
    <t>02724332</t>
  </si>
  <si>
    <t>10.1111/j.1539-6924.2011.01628.x</t>
  </si>
  <si>
    <t>http://doi.wiley.com/10.1111/j.1539-6924.2011.01628.x</t>
  </si>
  <si>
    <t>While prior literature has identified various effects of environmental policy, this note uses the example of a proposed carbon permit system to illustrate and discuss six different types of distributional effects: (1) higher prices of carbon‐intensive products, (2) changes in relative returns to factors like labor, capital, and resources, (3) allocation of scarcity rents from a restricted number of permits, (4) distribution of the benefits from improvements in environmental quality, (5) temporary effects during the transition, and (6) capitalization of all those effects into prices of land, corporate stock, or house values. The note also discusses whether all six effects could be regressive, that is, whether carbon policy could place disproportionate burden on the poor.</t>
  </si>
  <si>
    <t>2011-06</t>
  </si>
  <si>
    <t>923-929</t>
  </si>
  <si>
    <t>HRWL6ZKD</t>
  </si>
  <si>
    <t>Status and trends in traditional occupations: Outcomes of a Rapid Assessment</t>
  </si>
  <si>
    <t>LPYNS2H7</t>
  </si>
  <si>
    <t>The Palangka Raya Declaration on Deforestation and the Rights of Forest Peoples</t>
  </si>
  <si>
    <t>82WI94P8</t>
  </si>
  <si>
    <t>WHAT IS FSC?</t>
  </si>
  <si>
    <t>https://ic.fsc.org/en/what-is-fsc-certification</t>
  </si>
  <si>
    <t>2018-11-08 00:00:00</t>
  </si>
  <si>
    <t>JFWJ4A4T</t>
  </si>
  <si>
    <t>Global Impact Investing Network</t>
  </si>
  <si>
    <t>Annual Impact Investor Survey 2017 7th Edition</t>
  </si>
  <si>
    <t>https://thegiin.org/assets/GIIN_AnnualImpactInvestorSurvey_2017_Web_Final.pdf</t>
  </si>
  <si>
    <t>The GIIN is a nonprofit organization dedicated to increasing the scale and effectiveness of impact investing. Impact investments are made into companies, organizations, and funds with the intention to generate social and environmental impact alongside a financial return. The GIIN builds critical infrastructure and supports activities, education, and research that help accelerate the development of a coherent impact investing industry. For more information, see www.thegiin.org.</t>
  </si>
  <si>
    <t>SBGMUXWA</t>
  </si>
  <si>
    <t>Geist, Helmut; McConnell, William; Lambin, Eric F.; Moran, Emilio; Alves, Diogenes; Rudel, Thomas</t>
  </si>
  <si>
    <t>Causes and Trajectories of Land-Use/Cover Change</t>
  </si>
  <si>
    <t>Land-Use and Land-Cover Change: Local Processes and Global Impacts</t>
  </si>
  <si>
    <t>978-3-540-32202-3</t>
  </si>
  <si>
    <t>https://doi.org/10.1007/3-540-32202-7_3</t>
  </si>
  <si>
    <t>One of the key activities of the Land-Use/Cover Change (LUCC) project has been to stimulate the syntheses of knowledge of land-use/cover change processes, and in particular to advance understanding of the causes of land change (see Chap. 1). Such efforts have generally followed one of two approaches: broad scale cross-sectional analyses (cross-national statistical comparisons, mainly); and detailed case studies at the local scale. The LUCC project applied a middle path that combines the richness of indepth case studies with the power of generalization gained from larger samples, thus drawing upon the strengths of both approaches. In particular, systematic comparative analyses of published case studies on landuse dynamics have helped to improve our knowledge about causes of land-use change. Principally, two methods exist for comparative analyses of case studies. These methods are sufficiently broad geographically to support generalization, but at a scale fine enough to capture complexity and variability across space and time.</t>
  </si>
  <si>
    <t>41-70</t>
  </si>
  <si>
    <t>Springer Berlin Heidelberg</t>
  </si>
  <si>
    <t>Berlin, Heidelberg</t>
  </si>
  <si>
    <t>DOI: 10.1007/3-540-32202-7_3</t>
  </si>
  <si>
    <t>Lambin, Eric F.; Geist, Helmut</t>
  </si>
  <si>
    <t>FUYBMST9</t>
  </si>
  <si>
    <t>Ford, James D.; McDowell, Graham; Pearce, Tristan</t>
  </si>
  <si>
    <t>The adaptation challenge in the Arctic</t>
  </si>
  <si>
    <t>17586798</t>
  </si>
  <si>
    <t>10.1038/nclimate2723</t>
  </si>
  <si>
    <t>http://dx.doi.org/10.1038/nclimate2723</t>
  </si>
  <si>
    <t>It is commonly asserted that human communities in the Arctic are highly vulnerable to climate change, with the magnitude of projected impacts limiting their ability to adapt. At the same time, an increasing number of field studies demonstrate significant adaptive capacity. Given this paradox, we review climate change adaptation, resilience and vulnerability research to identify and characterize the nature and magnitude of the adaptation challenge facing the Arctic. We find that the challenge of adaptation in the Arctic is formidable, but suggest that drivers of vulnerability and barriers to adaptation can be overcome, avoided or reduced by individual and collective efforts across scales for many, if not all, climate change risks.</t>
  </si>
  <si>
    <t>1046-1053</t>
  </si>
  <si>
    <t>V22LQNSH</t>
  </si>
  <si>
    <t>Finger, Robert; El Benni, Nadja; Kaphengst, Timo; Evans, Clive; Herbert, Sophie; Lehmann, Bernard; Morse, Stephen; Stupak, Nataliya</t>
  </si>
  <si>
    <t>A Meta Analysis on Farm-Level Costs and Benefits of GM Crops</t>
  </si>
  <si>
    <t>Sustainability</t>
  </si>
  <si>
    <t>2071-1050</t>
  </si>
  <si>
    <t>10.3390/su3050743</t>
  </si>
  <si>
    <t>http://www.mdpi.com/2071-1050/3/5/743</t>
  </si>
  <si>
    <t>This paper reviews the evidence on the socio-economic impacts of GM crops and analyzes whether there are patterns across space and time. To this end, we investigate the effect of GM crops on farm-level costs and benefits using global data from more than one decade of field trials and surveys. More specifically, we analyze the effects of GM-crops on crop yields, seed costs, pesticide costs, and management and labor costs and finally gross margins. Based on collected data from studies on Bt cotton and Bt maize, statistical analyses are conducted to estimate the effect of GM crop adoption on these parameters. Our results show that, compared to conventional crops, GM crops can lead to yield increases and can lead to reductions in the costs of pesticide application, whereas seed costs are usually substantially higher. Thus, the results presented here do support the contention that the adoption of GM crops leads on average to a higher economic performance, which is also underlined by the high adoption rates for GM crops in a number of countries. However, the kind and magnitude of benefits from GM crops are very heterogeneous between countries and regions, particularly due to differences in pest pressure and pest management practices. Countries with poor pest management practices OPEN ACCESS Sustainability 2011, 3 744 benefited most from a reduction in yield losses, whereas other countries benefited from cost reductions. However, our study also reveals limitations for meta-analyses on farm-level costs and benefits of GM crops. In particular, published data are skewed towards some countries and the employed individual studies rely on different assumptions, purposes and methodologies (e.g., surveys and field trials). Furthermore, a summary of several (often) short-term individual studies may not necessarily capture long-term effects of GM crop adoption.</t>
  </si>
  <si>
    <t>2011-05</t>
  </si>
  <si>
    <t>743-762</t>
  </si>
  <si>
    <t>HD2D97WK</t>
  </si>
  <si>
    <t>Gallup, J. L.; Sachs, J. D.; Mellinger, A. D.</t>
  </si>
  <si>
    <t>Geography and Economic Development</t>
  </si>
  <si>
    <t>International Regional Science Review</t>
  </si>
  <si>
    <t>0160-0176</t>
  </si>
  <si>
    <t>10.1177/016001799761012334</t>
  </si>
  <si>
    <t>Location and climate have large effects on income levels and income growth through their effects on transport costs, disease burdens, and agricultural productivity,amongother channels.Geog- raphy also seems to affect economic policy choices.Manygeographic regions that have not been conducive to modern economic growth have high population densities and are experiencing rapid increases in population. At particular disadvantage are regions located far from coasts and ocean-navigable rivers, for which the transport costs of international trade are high, and tropical regions, which bear a heavy burden of disease. Moreover, a large portion of population growth over the next thirty years is expected to occur in these geographically disadvantaged regions.</t>
  </si>
  <si>
    <t>PE93G6XJ</t>
  </si>
  <si>
    <t>Galli, Alessandro; Wackernagel, Mathis; Iha, Katsunori; Lazarus, Elias</t>
  </si>
  <si>
    <t>Ecological Footprint: Implications for biodiversity</t>
  </si>
  <si>
    <t>00063207</t>
  </si>
  <si>
    <t>10.1016/j.biocon.2013.10.019</t>
  </si>
  <si>
    <t>In October 2010, world leaders gathered in Nagoya, Japan, for the CBD COP10 and agreed on the adoption of new biodiversity targets and new indicators for the period 2011–2020. This represents a positive development. But given the previous failure in achieving the 2010 biodiversity targets, new approaches to implementation as well as relevant measuring and monitoring systems are needed, for this renewed effort to have lasting success in preserving biodiversity. The need to adopt a comprehensive approach in monitoring biodiversity clearly emerged and it can be seen in the five strategic goals within which the 2020 Aichi Biodiversity targets are classified. Among them, is the strategic goal A, which aims to address the underlying causes of biodiversity loss by mainstreaming biodiversity across government and society. The aim of this paper is to describe the role of the Ecological Footprint in tracking human-induced pressures on biodiversity thus providing a synthesis of how the Ecological Footprint tool can contribute to the advancement of conservation science. Information is provided on the main features of the Footprint indicator and its dataset, the ongoing work to improve the methodology as well as the geographical (more than 150 countries covered) and temporal coverage (a period of almost five decades) of the Ecological Footprint accounting tool.</t>
  </si>
  <si>
    <t>121-132</t>
  </si>
  <si>
    <t>173</t>
  </si>
  <si>
    <t>MUHZ53S8</t>
  </si>
  <si>
    <t>Fussell, Elizabeth; Hunter, Lori M.; Gray, Clark L.</t>
  </si>
  <si>
    <t>Measuring the environmental dimensions of human migration: The demographer's toolkit</t>
  </si>
  <si>
    <t>10.1016/j.gloenvcha.2014.07.001</t>
  </si>
  <si>
    <t>In recent years, the empirical literature linking environmental factors and human migration has grown rapidly and gained increasing visibility among scholars and the policy community. Still, this body of research uses a wide range of methodological approaches for assessing environment-migration relationships. Without comparable data and measures across a range of contexts, it is impossible to make generalizations that would facilitate the development of future migration scenarios. Demographic researchers have a large methodological toolkit for measuring migration as well as modeling its drivers. This toolkit includes population censuses, household surveys, survival analysis and multi-level modeling. This paper's purpose is to introduce climate change researchers to demographic data and methods and to review exemplary studies of the environmental dimensions of human migration. Our intention is to foster interdisciplinary understanding and scholarship, and to promote high quality research on environment and migration that will lead toward broader knowledge of this association.</t>
  </si>
  <si>
    <t>B489E4P4</t>
  </si>
  <si>
    <t>Galli, Alessandro; Giampietro, Mario; Goldfinger, Steve; Lazarus, Elias; Lin, David; Saltelli, Andrea; Wackernagel, Mathis; Müller, Felix</t>
  </si>
  <si>
    <t>Questioning the Ecological Footprint</t>
  </si>
  <si>
    <t>1470160X</t>
  </si>
  <si>
    <t>10.1016/j.ecolind.2016.04.014</t>
  </si>
  <si>
    <t>In this perspective paper a critical discussion about the concept of the Ecological Footprint is documented based on 10 questions which are answered from critical and supporting points-of-view. These key questions are directed toward the underlying research objectives of the approach, a comparison with similar concepts, the quantification methodology and its accuracy, the characteristics of the observed flows, the role of scales and resolutions, the implementation of food security, the utility of the ecological footprint for society, the political relevance of the concept and the differences from other international indicator systems.</t>
  </si>
  <si>
    <t>224-232</t>
  </si>
  <si>
    <t>69</t>
  </si>
  <si>
    <t>5Y7JMQ4T</t>
  </si>
  <si>
    <t>Gilman, Eric; Chopin, Francis; Suuronen, Petri; Kuemlangan, Blaise</t>
  </si>
  <si>
    <t>Abandoned, lost and discarded gillnets and trammel nets. Methods to estimate ghost fishing mortality, and the status of regional monitoring and management</t>
  </si>
  <si>
    <t>978-92-5-108917-0</t>
  </si>
  <si>
    <t>The ecological and socio-economic problems caused by abandoned, lost and discarded$\backslash$r$\backslash$nfishing gear (ALDFG) are increasingly of concern. Used primarily by coastal, artisanal,$\backslash$r$\backslash$nsmall-scale fisheries worldwide, marine gillnets and trammel nets, which have relatively$\backslash$r$\backslash$nhigh ghost fishing potential, account for about one-fifth of global marine fisheries$\backslash$r$\backslash$nlandings. FAO and the Global Programme of Action for the Protection of the Marine$\backslash$r$\backslash$nEnvironment from Land-based Activities, hosted by the United Nations Environment$\backslash$r$\backslash$nProgramme, as Secretariat for the Global Partnership on Marine Litter, commissioned$\backslash$r$\backslash$nthis study to identify best practices to estimate ghost fishing mortality rates and levels,$\backslash$r$\backslash$npriority research needs, and the status of international monitoring and management$\backslash$r$\backslash$nof ALDFG and ghost fishing by marine gillnet and trammel net fisheries. Accurate$\backslash$r$\backslash$nestimates of total ghost fishing mortality levels can be made given quality data on the$\backslash$r$\backslash$ndensity of ALDFG retaining fishing efficiency, duration of ghost fishing efficiency, and$\backslash$r$\backslash$ntotal ghost fishing mortality level of a unit of effort of ALDFG over the full period that$\backslash$r$\backslash$nthe derelict gear retains fishing efficiency. Recommendations to improve estimates of$\backslash$r$\backslash$nregional and global rates and levels of ghost fishing from ALDFG from marine gillnet$\backslash$r$\backslash$nand trammel net fisheries were made. An assessment was made and opportunities were$\backslash$r$\backslash$nidentified to improve intergovernmental organizations' data collection protocols and$\backslash$r$\backslash$nmanagement measures to prevent and remediate ALDFG and ghost fishing by marine$\backslash$r$\backslash$ngillnets and trammel nets.</t>
  </si>
  <si>
    <t>97 pp.</t>
  </si>
  <si>
    <t>600</t>
  </si>
  <si>
    <t>January</t>
  </si>
  <si>
    <t>YLLUN544</t>
  </si>
  <si>
    <t>Gibson, John; Rozelle, Scott</t>
  </si>
  <si>
    <t>Poverty and Access to Roads in Papua New Guinea</t>
  </si>
  <si>
    <t>Economic Development and Cultural Change</t>
  </si>
  <si>
    <t>10.1086/380424</t>
  </si>
  <si>
    <t>159-185</t>
  </si>
  <si>
    <t>ZZU9AI2P</t>
  </si>
  <si>
    <t>Ghani, Ejaz; Goswami, Arti Grover; Kerr, William R.</t>
  </si>
  <si>
    <t>Highway to Success: The Impact of the Golden Quadrilateral Project for the Location and Performance of Indian Manufacturing</t>
  </si>
  <si>
    <t>The Economic Journal</t>
  </si>
  <si>
    <t>1468-0297</t>
  </si>
  <si>
    <t>10.1111/ecoj.12207</t>
  </si>
  <si>
    <t>317-357</t>
  </si>
  <si>
    <t>591</t>
  </si>
  <si>
    <t>126</t>
  </si>
  <si>
    <t>A23KPW3L</t>
  </si>
  <si>
    <t>Gereffi, Gary; Humphrey, John; Sturgeon, Timothy</t>
  </si>
  <si>
    <t>The governance of global value chains</t>
  </si>
  <si>
    <t>Review of International Political Economy</t>
  </si>
  <si>
    <t>09692290</t>
  </si>
  <si>
    <t>10.1080/09692290500049805</t>
  </si>
  <si>
    <t>This article builds a theoretical framework to help explain governance patterns in global value chains. It draws on three streams of literature – transaction costs economics, production networks, and technological capability and firm-level learning – to identify three variables that play a large role in determining how global value chains are governed and change. These are: (1) the complexity of transactions, (2) the ability to codify transactions, and (3) the capabilities in the supply-base. The theory generates five types of global value chain governance – hierarchy, captive, relational, modular, and market – which range from high to low levels of explicit coordination and power asymmetry. The article highlights the dynamic and overlapping nature of global value chain governance through four brief industry case studies: bicycles, apparel, horticulture and electronics.</t>
  </si>
  <si>
    <t>78-104</t>
  </si>
  <si>
    <t>PJWBWT4M</t>
  </si>
  <si>
    <t>Garmendia, Eneko; Urkidi, Leire; Arto, Iñaki; Barcena, Iñaki; Bermejo, Roberto; Hoyos, David; Lago, Rosa</t>
  </si>
  <si>
    <t>Tracing the impacts of a northern open economy on the global environment</t>
  </si>
  <si>
    <t>10.1016/j.ecolecon.2016.02.011</t>
  </si>
  <si>
    <t>The globalization of the world economy has increased resource flows around the planet, raising pressures on the environment. Historically, northern industrialized economies have been responsible for the majority of resource consumption, while developing countries have suffered the associated social and environmental impacts. This article analyzes the extra-territorial responsibility of the Basque economy (Europe), to illustrate the responsibility of northern open economies towards the global environment. To do this, we: (i) analyze the material and energy flows of the Basque economy, their source and impacts on other regions of the world, (ii) study the impact of the economic and investment activities of Basque companies abroad, and (iii) examine, together with other paradigmatic examples, three case studies from Latin-America, East Africa and Southeast Asia that represent the liabilities of northern economies in the Global South. This approach allows us to connect production and consumption processes in affluent countries with associated socio-ecological impacts in the extraction frontiers in order to better understand and potentially transform current economic patterns and their consequences. In addition, the study indicates how to bridge the gap between local and global scales, creating a useful approach to raising social awareness and informing public policies in resource intensive societies.</t>
  </si>
  <si>
    <t>NB6Z3CY6</t>
  </si>
  <si>
    <t>Golden, Christopher D.; Seto, Katherine L.; Dey, Madan M.; Chen, Oai L.; Gephart, Jessica; Myers, Samuel S.; Smith, Matthew; Vaitla, Bapu; Allison, Edward Hugh</t>
  </si>
  <si>
    <t>Does Aquaculture Support the Needs of Nutritionally Vulnerable Nations?</t>
  </si>
  <si>
    <t>10.3389/FMARS.2017.00159</t>
  </si>
  <si>
    <t>Aquaculture now supplies half of the fish consumed directly by humans. We evaluate whether aquaculture, given current patterns of production and distribution, supports the needs of poor and food-insecure populations throughout the world. We begin by identifying 41 seafood-reliant nutritionally vulnerable nations (NVNs), and ask whether aquaculture meets human nutritional demand directly via domestic production or trade, or indirectly via purchase of nutritionally rich dietary substitutes. We find that a limited number of NVNs have domestically farmed seafood, and of those, only specific aquaculture approaches (e.g. freshwater) in some locations have the potential to benefit nutritionally vulnerable populations. While assessment of aquaculture's direct contribution via trade is constrained by data limitations, we find that it is unlikely to contribute substantially to human nutrition in vulnerable groups, as most exported aquaculture consists of high-value species for international markets. We also determine that subpopulations who benefit from aquaculture profits are likely not the same subpopulations who are nutritionally vulnerable, and more research is needed to understand the impacts of aquaculture income gains. Finally, we discuss the relationship of aquaculture to existing trends in capture fisheries in NVNs, and suggest strategies to create lasting solutions to nutritional security, without exacerbating existing challenges in access to food and land resources.</t>
  </si>
  <si>
    <t>159</t>
  </si>
  <si>
    <t>2QIAZZCR</t>
  </si>
  <si>
    <t>Goeminne, Gert; Paredis, Erik</t>
  </si>
  <si>
    <t>The concept of ecological debt: Some steps towards an enriched sustainability paradigm</t>
  </si>
  <si>
    <t>Environment, Development and Sustainability</t>
  </si>
  <si>
    <t>1387585X</t>
  </si>
  <si>
    <t>10.1007/s10668-009-9219-y</t>
  </si>
  <si>
    <t>In this paper, we elaborate on the concept of ecological debt. Starting from the enriching environmental justice perspectives, this grass-roots concept has to offer to sustainability discourse, a broad conceptual discussion is presented resulting in a working definition for ecological debt. In elaborating on this definition, we try both to accommodate these enriching perspectives and to offer a more robust conceptualisation that is applicable in international sustainability discourse. Also, a scientifically sound methodology is presented which allows quantifying different aspects of ecological debt. Finally, both the conceptual analysis as well as the quantification method is applied to the case of climate change.</t>
  </si>
  <si>
    <t>NQA79ZBL</t>
  </si>
  <si>
    <t>Godoy, Ricardo; Reyes-García, Victoria; Broesch, James; Fitzpatrick, Ian C.; Giovannini, Peter; Rodríguez, María Ruth Martínez; Huanca, Tomás; Leonard, William R.; McDade, Thomas W.; Tanner, Susan; Team, Taps Bolivia Study</t>
  </si>
  <si>
    <t>Long-Term (Secular) Change of Ethnobotanical Knowledge of Useful Plants: Separating Cohort and Age Effects</t>
  </si>
  <si>
    <t>Journal of Anthropological Research</t>
  </si>
  <si>
    <t>0091-7710</t>
  </si>
  <si>
    <t>10.3998/jar.0521004.0065.105</t>
  </si>
  <si>
    <t>Anthropologists, conservation biologists, and psychologists have generally found a long-term (secular) decline of ethnobotanical knowledge among indigenous people. To estimate such knowledge loss, researchers have typically relied on a single cross-sectional data set to (a) measure knowledge among people of different ages, (b) compare measures between ages, and (c) infer a loss of knowledge if the old knew more than the young. We improve on the approach by simultaneously controlling for cohort effects and age effects—the first refers to the effect of the birth period and the second refers to the effect of the life cycle (or aging). Failure to simultaneously control for both effects may produce the misleading impression that the old know more than the young, and the conclusion that the difference reflects a secular loss of knowledge when in fact it may reflect different positions in the life cycle. We use data collected during 2005 from a native Amazonian society of foragers-farmers in Bolivia (Tsimane') t...</t>
  </si>
  <si>
    <t>51-67</t>
  </si>
  <si>
    <t>V4NUYSC7</t>
  </si>
  <si>
    <t>Gilmour, Don</t>
  </si>
  <si>
    <t>Forty years of community-based forestry: A review of its extent and effectiveness</t>
  </si>
  <si>
    <t>FAO</t>
  </si>
  <si>
    <t>RYSLLQER</t>
  </si>
  <si>
    <t>Goldemberg, José</t>
  </si>
  <si>
    <t>Leapfrog energy technologies</t>
  </si>
  <si>
    <t>Energy Policy</t>
  </si>
  <si>
    <t>03014215</t>
  </si>
  <si>
    <t>10.1016/S0301-4215(98)00025-1</t>
  </si>
  <si>
    <t>Growth and development which are the fundamental aspirations of seventy percent of the world's population can lead to disastrous consequences from the environmental viewpoint if the patterns of consumption in use in developed countries were to be adopted by developing countries. It is argued that this disastrous course of events can be avoided 'leafrogging' the steps followed in the past by industrialized countries incorporating currently-available modern and efficient technologies early in their development process. Several examples are given in the energy area. A discussion is also made of the policies required to promote 'leapfrog' technologies.</t>
  </si>
  <si>
    <t>LLSRJMEI</t>
  </si>
  <si>
    <t>Glew, L.; Hudson, M. D.</t>
  </si>
  <si>
    <t>Gorillas in the midst: the impact of armed conflict on the conservation of protected areas in sub-Saharan Africa</t>
  </si>
  <si>
    <t>Oryx</t>
  </si>
  <si>
    <t>10.1017/S0030605307001755</t>
  </si>
  <si>
    <t>140-150</t>
  </si>
  <si>
    <t>41</t>
  </si>
  <si>
    <t>SYGN9TPD</t>
  </si>
  <si>
    <t>Gleick, Peter H.</t>
  </si>
  <si>
    <t>Water, Drought, Climate Change, and Conflict in Syria</t>
  </si>
  <si>
    <t>Weather, Climate, and Society</t>
  </si>
  <si>
    <t>1948-8327</t>
  </si>
  <si>
    <t>10.1175/WCAS-D-13-00059.1</t>
  </si>
  <si>
    <t>AbstractThe devastating civil war that began in Syria in March 2011 is the result of complex interrelated factors. The focus of the conflict is regime change, but the triggers include a broad set of religious and sociopolitical factors, the erosion of the economic health of the country, a wave of political reform sweeping over the Middle East and North Africa (MENA) and Levant region, and challenges associated with climate variability and change and the availability and use of freshwater. As described here, water and climatic conditions have played a direct role in the deterioration of Syria?s economic conditions. There is a long history of conflicts over water in these regions because of the natural water scarcity, the early development of irrigated agriculture, and complex religious and ethnic diversity. In recent years, there has been an increase in incidences of water-related violence around the world at the subnational level attributable to the role that water plays in development disputes and economic activities. Because conflicts are rarely, if ever, attributable to single causes, conflict analysis and concomitant efforts at reducing the risks of conflict must consider a multitude of complex relationships and contributing factors. This paper assesses the complicated connections between water and conflict in Syria, looks more broadly at future climate-related risks for water systems, and offers some water management strategies for reducing those risks.</t>
  </si>
  <si>
    <t>2014-03</t>
  </si>
  <si>
    <t>331-340</t>
  </si>
  <si>
    <t>DAAF3ZUA</t>
  </si>
  <si>
    <t>Giordano, Mark F.; Giordano, Meredith A.; Wolf, Aaron T.</t>
  </si>
  <si>
    <t>International Resource Conflict and Mitigation</t>
  </si>
  <si>
    <t>Journal of Peace Research</t>
  </si>
  <si>
    <t>0022-3433</t>
  </si>
  <si>
    <t>10.1177/0022343305049666</t>
  </si>
  <si>
    <t>Resource availability is frequently linked with historic and potential international conflict. Conventional wisdom holds that international resource conflict occurs in locations where growing resource demand and declining supplies are greatest. While relative scarcity is undoubtedly an element driving international resource dispute, a focus on supply and demand measures alone is insufficient to understand international conflict potential, because of the pervasive willingness of nations to construct regimes, structures, and frameworks – that is, institutions – for dispute mitigation. However, institutions for regulating the use of internationally scarce resources sometimes fail to develop, and when they do, they are not always sufficiently resilient to deal with changing political and resource environments. Thus, international resource conflict is most likely to occur where there exist both resource scarcity and insufficient institutional capacity to deal with it. In particular, conflict is most likely to emerge in those areas where (1) resource sovereignty is ill defined or non-existent, (2) existing institutional regimes are destroyed by political change, and/or (3) rapid changes in resource environments outpace the capacity of institutions to deal with the change. A mitigation strategy for potential international resource conflict is the construction of resilient resource management institutions, along with the improvement of existing institutions. To be most effective, these institutions should be clear in terms of resource allocation and quality control; be constructed with an intrinsic ability to adjust to changing political and environmental conditions; promote positive-sum solutions to resource problems; and incorporate structured conflict resolution mechanisms.</t>
  </si>
  <si>
    <t>URM4TXET</t>
  </si>
  <si>
    <t>Fehske, A.; Fettweis, G.; Malmodin, J.; Biczok, G.</t>
  </si>
  <si>
    <t>The global footprint of mobile communications: The ecological and economic perspective</t>
  </si>
  <si>
    <t>IEEE Communications Magazine</t>
  </si>
  <si>
    <t>0163-6804 VO - 49</t>
  </si>
  <si>
    <t>10.1109/MCOM.2011.5978416</t>
  </si>
  <si>
    <t>55-62</t>
  </si>
  <si>
    <t>49</t>
  </si>
  <si>
    <t>MQ7DA4PA</t>
  </si>
  <si>
    <t>Feldt, Heidi</t>
  </si>
  <si>
    <t>Natural Resources and Conflict</t>
  </si>
  <si>
    <t>Hollywood depicted it in graphic fashion: the film " Blood Diamond " tells the story of the battle for control of the diamond mines in the West African country of Sierra Leone and its brutal consequences for its people. The diamond trade's role in financing the wars in Angola, Liberia and Sierra Leone led to international condemnation of the trade in " conflict diamonds" and the launch of the Kimberley Process. The links between conflict and the extraction of a given resource are not always so clear-cut, however, and a country's resource wealth does not necessarily lead to violent conflict, as the examples of Norway and Canada, but also Botswana and Chile show. Yet resource-rich countries do appear to be more susceptible to conflict than the resource-poor. This risk seems to be greatest when resource extraction accounts for a substantial proportion (around 30%) of GDP 1 : in other words, in countries which are largely dependent on the export of primary commo-dities such as metal ores, oil and gas. This does not apply to countries with major oil fields and a small population, such as Brunei, Dubai and Kuwait, which can use the substantial revenues generated by their oil exports to purchase social peace. Yet in most resource dependent economically poor countries in Africa, Latin America and Asia, resource extraction is linked to conflict. So the question is this: which role do natural resources play in conflicts?</t>
  </si>
  <si>
    <t>Heinrich Böll Stiftung</t>
  </si>
  <si>
    <t>Z3SXV3QQ</t>
  </si>
  <si>
    <t>Feely, Richard A.; Sabine, Christopher L.; Lee, Kitack; Berelson, Will; Kleypas, Joanie; Fabry, Victoria J.; Millero, Frank J.; Anonymous</t>
  </si>
  <si>
    <t>Rising atmospheric carbon dioxide (CO (sub 2) ) concentrations over the past two centuries have led to greater CO (sub 2) uptake by the oceans. This acidification process has changed the saturation state of the oceans with respect to calcium carbonate (CaCO (sub 3) ) particles. Here we estimate the in situ CaCO (sub 3) dissolution rates for the global oceans from total alkalinity and chlorofluorocarbon data, and we also discuss the future impacts of anthropogenic CO (sub 2) on CaCO (sub 3) shell-forming species. CaCO (sub 3) dissolution rates, ranging from 0.003 to 1.2 micromoles per kilogram per year, are observed beginning near the aragonite saturation horizon. The total water column CaCO (sub 3) dissolution rate for the global oceans is approximately 0.5+ or -0.2 petagrams of CaCO (sub 3) -C per year, which is approximately 45 to 65% of the export production of CaCO (sub 3) .</t>
  </si>
  <si>
    <t>KCNGW2PP</t>
  </si>
  <si>
    <t>Fiorella, Kathryn J.; Milner, Erin M.; Salmen, Charles R.; Hickey, Matthew D.; Omollo, Dan O.; Odhiambo, Abdi; Mattah, Brian; Bukusi, Elizabeth A.; Fernald, Lia C. H.; Brashares, Justin S.</t>
  </si>
  <si>
    <t>Human health alters the sustainability of fishing practices in East Africa</t>
  </si>
  <si>
    <t>Proceedings of the National Academy of Sciences of the United States of America</t>
  </si>
  <si>
    <t>1091-6490</t>
  </si>
  <si>
    <t>10.1073/pnas.1613260114</t>
  </si>
  <si>
    <t>Understanding feedbacks between human and environmental health is critical for the millions who cope with recurrent illness and rely directly on natural resources for sustenance. Although studies have examined how environmental degradation exacerbates infectious disease, the effects of human health on our use of the environment remains unexplored. Human illness is often tacitly assumed to reduce human impacts on the environment. By this logic, ill people reduce the time and effort that they put into extractive livelihoods and, thereby, their impact on natural resources. We followed 303 households living on Lake Victoria, Kenya over four time points to examine how illness influenced fishing. Using fixed effect conditional logit models to control for individual-level and time-invariant factors, we analyzed the effect of illness on fishing effort and methods. Illness among individuals who listed fishing as their primary occupation affected their participation in fishing. However, among active fishers, we found limited evidence that illness reduced fishing effort. Instead, ill fishers shifted their fishing methods. When ill, fishers were more likely to use methods that were illegal, destructive, and concentrated in inshore areas but required less travel and energy. Ill fishers were also less likely to fish using legal methods that are physically demanding, require travel to deep waters, and are considered more sustainable. By altering the physical capacity and outlook of fishers, human illness shifted their effort, their engagement with natural resources, and the sustainability of their actions. These findings show a previously unexplored pathway through which poor human health may negatively impact the environment.</t>
  </si>
  <si>
    <t>4171-4176</t>
  </si>
  <si>
    <t>114</t>
  </si>
  <si>
    <t>6XIP2RB8</t>
  </si>
  <si>
    <t>Finus, M.; Saiz, M. E.; Hendrix, E. M. T.</t>
  </si>
  <si>
    <t>An empirical test of new developments in coalition theory for the design of international environmental agreements</t>
  </si>
  <si>
    <t>Environment and Development Economics</t>
  </si>
  <si>
    <t>10.1017/s1355770x08004634</t>
  </si>
  <si>
    <t>We consider new developments in coalition theory for the design of international environmental agreements (IEAs). Applying an empirical model on climate change that comprises benefit and cost estimates from abatement for 12 world regions, we analyze how the design of an agreement affects the success of self-enforcing IEAs. We analyze single versus multiple coalitions, open versus exclusive membership with majority and unanimity voting, and no transfers versus transfers with four different transfer schemes.</t>
  </si>
  <si>
    <t>NUIKG9VY</t>
  </si>
  <si>
    <t>Flues, Florens; Thomas, Alastair</t>
  </si>
  <si>
    <t>The distributional effects of energy taxes</t>
  </si>
  <si>
    <t>New evidence for 21 OECD countries shows that the distributional effects of energy taxes differ by energy carrier. On an expenditure basis, taxes on transport fuels are not regressive on average, as households in lower expenditure deciles spend a lower proportion of their expenditure on taxes on transport fuels. While the unweighted 21-country average of the proportion of income spent on transport fuel taxes is highest for households in the lowest and in the middle deciles, there is heterogeneity across countries. Some countries show progressive effects of taxes on transport fuels both on an expenditure and an income basis, while others show more proportional effects or tend to place the highest burden on middle expenditure deciles. Taxes on heating fuels are slightly regressive, i.e., the percentage of expenditure spent on them decreases with expenditure. Taxes on electricity are more regressive than taxes on heating fuels.</t>
  </si>
  <si>
    <t>English</t>
  </si>
  <si>
    <t>AF9JM5YR</t>
  </si>
  <si>
    <t>Fitter, Robert; Kaplinksy, Raphael</t>
  </si>
  <si>
    <t>Who Gains from Product Rents as the Coffee Market Becomes More Differentiated? A Value‐chain Analysis</t>
  </si>
  <si>
    <t>IDS Bulletin</t>
  </si>
  <si>
    <t>10.1111/j.1759-5436.2001.mp32003008.x</t>
  </si>
  <si>
    <t>Summaries This article applies value‐chain analysis to an agricultural ‘commodity', which is in the process of significant change in final product markets. By focusing on the capacity of value‐chain analysis to map input‐output relations, and by identifying power asymmetries along the chain, it is possible to analyse the factors explaining inter‐country distributional outcomes in this sector. A major conclusion is that we are witnessing a simultaneous process of power concentration in importing countries and power deconcentration in producing countries. It is hypothesised that similar trends can be observed in other agricultural‐based value chains.</t>
  </si>
  <si>
    <t>69-82</t>
  </si>
  <si>
    <t>N4QRHYD4</t>
  </si>
  <si>
    <t>Ferraro, Paul J.; Lawlor, Kathleen; Mullan, Katrina L.; Pattanayak, Subhrendu K.</t>
  </si>
  <si>
    <t>Forest Figures : Ecosystem Services Valuation and Policy Evaluation in Developing Countries</t>
  </si>
  <si>
    <t>Review of Environmental Economics and Policy</t>
  </si>
  <si>
    <t>10.1093/reep/rer019</t>
  </si>
  <si>
    <t>20-44</t>
  </si>
  <si>
    <t>LDCUXLNH</t>
  </si>
  <si>
    <t>Foltz, Richard C.; Denny, Frederick Mathewson; Azizan Haji, Baharuddin</t>
  </si>
  <si>
    <t>Islam and ecology : a bestowed trust</t>
  </si>
  <si>
    <t>978-0-945454-39-7</t>
  </si>
  <si>
    <t>Introduction / Richard C. Foltz – Toward an understanding of environmental ethics from a Qur'anic perspective / Ibrahim Özdemir – The universe alive : nature in the Masnavī of Jalal al-Din Rumi / L. Clarke – Fitra : an Islamic model for humans and the environment / Saadia Khawar Khan Chishti – Islam, the contemporary Islamic world, and the environmental crisis / Seyyed Hossein Nasr – Islam and the environment : theory and practice / Mawil Izzi Dien – Islam and ecology : toward retrieval and reconstruction / S. Nomanul Haq. Peace in Islam : an ecology of the spirit / Abdul Aziz Said and Nathan C. Funk – The basis for a discipline of Islamic environmental law / Othman Abd-ar-Rahman Llewellyn – Islamic environmentalism : a matter of interpretation / Richard C. Foltz – Toward an Islamic ecotheology / Kaveh L. Afrasiabi – Islam, ecology, and modernity : an Islamic critique of the root causes of environmental degradation / Fazlun M. Khalid – The environmental crisis of our time : a Muslim response / Yasin Dutton. Islam, Muslim society, and environmental concerns : a development model based on Islam's organic society / Hashim Ismail Dockrat – Ecological justice and human rights for women in Islam / Nawal Ammar – Scientific innovation and al-Mīzān / Mohammad Aslam Parvaiz – Capacity building for sustainable development : the dilemma of Islamization of environmental institutions / Safei-Eldin A. Hamed – Islam, the environment, and family planning : the cases of Egypt and Iran / Nancy W. Jabbra and Joseph G. Jabbra – Ecological journey in Muslim Bengal / Mohammad Yusuf Siddiq. Islam in Malaysia's planning and development doctrine / Abu Bakar Abdul Majeed – Aga Khan development network : an ethic of sustainable development and social conscience / Tazim R. Kassam – Nature in Islamic urbanism : the garden in practice and in metaphor / Attilio Petruccioli – From the gardens of the Qur'an to the "gardens" of Lahore / James L. Wescoat, Jr. – Trees as ancestors : ecofeminism and the poetry of Forugh Farrokhzad / Farzaneh Milani.</t>
  </si>
  <si>
    <t>584</t>
  </si>
  <si>
    <t>Harvard University Press</t>
  </si>
  <si>
    <t>PSSS73TY</t>
  </si>
  <si>
    <t>Fogel, Robert W.</t>
  </si>
  <si>
    <t>Nutrition and the Decline in Mortality since 1700: Some Preliminary Findings</t>
  </si>
  <si>
    <t>Long-Term Factors in American Economic Growth</t>
  </si>
  <si>
    <t>1986</t>
  </si>
  <si>
    <t>439-556</t>
  </si>
  <si>
    <t>University of Chicago Press</t>
  </si>
  <si>
    <t>Engerman, Stanley L.; Gallman, Robert E.</t>
  </si>
  <si>
    <t>TJUX5RU4</t>
  </si>
  <si>
    <t>Fox, Helen E.; Mascia, Michael B.; Basurto, Xavier; Costa, Alice; Glew, Louise; Heinemann, Dennis; Karrer, Leah B.; Lester, Sarah E.; Lombana, Alfonso V.; Pomeroy, Robert S.; Recchia, Cheri A.; Roberts, Callum M.; Sanchirico, James N.; Pet-Soede, Lida; White, Alan T.</t>
  </si>
  <si>
    <t>Reexamining the science of marine protected areas: Linking knowledge to action</t>
  </si>
  <si>
    <t>Conservation Letters</t>
  </si>
  <si>
    <t>1755263X</t>
  </si>
  <si>
    <t>10.1111/j.1755-263X.2011.00207.x</t>
  </si>
  <si>
    <t>Marine protected areas (MPAs) are often implemented to conserve or restore species, fisheries, habitats, ecosystems, and ecological functions and services; buffer against the ecological effects of climate change; and alleviate poverty in coastal communities. Scientific research provides valuable insights into the social and ecological impacts of MPAs, as well as the factors that shape these impacts, providing useful guidance or “rules of thumb” for science-based MPA policy. Both ecological and social factors foster effective MPAs, including substantial coverage of representative habitats and oceanographic conditions; diverse size and spacing; protection of habitat bottlenecks; participatory decision-making arrangements; bounded and contextually appropriate resource use rights; active and accountable monitoring and enforcement systems; and accessible conflict resolution mechanisms. For MPAs to realize their full potential as a tool for ocean governance, further advances in policy-relevant MPA science are required. These research frontiers include MPA impacts on nontarget and wide-ranging species and habitats; impacts beyond MPA boundaries, on ecosystem services, and on resource-dependent human populations, as well as potential scale mismatches of ecosystem service flows. Explicitly treating MPAs as “policy experiments” and employing the tools of impact evaluation holds particular promise as a way for policy-relevant science to inform and advance science-based MPA policy.</t>
  </si>
  <si>
    <t>MAFZYFNV</t>
  </si>
  <si>
    <t>Forman, Richard T. T.; Alexander, L. E.</t>
  </si>
  <si>
    <t>Roads and their major ecological effects</t>
  </si>
  <si>
    <t>Annual Review of Ecology and Systematics</t>
  </si>
  <si>
    <t>10.1146/annurev.ecolsys.29.1.207</t>
  </si>
  <si>
    <t>A huge road network with vehicles ramifies across the land, representing a surprising frontier of ecology. Species-rich roadsides are conduits for few species. Roadkills are a premier mortality source, yet except for local spots, rates rarely limit population size. Road avoidance, especially due to traffic noise, has a greater ecological impact. The still-more-important barrier effect subdivides populations, with demographic and probably genetic consequences. Road networks crossing landscapes cause local hydrologic and erosion effects, whereas stream networks and distant valleys receive major peak-flow and sediment impacts. Chemical effects mainly occur near roads. Road networks interrupt horizontal ecological flows, alter landscape spatial pattern, and therefore inhibit important interior species. Thus, road density and network structure are informative landscape ecology assays. Australia has huge road-reserve networks of native vegetation, whereas the Dutch have tunnels and overpasses perforating road barriers to enhance ecological flows. Based on road-effect zones, an estimated 15–20% of the United States is ecologically impacted by roads.</t>
  </si>
  <si>
    <t>207-231</t>
  </si>
  <si>
    <t>29</t>
  </si>
  <si>
    <t>6V2CMB49</t>
  </si>
  <si>
    <t>Ford, Richard Thompson</t>
  </si>
  <si>
    <t>The boundaries of race: Political geography in legal analysis</t>
  </si>
  <si>
    <t>Harvard Law Review</t>
  </si>
  <si>
    <t>0017811X</t>
  </si>
  <si>
    <t>10.2307/1341760</t>
  </si>
  <si>
    <t>American jurists and legal scholars often assume that local governments are mere administrative conveniences that exist at the pleasure of state legislatures, and that local boundaries are entirely arbitrary and largely inconsequential. At the same time, the same people often treat local govern- ments as if they were sacrosanct, "natural" entities. In this Article, Professor Ford exposes the equivocation that underlies the American law of local government, and traces it back to a tension between two opposing conceptions of "political space." This conceptual equivocation is more than an academic embarrassment it has profound consequences for race relations in America. Drawing on an economic model, Professor Ford demonstrates that, in a world in which racism had been eliminated, institutional inattention to the political char- acter of space would result in the perpetuation of racial segregation with all of its attendant problems. What follows is a detailed discussion of the Supreme Court's local-government jurisprudence, from which it appears that the Justices' inability to sort out their conceptions of political space has a very real, and disturbing, impact on the life of the nation. Nor is the problem confined to the courts - it is also reflected in the normative political principles that inform judicial decisionmaking. But though the legal situa- tion is troubled, Professor Ford is hopeful that it is not beyond repair. He identifies legal precedent for a sophisticated approach to the complexities of political space that could go some way toward solving the problem. The Article concludes with a series of proposals intended to show how the courts and the country might begin to chart a course toward the ideal of a racially desegregated society.</t>
  </si>
  <si>
    <t>9HCY76XH</t>
  </si>
  <si>
    <t>Fu, Xiaolan; Pietrobelli, Carlo; Soete, Luc</t>
  </si>
  <si>
    <t>The Role of Foreign Technology and Indigenous Innovation in the Emerging Economies: Technological Change and Catching-up</t>
  </si>
  <si>
    <t>10.1016/j.worlddev.2010.05.009</t>
  </si>
  <si>
    <t>This article explores in depth the role of indigenous and foreign innovation efforts in technological change and catching up and their interactions in the emerging economies. It presents original evidence and argues that, despite the potential offered by globalization and a liberal trade regime, the benefits of international technology diffusion can only be delivered with parallel indigenous innovation efforts and the presence of modern institutional and governance structures and conducive innovation systems. This conclusion is compounded by the expected inappropriateness of Northern technology for countries in the developing South that calls for greater efforts to develop indigenous innovation. In this sense, indigenous and foreign innovation efforts are complementary. © 2011 Elsevier Ltd.</t>
  </si>
  <si>
    <t>NRFDDBNR</t>
  </si>
  <si>
    <t>Friedrich, Tobias; Timmermann, Axel; Tigchelaar, Michelle; Elison Timm, Oliver; Ganopolski, Andrey</t>
  </si>
  <si>
    <t>Global mean surface temperatures are rising in response to anthropogenic greenhouse gas emissions. The magnitude of this warming at equilibrium for a given radiative forcing{$\backslash$textemdash}referred to as specific equilibrium climate sensitivity (S){$\backslash$textemdash}is still subject to uncertainties. We estimate global mean temperature variations and S using a 784,000-year-long field reconstruction of sea surface temperatures and a transient paleoclimate model simulation. Our results reveal that S is strongly dependent on the climate background state, with significantly larger values attained during warm phases. Using the Representative Concentration Pathway 8.5 for future greenhouse radiative forcing, we find that the range of paleo-based estimates of Earth{$\backslash$textquoteright}s future warming by 2100 CE overlaps with the upper range of climate simulations conducted as part of the Coupled Model Intercomparison Project Phase 5 (CMIP5). Furthermore, we find that within the 21st century, global mean temperatures will very likely exceed maximum levels reconstructed for the last 784,000 years. On the basis of temperature data from eight glacial cycles, our results provide an independent validation of the magnitude of current CMIP5 warming projections.</t>
  </si>
  <si>
    <t>HZCSPZ25</t>
  </si>
  <si>
    <t>Friedman, K.; Garcia, S. M.; Rice, J.</t>
  </si>
  <si>
    <t>Mainstreaming biodiversity in fisheries</t>
  </si>
  <si>
    <t>0308-597X</t>
  </si>
  <si>
    <t>10.1016/j.marpol.2018.03.001</t>
  </si>
  <si>
    <t>Biodiversity mainstreaming, the consideration of biodiversity across fisheries and the range of actions taken by both fisheries and conservation governance streams is the subject of this paper. Evidence is presented that the global fishery community incrementally adopted sustainable development principles from both before and after the 1992 adoption of the Convention on Biological Diversity, integrating a broader set of ecosystems goals into fisheries. Actions taken by the Food and Agriculture Organization of the United Nations (FAO) and regional and national fishery agencies to fulfil their mandate are discussed, in addition to objectives for more sustainable fisheries that have led to significant expansions in legal frameworks, policies and practices in terms of biodiversity conservation. The paper also highlights the growing importance of cross-sectoral cooperation in the resolution of historical disagreements between fisheries and environmental interests, in spite of the various sectoral interests. In this evolution, despite many target stocks not yet being sustainably managed, fisheries approaches are progressively focusing on a broader range of biodiversity considerations, whereas conservation interests are increasingly adopting more socially inclusive approaches. Looking ahead to the future, biodiversity conservation will continue to be of growing importance in fisheries, and presented here, are examples of how past and on-going developments in fisheries challenge the pessimistic picture promoted by some environment-focused advocacy papers. To continue this successful mainstreaming, greater implementation efforts are needed to deliver outcomes at all scales, requiring greater capacity, particularly in developing countries and strengthening of investment in integrated partnerships between fisheries and environment sectors.</t>
  </si>
  <si>
    <t>209-220</t>
  </si>
  <si>
    <t>ZS7GWKXA</t>
  </si>
  <si>
    <t>Freeman, A. Myrick; Herriges, Joseph A.; Kling, Catherine L.</t>
  </si>
  <si>
    <t>The Measurement of Environmental and Resource Values</t>
  </si>
  <si>
    <t>U7LZ3HYQ</t>
  </si>
  <si>
    <t>Ferraro, Paul J.; Kiss, Agnes</t>
  </si>
  <si>
    <t>Direct Payments to Conserve Biodiversity</t>
  </si>
  <si>
    <t>10.1126/science.1078104</t>
  </si>
  <si>
    <t>http://science.sciencemag.org/content/298/5599/1718.abstract</t>
  </si>
  <si>
    <t>2002-11-29</t>
  </si>
  <si>
    <t>1718</t>
  </si>
  <si>
    <t>5599</t>
  </si>
  <si>
    <t>298</t>
  </si>
  <si>
    <t>BNBZSMBR</t>
  </si>
  <si>
    <t>Cochard, François; Willinger, Marc; Xepapadeas, Anastasios</t>
  </si>
  <si>
    <t>Efficiency of nonpoint source pollution instruments: An experimental study</t>
  </si>
  <si>
    <t>10.1007/s10640-004-5986-y</t>
  </si>
  <si>
    <t>In nonpoint source pollution problems, the regulator does not observe each polluter's individual emission, which prevents him from using the conventional policy instruments. Therefore, new instruments have been designed to regulate this type of pollution. In an experiment, we compare the efficiency of some of these instruments: an input-based tax, an ambient tax/subsidy,an ambient tax, and a group fine. We assume that polluters themselves are affected by environmental damages. A control session without any regulation is also carried out in order to study the "status quo” situation. Our experimental data show that the input tax and the ambient tax are very efficient and reliable, and the group. ne is fairly efficient and reliable. These instruments improve social welfare with respect to the status quo. On the contrary, the ambient tax/subsidy decreases social welfare with respect to the status quo, and its effect is very unreliable.</t>
  </si>
  <si>
    <t>2022-09-23 09:12:37</t>
  </si>
  <si>
    <t>2022-09-23T09:12:37Z</t>
  </si>
  <si>
    <t>393-422</t>
  </si>
  <si>
    <t>30</t>
  </si>
  <si>
    <t>CQJ3SWTN</t>
  </si>
  <si>
    <t>Contreras-Hermosilla, Arnoldo</t>
  </si>
  <si>
    <t>Forest law enforcement</t>
  </si>
  <si>
    <t>Development Forum, Forest Law Enforcement and Governance, The World Bank Group</t>
  </si>
  <si>
    <t>R2TUSFG2</t>
  </si>
  <si>
    <t>Church, John A.; White, Neil J.; Aarup, Thorkild; Wilson, W. Stanley; Woodworth, Philip L.; Domingues, Catia M.; Hunter, John R.; Lambeck, Kurt</t>
  </si>
  <si>
    <t>Sustainability Science</t>
  </si>
  <si>
    <t>2022-09-23 09:10:07</t>
  </si>
  <si>
    <t>2022-09-23T09:10:07Z</t>
  </si>
  <si>
    <t>9-22</t>
  </si>
  <si>
    <t>J2KT2VVS</t>
  </si>
  <si>
    <t>Coase, Ronald H.</t>
  </si>
  <si>
    <t>The problem of social cost</t>
  </si>
  <si>
    <t>Journal of law and economics</t>
  </si>
  <si>
    <t>10.1086/466560</t>
  </si>
  <si>
    <t>1960</t>
  </si>
  <si>
    <t>2022-09-23 09:09:27</t>
  </si>
  <si>
    <t>2022-09-23T09:09:27Z</t>
  </si>
  <si>
    <t>1-44</t>
  </si>
  <si>
    <t>LUWVG2IZ</t>
  </si>
  <si>
    <t>Cinner, J.</t>
  </si>
  <si>
    <t>Socioeconomic factors influencing customary marine tenure in the Indo-Pacific</t>
  </si>
  <si>
    <t>Ecology and society</t>
  </si>
  <si>
    <t>10.5751/ES-01364-100136</t>
  </si>
  <si>
    <t>2022-09-23 09:08:41</t>
  </si>
  <si>
    <t>2022-09-23T09:08:41Z</t>
  </si>
  <si>
    <t>JW25UMMJ</t>
  </si>
  <si>
    <t>Church, John A.; White, Neil J.; Hunter, John R.</t>
  </si>
  <si>
    <t>Global and Planetary Change</t>
  </si>
  <si>
    <t>2022-09-23 09:08:27</t>
  </si>
  <si>
    <t>2022-09-23T09:08:27Z</t>
  </si>
  <si>
    <t>155-168</t>
  </si>
  <si>
    <t>53</t>
  </si>
  <si>
    <t>92T6EPX9</t>
  </si>
  <si>
    <t>Constance, Douglas H.; Bonanno, Alessandro</t>
  </si>
  <si>
    <t>Regulating the global fisheries: The world wildlife fund, unilever, and the marine stewardship council</t>
  </si>
  <si>
    <t>Agriculture and Human Values</t>
  </si>
  <si>
    <t>10.1023/A:1007625606243</t>
  </si>
  <si>
    <t>2022-09-23 09:08:17</t>
  </si>
  <si>
    <t>2022-09-23T09:08:17Z</t>
  </si>
  <si>
    <t>125-139</t>
  </si>
  <si>
    <t>17</t>
  </si>
  <si>
    <t>X9Y2M7LD</t>
  </si>
  <si>
    <t>Costanza, Robert; Andrade, Francisco; Antunes, Paula; Van Den Belt, Marjan; Boersma, Dee; Boesch, Donald F.; Catarino, Fernando; Hanna, Susan; Limburg, Karin; Low, Bobbi; Others</t>
  </si>
  <si>
    <t>Principles for sustainable governance of the oceans</t>
  </si>
  <si>
    <t>10.1126/science.281.5374.198</t>
  </si>
  <si>
    <t>2022-09-23 09:07:59</t>
  </si>
  <si>
    <t>2022-09-23T09:07:59Z</t>
  </si>
  <si>
    <t>198-199</t>
  </si>
  <si>
    <t>5374</t>
  </si>
  <si>
    <t>281</t>
  </si>
  <si>
    <t>G6PADL49</t>
  </si>
  <si>
    <t>Clarke, Ronald V.; Rolf, A.</t>
  </si>
  <si>
    <t>Poaching, habitat loss and the decline of neotropical parrots: a comparative spatial analysis</t>
  </si>
  <si>
    <t>Journal of Experimental Criminology</t>
  </si>
  <si>
    <t>10.1007/s11292-013-9177-0</t>
  </si>
  <si>
    <t>2022-09-23 09:07:52</t>
  </si>
  <si>
    <t>2022-09-23T09:07:52Z</t>
  </si>
  <si>
    <t>333-353</t>
  </si>
  <si>
    <t>PUT4SSKR</t>
  </si>
  <si>
    <t>Coglianese, Cary; Lazer, David</t>
  </si>
  <si>
    <t>Management-based regulation: Prescribing private management to achieve public goals</t>
  </si>
  <si>
    <t>Law &amp; Society Review</t>
  </si>
  <si>
    <t>10.1046/j.0023-9216.2003.03703001.x</t>
  </si>
  <si>
    <t>2022-09-23 09:06:49</t>
  </si>
  <si>
    <t>2022-09-23T09:06:49Z</t>
  </si>
  <si>
    <t>691-730</t>
  </si>
  <si>
    <t>37</t>
  </si>
  <si>
    <t>ECHF6LY6</t>
  </si>
  <si>
    <t>Clark, Patrick; Martínez, Luciano</t>
  </si>
  <si>
    <t>Local alternatives to private agricultural certification in Ecuador: Broadening access to ‘new markets'?</t>
  </si>
  <si>
    <t>Journal of rural studies</t>
  </si>
  <si>
    <t>10.1016/j.jrurstud.2016.01.014</t>
  </si>
  <si>
    <t>2022-09-23 09:06:42</t>
  </si>
  <si>
    <t>2022-09-23T09:06:42Z</t>
  </si>
  <si>
    <t>292-302</t>
  </si>
  <si>
    <t>45</t>
  </si>
  <si>
    <t>GJKT2L4Y</t>
  </si>
  <si>
    <t>Choumert, Johanna; Motel, Pascale Combes; Dakpo, Hervé K.</t>
  </si>
  <si>
    <t>Is the Environmental Kuznets Curve for deforestation a threatened theory? A meta-analysis of the literature</t>
  </si>
  <si>
    <t>10.1016/j.ecolecon.2013.02.016</t>
  </si>
  <si>
    <t>2022-09-23 09:06:20</t>
  </si>
  <si>
    <t>2022-09-23T09:06:20Z</t>
  </si>
  <si>
    <t>19-28</t>
  </si>
  <si>
    <t>90</t>
  </si>
  <si>
    <t>4MPNX6U9</t>
  </si>
  <si>
    <t>Conway, Patrick; Shah, Manju</t>
  </si>
  <si>
    <t>Incentives, Exports and International Competitiveness in Sub-Saharan Africa: Lessons from the Apparel Industry</t>
  </si>
  <si>
    <t>2022-09-23 09:06:02</t>
  </si>
  <si>
    <t>2022-09-23T09:06:02Z</t>
  </si>
  <si>
    <t>P8I25CIB</t>
  </si>
  <si>
    <t>Coleman, Eric A.; Fleischman, Forrest D.</t>
  </si>
  <si>
    <t>Comparing forest decentralization and local institutional change in Bolivia, Kenya, Mexico, and Uganda</t>
  </si>
  <si>
    <t>10.1016/j.worlddev.2011.09.008</t>
  </si>
  <si>
    <t>2022-09-23 09:03:48</t>
  </si>
  <si>
    <t>2022-09-23T09:03:48Z</t>
  </si>
  <si>
    <t>836-849</t>
  </si>
  <si>
    <t>BALTH38C</t>
  </si>
  <si>
    <t>Cox, Michael; Arnold, Gwen; Tomás, Sergio Villamayor</t>
  </si>
  <si>
    <t>A review of design principles for community-based natural resource management</t>
  </si>
  <si>
    <t>10.5751/ES-03704-150438</t>
  </si>
  <si>
    <t>2022-09-23 09:02:18</t>
  </si>
  <si>
    <t>2022-09-23T09:02:18Z</t>
  </si>
  <si>
    <t>48HGNHDK</t>
  </si>
  <si>
    <t>Congleton, Roger D.</t>
  </si>
  <si>
    <t>Political institutions and pollution control</t>
  </si>
  <si>
    <t>The review of economics and statistics</t>
  </si>
  <si>
    <t>10.2307/2109485</t>
  </si>
  <si>
    <t>1992</t>
  </si>
  <si>
    <t>2022-09-23 09:00:22</t>
  </si>
  <si>
    <t>2022-09-23T09:00:22Z</t>
  </si>
  <si>
    <t>412-421</t>
  </si>
  <si>
    <t>2CH8J4ES</t>
  </si>
  <si>
    <t>Coad, Lauren; Leverington, Fiona; Knights, Kathryn; Geldmann, Jonas; Eassom, April; Kapos, Valerie; Kingston, Naomi; de Lima, Marcelo; Zamora, Camilo; Cuardros, Ivon; Nolte, Christoph; Burgess, Neil D.; Hockings, Marc</t>
  </si>
  <si>
    <t>Measuring impact of protected area management interventions: current and future use of the Global Database of Protected Area Management Effectiveness</t>
  </si>
  <si>
    <t>0962-8436, 1471-2970</t>
  </si>
  <si>
    <t>10.1098/rstb.2014.0281</t>
  </si>
  <si>
    <t>https://royalsocietypublishing.org/doi/10.1098/rstb.2014.0281</t>
  </si>
  <si>
    <t>Protected areas (PAs) are at the forefront of conservation efforts, and yet despite considerable progress towards the global target of having 17% of the world's land area within protected areas by 2020, biodiversity continues to decline. The discrepancy between increasing PA coverage and negative biodiversity trends has resulted in renewed efforts to enhance PA effectiveness. The global conservation community has conducted thousands of assessments of protected area management effectiveness (PAME), and interest in the use of these data to help measure the conservation impact of PA management interventions is high. Here, we summarize the status of PAME assessment, review the published evidence for a link between PAME assessment results and the conservation impacts of PAs, and discuss the limitations and future use of PAME data in measuring the impact of PA management interventions on conservation outcomes. We conclude that PAME data, while designed as a tool for local adaptive management, may also help to provide insights into the impact of PA management interventions from the local-to-global scale. However, the subjective and ordinal characteristics of the data present significant limitations for their application in rigorous scientific impact evaluations, a problem that should be recognized and mitigated where possible.</t>
  </si>
  <si>
    <t>2015-11-05</t>
  </si>
  <si>
    <t>2022-09-23 08:03:37</t>
  </si>
  <si>
    <t>2022-09-23T08:03:37Z</t>
  </si>
  <si>
    <t>2022-09-22 07:27:49</t>
  </si>
  <si>
    <t>20140281</t>
  </si>
  <si>
    <t>1681</t>
  </si>
  <si>
    <t>370</t>
  </si>
  <si>
    <t>Phil. Trans. R. Soc. B</t>
  </si>
  <si>
    <t>Measuring impact of protected area management interventions</t>
  </si>
  <si>
    <t>ipbes-global_chapter2.1_drivers; ipbes-global_chapter3; ipbes-global_chapter5; ipbes-global_chapter6</t>
  </si>
  <si>
    <t>RL7RSYSF</t>
  </si>
  <si>
    <t>Costello, Christopher; Ovando, Daniel; Hilborn, Ray; Gaines, Steven D.; Deschenes, Olivier; Lester, Sarah E.</t>
  </si>
  <si>
    <t>Status and Solutions for the World’s Unassessed Fisheries</t>
  </si>
  <si>
    <t>10.1126/science.1223389</t>
  </si>
  <si>
    <t>https://www.science.org/doi/10.1126/science.1223389</t>
  </si>
  <si>
    <t>First, Find Fish                            While salmon, cod, and tuna fisheries are regularly monitored and assessed, this is not the case for about 80% of the fish species harvested throughout the world.                                Costello                 et al.                              (p.               517               published online 27 September; see the Perspective by                                Pikitch                              ) used a model that integrates harvest, population, and ecological data to estimate the status of unassessed fisheries, based on ecologically analogous, regularly assessed fisheries. Generally, unassessed fisheries are in worse condition with declining fish stocks compared with regularly assessed fisheries.                        ,              Poorly monitored, small-size fisheries are in decline, but few of them are near collapse.           ,              Recent reports suggest that many well-assessed fisheries in developed countries are moving toward sustainability. We examined whether the same conclusion holds for fisheries lacking formal assessment, which comprise &gt;80% of global catch. We developed a method using species’ life-history, catch, and fishery development data to estimate the status of thousands of unassessed fisheries worldwide. We found that small unassessed fisheries are in substantially worse condition than assessed fisheries, but that large unassessed fisheries may be performing nearly as well as their assessed counterparts. Both small and large stocks, however, continue to decline; 64% of unassessed stocks could provide increased sustainable harvest if rebuilt. Our results suggest that global fishery recovery would simultaneously create increases in abundance (56%) and fishery yields (8 to 40%).</t>
  </si>
  <si>
    <t>2012-10-26</t>
  </si>
  <si>
    <t>2022-09-23 07:52:00</t>
  </si>
  <si>
    <t>2022-09-23T07:52:00Z</t>
  </si>
  <si>
    <t>517-520</t>
  </si>
  <si>
    <t>6106</t>
  </si>
  <si>
    <t>338</t>
  </si>
  <si>
    <t>HV2B4X73</t>
  </si>
  <si>
    <t>Comberti, C.; Thornton, T.F.; Wyllie de Echeverria, V.; Patterson, T.</t>
  </si>
  <si>
    <t>Ecosystem services or services to ecosystems? Valuing cultivation and reciprocal relationships between humans and ecosystems</t>
  </si>
  <si>
    <t>10.1016/j.gloenvcha.2015.07.007</t>
  </si>
  <si>
    <t>https://linkinghub.elsevier.com/retrieve/pii/S0959378015300145</t>
  </si>
  <si>
    <t>2022-09-23 07:38:00</t>
  </si>
  <si>
    <t>2022-09-23T07:38:00Z</t>
  </si>
  <si>
    <t>2022-09-19 21:14:57</t>
  </si>
  <si>
    <t>247-262</t>
  </si>
  <si>
    <t>Ecosystem services or services to ecosystems?</t>
  </si>
  <si>
    <t>ipbes-global_chapter1; ipbes-global_chapter2.1_drivers; ipbes-global_chapter3</t>
  </si>
  <si>
    <t>U6IY864Q</t>
  </si>
  <si>
    <t>Clements, Tom; John, Ashish; Nielsen, Karen; An, Dara; Tan, Setha; Milner-Gulland, E.J.</t>
  </si>
  <si>
    <t>Payments for biodiversity conservation in the context of weak institutions: Comparison of three programs from Cambodia</t>
  </si>
  <si>
    <t>10.1016/j.ecolecon.2009.11.010</t>
  </si>
  <si>
    <t>https://linkinghub.elsevier.com/retrieve/pii/S0921800909004595</t>
  </si>
  <si>
    <t>2010-04</t>
  </si>
  <si>
    <t>2022-09-23 07:30:45</t>
  </si>
  <si>
    <t>2022-09-23T07:30:45Z</t>
  </si>
  <si>
    <t>2022-09-22 07:26:54</t>
  </si>
  <si>
    <t>1283-1291</t>
  </si>
  <si>
    <t>Payments for biodiversity conservation in the context of weak institutions</t>
  </si>
  <si>
    <t>A4ZI5IVJ</t>
  </si>
  <si>
    <t>Cinner, Joshua E.; Sutton, Stephen G.; Bond, Trevor G.</t>
  </si>
  <si>
    <t>Socioeconomic thresholds that affect use of customary fisheries management tools</t>
  </si>
  <si>
    <t>08888892</t>
  </si>
  <si>
    <t>10.1111/j.1523-1739.2007.00796.x</t>
  </si>
  <si>
    <t>Customary forms of resource management, such as taboos, have received considerable attention as a potential basis for conservation initiatives in the Indo-Pacific. Yet little is known about how socioeconomic factors influence the ability of communities to use customary management practices and whether socioeconomic transformations within communities will weaken conservation initiatives with a customary foundation. We used a comparative approach to examine how socioeconomic factors may influence whether communities use customary fisheries management in Papua New Guinea. We examined levels of material wealth (modernization), dependence on marine resources, population, and distance to market in 15 coastal communities. We compared these socioeconomic conditions in 5 communities that used a customary method of closing their fishing ground with 10 communities that did not use this type of management. There were apparent threshold levels of dependence on marine resources, modernization, distance to markets (\textless16.5 km), and population (\textgreater600 people) beyond which communities did not use customary fisheries closures. Nevertheless, economic inequality, rather than mean modernization levels seemed to influence the use of closures. Our results suggest that customary management institutions are not resilient to factors such as population growth and economic modernization. If customary management is to be used as a basis for modern conservation initiatives, cross-scale institutional arrangements such as networks and bridging organizations may be required to help filter the impacts of socioeconomic transformations.</t>
  </si>
  <si>
    <t>1603-1611</t>
  </si>
  <si>
    <t>4H4Q3557</t>
  </si>
  <si>
    <t>Coady, David; Parry, Ian; Sears, Louis; Shang, Baoping</t>
  </si>
  <si>
    <t>How large are global energy subsidies?</t>
  </si>
  <si>
    <t>International Monetary Fund</t>
  </si>
  <si>
    <t>1018-5941</t>
  </si>
  <si>
    <t>10.5089/9781513532196.001</t>
  </si>
  <si>
    <t>https://www.imf.org/external/pubs/ft/wp/2015/wp15105.pdf</t>
  </si>
  <si>
    <t>This paper provides a comprehensive, updated picture of energy subsidies at the global and regional levels. It focuses on the broad notion of post-tax energy subsidies, which arise when consumer prices are below supply costs plus a tax to reflect environmental damage and an additional tax applied to all consumption goods to raise government revenues. Post-tax energy subsidies are dramatically higher than previously estimated and are projected to remain high. These subsidies primarily reflect underpricing from a domestic (rather than global) perspective, so that unilateral price reform is in countries' own interests. The potential fiscal, environmental, and welfare impacts of energy subsidy reform are substantial.</t>
  </si>
  <si>
    <t>105</t>
  </si>
  <si>
    <t>Fiscal Aff</t>
  </si>
  <si>
    <t>9XXSNW4K</t>
  </si>
  <si>
    <t>Colding, Johan; Folke, Carl</t>
  </si>
  <si>
    <t>Social Taboos: 'Invisible' Systems of Local Resource Management and Biological Conservation</t>
  </si>
  <si>
    <t>Ecological Applications</t>
  </si>
  <si>
    <t>10.2307/3060911</t>
  </si>
  <si>
    <t>http://www.jstor.org/stable/pdf/3060911.pdf?refreqid=excelsior:6e0bc0af22a1afe26dcec11d7c78bd99</t>
  </si>
  <si>
    <t>2001-04</t>
  </si>
  <si>
    <t>49KFXY7M</t>
  </si>
  <si>
    <t>Costello, Christopher; Gaines, Steven D.; Lynham, John</t>
  </si>
  <si>
    <t>Can catch shares prevent fisheries collapse?</t>
  </si>
  <si>
    <t>00368075</t>
  </si>
  <si>
    <t>10.1126/science.1159478</t>
  </si>
  <si>
    <t>http://www.ncbi.nlm.nih.gov/pubmed/18801999 http://www.sciencemag.org/cgi/doi/10.1126/science.1159478</t>
  </si>
  <si>
    <t>Recent reports suggest that most of the world's commercial fisheries could collapse within decades. Although poor fisheries governance is often implicated, evaluation of solutions remains rare. Bioeconomic theory and case studies suggest that rights-based catch shares can provide individual incentives for sustainable harvest that is less prone to collapse. To test whether catch-share fishery reforms achieve these hypothetical benefits, we have compiled a global database of fisheries institutions and catch statistics in 11,135 fisheries from 1950 to 2003. Implementation of catch shares halts, and even reverses, the global trend toward widespread collapse. Institutional change has the potential for greatly altering the future of global fisheries.</t>
  </si>
  <si>
    <t>2008-09</t>
  </si>
  <si>
    <t>1678-1681</t>
  </si>
  <si>
    <t>5896</t>
  </si>
  <si>
    <t>321</t>
  </si>
  <si>
    <t>ipbes-global_chapter2.1_drivers; ipbes-global_chapter2.3_ncp; ipbes-global_chapter5</t>
  </si>
  <si>
    <t>5GZNP22V</t>
  </si>
  <si>
    <t>Chuenpagdee, Ratana; Liguori, Lisa; Palomares, Maria L. D.; Pauly, Daniel</t>
  </si>
  <si>
    <t>Bottom-up, global estimates of small-scale marine fisheries catches</t>
  </si>
  <si>
    <t>https://open.library.ubc.ca/cIRcle/collections/facultyresearchandpublications/52383/items/1.0074761</t>
  </si>
  <si>
    <t>Fisheries Centre Research Reports</t>
  </si>
  <si>
    <t>Fisheries Centre, University of British Columbia</t>
  </si>
  <si>
    <t>Vancouver, Canada</t>
  </si>
  <si>
    <t>XJZTZBJ5</t>
  </si>
  <si>
    <t>Credit Suisse</t>
  </si>
  <si>
    <t>Global Wealth Report</t>
  </si>
  <si>
    <t>https://www.credit-suisse.com/about-us/en/reports-research/global-wealth-report.html</t>
  </si>
  <si>
    <t>YU87CWA9</t>
  </si>
  <si>
    <t>Cottier-Cook, Elizabeth J.; Nagabhatla, Nidhi; Badis, Yacine; Campbell, Marnie L.; Chopin, Thierry; Dai, Weiping; Fang, Jianguang; He, Peimin; Hewitt, Chad L.; Kim, Gwang Hoon; Huo, Yuanzi; Jiang, Zengjie; Kema, Gert; Li, Xinshu; Liu, Feng; Liu, Hongmei; Liu, Yuanyuan; Lu, Qinqin; Luo, Qijun; Mao, Yuze; Msuya, Flower E.; Rebours, Céline; Shen, Hui; Stentiford, Grant D.; Yarish, Charles; Wu, Hailong; Yang, Xinming; Zhang, Jihong; Zhou, Yongdong; Gachon, Claire M. M.</t>
  </si>
  <si>
    <t>Safeguarding the future of the global seaweed aquaculture industry</t>
  </si>
  <si>
    <t>http://voices.nationalgeographic.com/files/2016/08/Final-unu-seaweed-aquaculture-policy-for-printing.pdf</t>
  </si>
  <si>
    <t>Nations University (INWEH) and Scottish Association for Marine Science Policy Brief</t>
  </si>
  <si>
    <t>UEVDTLQE</t>
  </si>
  <si>
    <t>Cole, Luke W.; Foster, Sheila R.</t>
  </si>
  <si>
    <t>From the ground up: Environmental racism and the rise of the environmental justice movement</t>
  </si>
  <si>
    <t>978-0-8147-1536-9</t>
  </si>
  <si>
    <t>http://www.jstor.org/stable/j.ctt9qgj6v</t>
  </si>
  <si>
    <t>When Bill Clinton signed an Executive Order on Environmental Justice in 1994, the phenomenon of environmental racism–the disproportionate impact of environmental hazards, particularly toxic waste dumps and polluting factories, on people of color and low-income communities–gained unprecedented recognition. Behind the President's signature, however, lies a remarkable tale of grassroots activism and political mobilization. Today, thousands of activists in hundreds of locales are fighting for their children, their communities, their quality of life, and their health. From the Ground Up critically examines one of the fastest growing social movements in the United States, the movement for environmental justice. Tracing the movement's roots, Luke Cole and Sheila Foster combine long-time activism with powerful storytelling to provide gripping case studies of communities across the U.S–towns like Kettleman City, California; Chester, Pennsylvania; and Dilkon, Arizona–and their struggles against corporate polluters. The authors effectively use social, economic and legal analysis to illustrate the historical and contemporary causes for environmental racism. Environmental justice struggles, they demonstrate, transform individuals, communities, institutions and even the nation as a whole.</t>
  </si>
  <si>
    <t>NYU Press</t>
  </si>
  <si>
    <t>RA66JYYX</t>
  </si>
  <si>
    <t>Colchester, Marcus; Jiwan, Norman; Kleden, Emilola</t>
  </si>
  <si>
    <t>Independent Review of the Social Impacts of Golden Agri Resources' Forest Conservation Policy in Kapuas Hulu District, West Kalimantan‟, Forest Peoples Programme and TUK Indonesia</t>
  </si>
  <si>
    <t>Y7734CRU</t>
  </si>
  <si>
    <t>Copes, Parzival; Charles, Anthony</t>
  </si>
  <si>
    <t>Socioeconomics of Individual Transferable Quotas and Community-Based Fishery Management</t>
  </si>
  <si>
    <t>Agricultural and Resource Economics Review</t>
  </si>
  <si>
    <t>1068-2805</t>
  </si>
  <si>
    <t>10.1017/S106828050000575X</t>
  </si>
  <si>
    <t>https://www.cambridge.org/core/product/identifier/S106828050000575X/type/journal_article</t>
  </si>
  <si>
    <t>In many fisheries around the world, the failures of centralized, top-down management have produced a shift toward co-management —collaboration and sharing of decision making between government and stakeholders. This trend has led to a major debate between two very different co-management approaches— community-based fishery management and market-based individual transferable quota management. This paper examines the debate over the relative merits of these models and undertakes a socioeconomic analysis of the two approaches. The paper includes (1) an analysis of differences in the structure, philosophical nature, and underlying value systems of each, including a discussion of their treatment of property rights; (2) a socioeconomic evaluation of the impacts of each system on boat owners, fishers, crew members, other fishery participants, and coastal communities, as well as the distribution of benefits and costs among fishery participants; and (3) examination of indirect economic effects that can occur through impacts on conservation and fishery sustainability. The latter relate to ( a ) the conservation ethic, ( b ) the flexibility of management, ( c ) the avoidance of waste, and ( d ) the efficiency of enforcement. The paper emphasizes the need for a broader approach to analyzing fishery management options, one that recognizes and properly assesses the diversity of choices, and that takes into account the interaction of the fishery with broader community and regional realities.</t>
  </si>
  <si>
    <t>2004-10</t>
  </si>
  <si>
    <t>171-181</t>
  </si>
  <si>
    <t>FJYBF2ZN</t>
  </si>
  <si>
    <t>Commission for Environmental Cooperation</t>
  </si>
  <si>
    <t>Maize &amp; Biodiversity: The Effects of Transgenic Maize in Mexico: Key Findings and Recommendations</t>
  </si>
  <si>
    <t>Commission for Environmental Cooperation, Secretariat</t>
  </si>
  <si>
    <t>PFGK7NVE</t>
  </si>
  <si>
    <t>Chomitz, Kenneth M.; Gray, David a</t>
  </si>
  <si>
    <t>Roads, Land Use, and Deforestation: A Spatial Model Applied to Belize</t>
  </si>
  <si>
    <t>The World Bank Economic Review</t>
  </si>
  <si>
    <t>0258-6770</t>
  </si>
  <si>
    <t>10.1093/wber/10.3.487</t>
  </si>
  <si>
    <t>Rural roads promote economic development, but they also facilitate$\backslash$ndeforestation. To explore this tradeoff, this article develops a$\backslash$nspatially explicit model of land use and estimates probabilities$\backslash$nof alternative land uses as a function of land characteristics and$\backslash$ndistance to market using a multinomial logit specification of this$\backslash$nmodel. Controls are incorporated for the endogeneity of road placement.The$\backslash$nmodel is applied to data for southern Belize, an area experiencing$\backslash$nrapid expansion of both subsistence and commercial agriculture, using$\backslash$ngeographic information system (GIS) techniques to select sample points$\backslash$nat 1-kilometer intervals. Market access, land quality, and tenure$\backslash$nstatus affect the probability of agricultural land use synergistically,$\backslash$nhaving differential effects on the likelihood of commercial versus$\backslash$nsemisubsistence farming. The results suggest that road building in$\backslash$nareas with agriculturally poor soils and low population densities$\backslash$nmay be a 'lose-lose' proposition, causing habitat fragmentation and$\backslash$nproviding low economic returns.</t>
  </si>
  <si>
    <t>487-512</t>
  </si>
  <si>
    <t>DEQML6A8</t>
  </si>
  <si>
    <t>Chuang, Y. C.</t>
  </si>
  <si>
    <t>Learning by doing, the technology gap, and growth</t>
  </si>
  <si>
    <t>International Economic Review</t>
  </si>
  <si>
    <t>00206598</t>
  </si>
  <si>
    <t>10.2307/2527396</t>
  </si>
  <si>
    <t>In contrast with other trade and growth theories in previous literature, I present a growth theory of trade-induced learning: Other things being equal, two conditions are essential for trade-induced learning. First, both exports and imports are equally important sources and are mutually reinforced in intensifying the learning process. Moreover, the nature or characteristics of these traded goods also influence the effect of learning. Second, trade openness is a prerequisite but not a sufficient condition for rapid growth. With whom one trades (one's trading partner) is a key factor in determining trade-induced technology spillover and hence in affecting enduring growth. Therefore, this trade-induced learning theory provides abundant and testable implications for the empirical study of trade and growth.</t>
  </si>
  <si>
    <t>FMASXEBU</t>
  </si>
  <si>
    <t>Christy, Francis T.</t>
  </si>
  <si>
    <t>Fisherman quotas: a tentative suggestion for domestic management</t>
  </si>
  <si>
    <t>1973</t>
  </si>
  <si>
    <t>Law of the Sea Institute, University of Rhode Island</t>
  </si>
  <si>
    <t>Kingston</t>
  </si>
  <si>
    <t>H87LEHFB</t>
  </si>
  <si>
    <t>Christensen, M. S.</t>
  </si>
  <si>
    <t>The artisanal fishery of the Mahakam River floodplain in East Kalimantan, Indonesia</t>
  </si>
  <si>
    <t>Journal of Applied Ichthyology</t>
  </si>
  <si>
    <t>0175-8659</t>
  </si>
  <si>
    <t>10.1111/j.1439-0426.1993.tb00396.x</t>
  </si>
  <si>
    <t>Summary The fishery on the Mahakam River floodplain is important and therefore heavily exploited. Mesh sizes of gillnets and beach seines have decreased rapidly in recent times, indicating that overexploitation may soon become a roblem; biological data support this. Actual and estimated yields, calculated using standard methods, are compared and the relationship of total catch to water levels determined. Annual catches were most significantly related to the number of days when water levels were \textgreater9.2 m above mean sea level (AMSL) in the twelve-month period beginning in May of the year previous to the catch. The relationship took the form Y = 9476.105 + 115.5967X (r = 0.92), where Y is the catch in t (metric tonnes) and X the number of days when water levels were \textgreater9.2 m. The consequences for future management policies are discussed.</t>
  </si>
  <si>
    <t>2018-11</t>
  </si>
  <si>
    <t>202-209</t>
  </si>
  <si>
    <t>3‐4</t>
  </si>
  <si>
    <t>9IALSC8U</t>
  </si>
  <si>
    <t>Cohen, Barney</t>
  </si>
  <si>
    <t>Urbanization in developing countries: Current trends, future projections, and key challenges for sustainability</t>
  </si>
  <si>
    <t>Technology in Society</t>
  </si>
  <si>
    <t>0160791X</t>
  </si>
  <si>
    <t>10.1016/j.techsoc.2005.10.005</t>
  </si>
  <si>
    <t>The purpose of this paper is to provide a broad overview of the recent patterns and trends of urban growth in developing countries. Over the last 20 years many urban areas have experienced dramatic growth, as a result of rapid population growth and as the world's economy has been transformed by a combination of rapid technological and political change. Around 3 billion people—virtually half of the world's total population-now live in urban settlements. And while cities command an increasingly dominant role in the global economy as centers of both production and consumption, rapid urban growth throughout the developing world is seriously outstripping the capacity of most cities to provide adequate services for their citizens. Over the next 30 years, virtually all of the world's population growth is expected to be concentrated in urban areas in the developing world. While much of the current sustainable cities debate focuses on the formidable problems for the world's largest urban agglomerations, the majority of all urban dwellers continue to reside in far smaller urban settlements. Many international agencies have yet to adequately recognize either the anticipated rapid growth of small and medium cities or the deteriorating living conditions of the urban poor. The challenges of achieving sustainable urban development will be particularly formidable in Africa.</t>
  </si>
  <si>
    <t>63-80</t>
  </si>
  <si>
    <t>28</t>
  </si>
  <si>
    <t>YNGEYQCE</t>
  </si>
  <si>
    <t>Clarke, Alice L.; Low, Bobbi S.</t>
  </si>
  <si>
    <t>Testing Evolutionary Hypotheses with Demographic Data</t>
  </si>
  <si>
    <t>Population and Development Review</t>
  </si>
  <si>
    <t>0098-7921</t>
  </si>
  <si>
    <t>10.1111/j.1728-4457.2001.00633.x</t>
  </si>
  <si>
    <t>An ecological evolutionary viewpoint offers new perspectives on contemporary demographic problems in general and on population-environment issues in particular. In turn, rich and detailed human demographic data can help solve problems of interest in evolutionary theory. Such data have been analyzed in greatest detail in studies of traditional and historical societies. Evolutionary approaches using historical data go beyond small-sample anthropological studies to the application of the evolutionary approach to large datasets, and illuminate important similarities between small-scale traditional societies and large modern populations living in evolutionarily novel environments. This article provides a concise update of the breadth of questions and hypotheses of likely interest to demographers and others that evolutionary theorists address using a variety of traditional and historical datasets. It suggests opportunities for additional collaborative work between evolutionary theorists and historical demographers and highlights topics relevant to modern demography.</t>
  </si>
  <si>
    <t>TRW2RG47</t>
  </si>
  <si>
    <t>Urban Growth in Developing Countries: A Review of Current Trends and a Caution Regarding Existing Forecasts</t>
  </si>
  <si>
    <t>10.1016/j.worlddev.2003.04.008</t>
  </si>
  <si>
    <t>The purpose of this paper is to clarify the nature of the on-going urban transition in developing countries, the quality of the available data, and the uncertainty of existing urban forecasts. Although the recently released United Nations' publication World Urbanization Prospects is an invaluable resource for those interested in studying urban change, the data in the report are somewhat deceptive in their apparent completeness and beyond the narrow confines of technical demography there is a great deal of misunderstanding and misreporting about what these data mean and how they should be interpreted. For example, while the scale of urban change is unprecedented and the nature and direction of urban change is more dependent on the global economy than ever before, many aspects of the traditional distinction between urban and rural are becoming redundant. This paper provides a broad overview of the available evidence on patterns and trends in urban growth in developing countries, highlighting regional differences where appropriate. The paper also examines the quality of past urban population projections and finds that there has been considerable diversity in their quality by geographic region, level of development, and size of country.</t>
  </si>
  <si>
    <t>23-51</t>
  </si>
  <si>
    <t>DH9RQFX2</t>
  </si>
  <si>
    <t>Cleuvers, Michael</t>
  </si>
  <si>
    <t>Ecotoxicology and Environmental Safety</t>
  </si>
  <si>
    <t>0147-6513</t>
  </si>
  <si>
    <t>309-315</t>
  </si>
  <si>
    <t>59</t>
  </si>
  <si>
    <t>FBUGMDGA</t>
  </si>
  <si>
    <t>Clayton, Susan D.; Chawla, Louise; Derr, Victoria</t>
  </si>
  <si>
    <t>The Development of Conservation Behaviors in Childhood and Youth</t>
  </si>
  <si>
    <t>The Oxford Handbook of Environmental and Conservation Psychology</t>
  </si>
  <si>
    <t>978-0-19-973302-6</t>
  </si>
  <si>
    <t>With a focus on childhood and adolescence, this chapter seeks to understand how people come to act responsibly on behalf of the environment. It begins with a brief overview of selected theories related to the development of agency and the motivation to act as a framework for research reviews in three areas of young people's experience: informal play and exploration in nature; environmental education programs in schools and in the field; and wilderness experience programs. The chapter compares research results in these areas with the goal of understanding the types of experiences that prepare young people to take action for the environment, considers how these results correspond with processes that would be predicted by developmental theory, and distills recommendations for the design of school-based programs, wilderness adventure programming, and the design of communities that facilitate free access to nature. Directions for future research are suggested.</t>
  </si>
  <si>
    <t>Oxford University Press</t>
  </si>
  <si>
    <t>Clayton, Susan D.</t>
  </si>
  <si>
    <t>BUEVNANV</t>
  </si>
  <si>
    <t>Converse, Philip E.</t>
  </si>
  <si>
    <t>The Civic Culture: Political Attitudes and Democracy in Five Nations</t>
  </si>
  <si>
    <t>1964</t>
  </si>
  <si>
    <t>YRJB34NK</t>
  </si>
  <si>
    <t>Cole, Matthew A.; Elliott, Robert J. R.</t>
  </si>
  <si>
    <t>Determining the trade–environment composition effect: the role of capital, labor and environmental regulations</t>
  </si>
  <si>
    <t>10.1016/S0095-0696(03)00021-4</t>
  </si>
  <si>
    <t>2003-11</t>
  </si>
  <si>
    <t>363-383</t>
  </si>
  <si>
    <t>46</t>
  </si>
  <si>
    <t>HE5VXHT8</t>
  </si>
  <si>
    <t>Copeland, Brian R.; Taylor, M. Scott</t>
  </si>
  <si>
    <t>Trade and the environment: Theory and evidence</t>
  </si>
  <si>
    <t>4DNP84N3</t>
  </si>
  <si>
    <t>Colchester, Marcus</t>
  </si>
  <si>
    <t>Sustaining the Forests: The Community‐based Approach in South and South‐East Asia</t>
  </si>
  <si>
    <t>14677660</t>
  </si>
  <si>
    <t>10.1111/j.1467-7660.1994.tb00510.x</t>
  </si>
  <si>
    <t>The concept of sustainability emphasizes four basic principles when applied to rural communities: that basic needs must be met; that resources should be subject to local control; that local communities must have a decisive voice in planning; and that they should represent themselves through their own institutions. These principles have been notionally accepted by development planners and conservationists at all levels. Yet, throughout the tropical forest belt, they are being systematically overridden by international and national policies and development programmes, leading to increasing poverty, social conflict and rapid deforestation. Traditional knowledge and systems of land use have proved far more environmentally appropriate, resilient and complex than initially supposed by outsiders. Forest peoples have successfully opposed many socially and environmentally destructive development schemes proposed for their lands. However, these societies are not resisting all change: population increase and the internal dynamic for development have also created social and environmental problems. A review of community-based initiatives in South and South-East Asia shows that in some countries, positive initiatives have been taken by local and national governments to promote a community-based approach. Notable successes have been achieved but many other initiatives have failed. The examples show that, besides the four principles noted above, environmentally successful management also depends on innovative political organization at the community level.</t>
  </si>
  <si>
    <t>6V9DGJIC</t>
  </si>
  <si>
    <t>Cohen, M.; Simet, L.</t>
  </si>
  <si>
    <t>Macroeconomy and Urban Productivity</t>
  </si>
  <si>
    <t>The Urban Planet</t>
  </si>
  <si>
    <t>Elmqvist, Thomas</t>
  </si>
  <si>
    <t>HBSK6KJ3</t>
  </si>
  <si>
    <t>Critchley, William; Negi, Girish; Brommer, Marit</t>
  </si>
  <si>
    <t>Local Innovation in 'Green Water' Management</t>
  </si>
  <si>
    <t>Conserving Land, Protecting Water</t>
  </si>
  <si>
    <t>CAB</t>
  </si>
  <si>
    <t>Bossio, D.; Geheb, K.</t>
  </si>
  <si>
    <t>5J8X8THK</t>
  </si>
  <si>
    <t>Costello, Christopher J.; Lynham, John; Lester, Sarah E.; Gaines, Steven D.</t>
  </si>
  <si>
    <t>Economic Incentives and Global Fisheries Sustainability</t>
  </si>
  <si>
    <t>Annual Review of Resource Economics</t>
  </si>
  <si>
    <t>1941-1340</t>
  </si>
  <si>
    <t>10.1146/annurev.resource.012809.103923</t>
  </si>
  <si>
    <t>Widespread global collapses of fisheries corroborate decades-old predictions by economists, made long before large-scale industrialization of the world's fisheries, that open access would have deleterious ecological and economic effects on fishery resources. Incentive-based alternatives (collectively called catch shares) have been shown to generate pecuniary benefits, but little empirical evidence exists for, or against, a link to global fisheries sustainability. We report and expand on an analysis of \textgreater11,000 fisheries worldwide, in which we investigated the causes of fisheries collapse from 1950 to 2003. Using a program evaluation design, we found that catch shares prevent and, in some specifications, reverse fisheries collapse. Subsequent scientific studies reinforce and challenge these findings, suggesting fruitful avenues for future research linking incentive-based resource management to sustainability.</t>
  </si>
  <si>
    <t>2010-10</t>
  </si>
  <si>
    <t>299-318</t>
  </si>
  <si>
    <t>2GF4XAE2</t>
  </si>
  <si>
    <t>Cook, B. I.; Miller, R. L.; Seager, R.</t>
  </si>
  <si>
    <t>Amplification of the North American "Dust Bowl" drought through human-induced land degradation</t>
  </si>
  <si>
    <t>10.1073/pnas.0810200106</t>
  </si>
  <si>
    <t>The "Dust Bowl" drought of the 1930s was highly unusual for North America, deviating from the typical pattern forced by "La Nina" with the maximum drying in the central and northern Plains, warm temperature anomalies across almost the entire continent, and widespread dust storms. General circulation models (GCMs), forced by sea surface temperatures (SSTs) from the 1930s, produce a drought, but one that is centered in southwestern North America and without the warming centered in the middle of the continent. Here, we show that the inclusion of forcing from human land degradation during the period, in addition to the anomalous SSTs, is necessary to reproduce the anomalous features of the Dust Bowl drought. The degradation over the Great Plains is represented in the GCM as a reduction in vegetation cover and the addition of a soil dust aerosol source, both consequences of crop failure. As a result of land surface feedbacks, the simulation of the drought is much improved when the new dust aerosol and vegetation boundary conditions are included. Vegetation reductions explain the high temperature anomaly over the northern U.S., and the dust aerosols intensify the drought and move it northward of the purely ocean-forced drought pattern. When both factors are included in the model simulations, the precipitation and temperature anomalies are of similar magnitude and in a similar location compared with the observations. Human-induced land degradation is likely to have not only contributed to the dust storms of the 1930s but also amplified the drought, and these together turned a modest SST-forced drought into one of the worst environmental disasters the U.S. has experienced.</t>
  </si>
  <si>
    <t>4997-5001</t>
  </si>
  <si>
    <t>106</t>
  </si>
  <si>
    <t>98AQR7H5</t>
  </si>
  <si>
    <t>Costa, Dora L.; Kahn, Matthew E.</t>
  </si>
  <si>
    <t>Energy conservation "nudges" and environmentalist ideology: Evidence from a randomized residential electricity field experiment</t>
  </si>
  <si>
    <t>Journal of the European Economic Association</t>
  </si>
  <si>
    <t>15424766</t>
  </si>
  <si>
    <t>10.1111/jeea.12011</t>
  </si>
  <si>
    <t>“Nudges” are being widely promoted to encourage energy conservation. We show that the popular electricity conservation “nudge” of providing feedback to households on own and peers' home electricity usage in a home electricity report is two to four times more effective with political liberals than with conservatives. Political conservatives are more likely than liberals to opt out of receiving the home electricity report and to report disliking the report. Our results suggest that energy conservation nudges need to be targeted to be most effective.</t>
  </si>
  <si>
    <t>680-702</t>
  </si>
  <si>
    <t>4JWVHKID</t>
  </si>
  <si>
    <t>Cordy, Paul; Veiga, Marcello M.; Salih, Ibrahim; Al-Saadi, Sari; Console, Stephanie; Garcia, Oseas; Mesa, Luis Alberto; Vel??squez-L??pez, Patricio C.; Roeser, Monika</t>
  </si>
  <si>
    <t>Mercury contamination from artisanal gold mining in Antioquia, Colombia: The world's highest per capita mercury pollution</t>
  </si>
  <si>
    <t>Science of the Total Environment</t>
  </si>
  <si>
    <t>00489697</t>
  </si>
  <si>
    <t>10.1016/j.scitotenv.2011.09.006</t>
  </si>
  <si>
    <t>The artisanal gold mining sector in Colombia has 200,000 miners officially producing 30tonnes Au/a. In the Northeast of the Department of Antioquia, there are 17 mining towns and between 15,000 and 30,000 artisanal gold miners. Guerrillas and paramilitary activities in the rural areas of Antioquia pushed miners to bring their gold ores to the towns to be processed in Processing Centers or entables. These Centers operate in the urban areas amalgamating the whole ore, i.e. without previous concentration, and later burn gold amalgam without any filtering/condensing system. Based on mercury mass balance in 15 entables, 50% of the mercury added to small ball mills (cocos) is lost: 46% with tailings and 4% when amalgam is burned. In just 5 cities of Antioquia, with a total of 150,000 inhabitants: Segovia, Remedios, Zaragoza, El Bagre, and Nech??, there are 323 entables producing 10-20tonnes Au/a. Considering the average levels of mercury consumption estimated by mass balance and interviews of entables owners, the mercury consumed (and lost) in these 5 municipalities must be around 93tonnes/a. Urban air mercury levels range from 300ng Hg/m 3 (background) to 1million ng Hg/m 3 (inside gold shops) with 10,000ng Hg/m 3 being common in residential areas. The WHO limit for public exposure is 1000ng/m 3. The total mercury release/emissions to the Colombian environment can be as high as 150tonnes/a giving this country the shameful first position as the world's largest mercury polluter per capita from artisanal gold mining. One necessary government intervention is to cut the supply of mercury to the entables. In 2009, eleven companies in Colombia legally imported 130tonnes of metallic mercury, much of it flowing to artisanal gold mines. Entables must be removed from urban centers and technical assistance is badly needed to improve their technology and reduce emissions. ?? 2011 Elsevier B.V.</t>
  </si>
  <si>
    <t>X96PMHY6</t>
  </si>
  <si>
    <t>Bamière, Laure; David, Maia; Vermont, Bruno</t>
  </si>
  <si>
    <t>Agri-environmental policies for biodiversity when the spatial pattern of the reserve matters</t>
  </si>
  <si>
    <t>10.1016/j.ecolecon.2012.11.004</t>
  </si>
  <si>
    <t>2022-09-23 09:02:55</t>
  </si>
  <si>
    <t>2022-09-23T09:02:55Z</t>
  </si>
  <si>
    <t>97-104</t>
  </si>
  <si>
    <t>WM5WVUZC</t>
  </si>
  <si>
    <t>Bamberg, Sebastian; Möser, Guido</t>
  </si>
  <si>
    <t>Twenty years after Hines, Hungerford, and Tomera: A new meta-analysis of psycho-social determinants of pro-environmental behaviour</t>
  </si>
  <si>
    <t>10.1016/j.jenvp.2006.12.002</t>
  </si>
  <si>
    <t>http://www.sciencedirect.com/science/article/pii/S0272494406000909</t>
  </si>
  <si>
    <t>14-25</t>
  </si>
  <si>
    <t>2AKJTMC9</t>
  </si>
  <si>
    <t>Barbier, Edward B.; Delacote, Philippe; Wolfersberger, Julien</t>
  </si>
  <si>
    <t>The economic analysis of the forest transition: A review</t>
  </si>
  <si>
    <t>Journal of Forest Economics</t>
  </si>
  <si>
    <t>1104-6899</t>
  </si>
  <si>
    <t>10.1016/j.jfe.2017.02.003</t>
  </si>
  <si>
    <t>http://www.sciencedirect.com/science/article/pii/S1104689917300363</t>
  </si>
  <si>
    <t>10-17</t>
  </si>
  <si>
    <t>UEF66H5I</t>
  </si>
  <si>
    <t>Balmford, Andrew; Beresford, James; Green, J.; Naidoo, R.; Walpole, M.; Green, Jonathan; Naidoo, Robin; Walpole, Matt; Manica, Andrea</t>
  </si>
  <si>
    <t>A Global Perspective on Trends in Nature-Based Tourism</t>
  </si>
  <si>
    <t>PLoS Biology</t>
  </si>
  <si>
    <t>1545-7885</t>
  </si>
  <si>
    <t>10.1371/journal.pbio.1000144</t>
  </si>
  <si>
    <t>http://dx.plos.org/10.1371/journal.pbio.1000144</t>
  </si>
  <si>
    <t>Reports of rapid growth in nature-based tourism and recreation add significant weight to the economic case for biodiversity conservation but seem to contradict widely voiced concerns that people are becoming increasingly isolated from nature. This apparent paradox has been highlighted by a recent study showing that on a per capita basis, visits to natural areas in the United States and Japan have declined over the last two decades. These results have been cited as evidence of "a fundamental and pervasive shift away from nature-based recreation"-but how widespread is this phenomenon? We address this question by looking at temporal trends in visitor numbers at 280 protected areas (PAs) from 20 countries. This more geographically representative dataset shows that while PA visitation (whether measured as total or per capita visit numbers) is indeed declining in the United States and Japan, it is generally increasing elsewhere. Total visit numbers are growing in 15 of the 20 countries for which we could get data, with the median national rate of change unrelated to the national rate of population growth but negatively associated with wealth. Reasons for this reversal of growth in the richest countries are difficult to pin down with existing data, but the pattern is mirrored by trends in international tourist arrivals as a whole and so may not necessarily be caused by disaffection with nature. Irrespective of the explanation, it is clear that despite important downturns in some countries, nature-related tourism is far from declining everywhere, and may still have considerable potential both to generate funds for conservation and to shape people's attitudes to the environment.</t>
  </si>
  <si>
    <t>2009-06</t>
  </si>
  <si>
    <t>e1000144</t>
  </si>
  <si>
    <t>ipbes-global_chapter2.1_drivers; ipbes-global_chapter2.3_ncp; ipbes-global_chapter4</t>
  </si>
  <si>
    <t>3LCQ6VK4</t>
  </si>
  <si>
    <t>Banerjee, Abhijit; Duflo, Esther; Qian, Nancy</t>
  </si>
  <si>
    <t>On the Road: Access to Transportation Infrastructure and Economic Growth in China</t>
  </si>
  <si>
    <t>http://www.nber.org/papers/w17897.pdf</t>
  </si>
  <si>
    <t>2012-03</t>
  </si>
  <si>
    <t>ZCXFTLQZ</t>
  </si>
  <si>
    <t>Baland, Jean Marie; Platteau, Jean Philippe</t>
  </si>
  <si>
    <t>The ambiguous impact of inequality on local resource management</t>
  </si>
  <si>
    <t>10.1016/S0305-750X(99)00026-1</t>
  </si>
  <si>
    <t>The impact of inequality on the ability of human groups to undertake successful collective action is investigated with special reference to overexploitation of common property resources. In voluntary provision problems, on the one hand, inequality has an ambiguous impact on the feasibility of the efficient outcome even though better endowed agents contribute more to collective action. In regulated settings, on the other hand, inequality tends to reduce the acceptability of available regulatory schemes and, therefore, to make collective action more difficult.</t>
  </si>
  <si>
    <t>773-788</t>
  </si>
  <si>
    <t>M9Q6AS7Y</t>
  </si>
  <si>
    <t>Bansil, P. C.</t>
  </si>
  <si>
    <t>Water management in India</t>
  </si>
  <si>
    <t>81-8069-097-0</t>
  </si>
  <si>
    <t>Concept Publishing</t>
  </si>
  <si>
    <t>X6X2BHLG</t>
  </si>
  <si>
    <t>Balvanera, Patricia; Siddique, Ilyas; Dee, Laura; Paquette, Alain; Isbell, Forest; Gonzalez, Andrew; Byrnes, Jarrett; O'Connor, Mary I.; Hungate, Bruce A.; Griffin, John N.</t>
  </si>
  <si>
    <t>Linking Biodiversity and Ecosystem Services: Current Uncertainties and the Necessary Next Steps</t>
  </si>
  <si>
    <t>10.1093/biosci/bit003</t>
  </si>
  <si>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t>
  </si>
  <si>
    <t>49-57</t>
  </si>
  <si>
    <t>JFKFJJA6</t>
  </si>
  <si>
    <t>Barannik, Valeriy; Borysova, Olena; Stolberg, Felix</t>
  </si>
  <si>
    <t>The Caspian Sea Region: Environmental Change</t>
  </si>
  <si>
    <t>AMBIO: A Journal of the Human Environment</t>
  </si>
  <si>
    <t>0044-7447</t>
  </si>
  <si>
    <t>10.1579/0044-7447-33.1.45</t>
  </si>
  <si>
    <t>https://doi.org/10.1579/0044-7447-33.1.45</t>
  </si>
  <si>
    <t>Ecosystems in the Caspian Sea region have been heavily modified by anthropogenic activities, mainly as a result of changes in the water flow and degradation of the water quality in the ecosystems. Changes in the regional environment have influenced regional economies, particularly obvious in the impacts on fish stocks. Using the methodology developed in the GIWA project, experts in the region carried out an assessment of the most important transboundary issues in shared waters in the region. This report focuses on the root causes for the most important drivers of environmental change in the region: habitat and community modification.</t>
  </si>
  <si>
    <t>2004-02</t>
  </si>
  <si>
    <t>45-51</t>
  </si>
  <si>
    <t>ZS3CAXAC</t>
  </si>
  <si>
    <t>Baran, Eric; Jantunen, Teemu; Chong, Chiew Kieok</t>
  </si>
  <si>
    <t>Values of inland fisheries in the Mekong River Basin</t>
  </si>
  <si>
    <t>WorldFish</t>
  </si>
  <si>
    <t>4I5UHNEK</t>
  </si>
  <si>
    <t>Brouwer, Lineke; Neefjes, Rozemarijn; Estifanos, Sihine; van der Salm, Susan; Singh, Tanya</t>
  </si>
  <si>
    <t>Perspectives for water services, nature development and energy production in the Veenkoloniën-Final Report</t>
  </si>
  <si>
    <t>2022-09-23 09:11:26</t>
  </si>
  <si>
    <t>2022-09-23T09:11:26Z</t>
  </si>
  <si>
    <t>RM8G6AUH</t>
  </si>
  <si>
    <t>Brody, Samuel D.; Zahran, Sammy; Vedlitz, Arnold; Grover, Himanshu</t>
  </si>
  <si>
    <t>Examining the relationship between physical vulnerability and public perceptions of global climate change in the United States</t>
  </si>
  <si>
    <t>Environment and behavior</t>
  </si>
  <si>
    <t>10.1177/0013916506298800</t>
  </si>
  <si>
    <t>2022-09-23 09:04:57</t>
  </si>
  <si>
    <t>2022-09-23T09:04:57Z</t>
  </si>
  <si>
    <t>72-95</t>
  </si>
  <si>
    <t>WUMPY4KT</t>
  </si>
  <si>
    <t>Bromley, Daniel W.</t>
  </si>
  <si>
    <t>Abdicating Responsibility: The Deceits of Fisheries Policy</t>
  </si>
  <si>
    <t>Fisheries</t>
  </si>
  <si>
    <t>10.1577/1548-8446-34.6.280</t>
  </si>
  <si>
    <t>The imperiled status of global fish stocks offers clear evidence of the comprehensive failure of national governments to provide coherent management to protect those stocks. The universal policy response to this failure seems to consist of nothing more imaginative than the free gifting to the commercial fishing sector of permanent endowments of income and wealth under the utopian claims associated with individual transferable quotas (ITQs). It now seems that the fishing industry is to be entrusted to become exemplary stewards, to become efficient, to maximize resource rent, to stop racing for fish, and to make society better off. These exultant promises are rendered false by the incoherent models from fisheries economics that are confused about the essential concepts of:;The imperiled status of global fish stocks offers clear evidence of the comprehensive failure of national governments to provide coherent management to protect those stocks. The universal policy response to this failure seems to consist of nothing more imaginative than the free gifting to the commercial fishing sector of permanent endowments of income and wealth under the utopian claims associated with individual transferable quotas (ITQs). It now seems that the fishing industry is to be entrusted to become exemplary stewards, to become efficient, to maximize resource rent, to stop racing for fish, and to make society better off. These exultant promises are rendered false by the incoherent models from fisheries economics that are confused about the essential concepts of:;</t>
  </si>
  <si>
    <t>2022-09-23 09:02:39</t>
  </si>
  <si>
    <t>2022-09-23T09:02:39Z</t>
  </si>
  <si>
    <t>280-290</t>
  </si>
  <si>
    <t>WVXZQ8T2</t>
  </si>
  <si>
    <t>Brooks, Jeremy S.; Waylen, Kerry A.; Borgerhoff Mulder, Monique</t>
  </si>
  <si>
    <t>How national context, project design, and local community characteristics influence success in community-based conservation projects</t>
  </si>
  <si>
    <t>10.1073/pnas.1207141110</t>
  </si>
  <si>
    <t>https://pnas.org/doi/full/10.1073/pnas.1207141110</t>
  </si>
  <si>
    <t>Community-based conservation (CBC) promotes the idea that conservation success requires engaging with, and providing benefits for, local communities. However, CBC projects are neither consistently successful nor free of controversy. Innovative recent studies evaluating the factors associated with success and failure typically examine only a single resource domain, have limited geographic scope, consider only one outcome, or ignore the nested nature of socioecological systems. To remedy these issues, we use a global comparative database of CBC projects identified by systematic review to evaluate success in four outcome domains (attitudes, behaviors, ecological, economic) and explore synergies and trade-offs among these outcomes. We test hypotheses about how features of the national context, project design, and local community characteristics affect these measures of success. Using bivariate analyses and multivariate proportional odds logistic regressions within a multilevel analysis and model-fitting framework, we show that project design, particularly capacity-building in local communities, is associated with success across all outcomes. In addition, some characteristics of the local community in which projects are conducted, such as tenure regimes and supportive cultural beliefs and institutions, are important for project success. Surprisingly, there is little evidence that national context systematically influences project outcomes. We also find evidence of synergies between pairs of outcomes, particularly between ecological and economic success. We suggest that well-designed and implemented projects can overcome many of the obstacles imposed by local and national conditions to succeed in multiple domains.</t>
  </si>
  <si>
    <t>2012-12-26</t>
  </si>
  <si>
    <t>2022-09-23 07:29:58</t>
  </si>
  <si>
    <t>2022-09-23T07:29:58Z</t>
  </si>
  <si>
    <t>2022-09-19 21:16:00</t>
  </si>
  <si>
    <t>21265-21270</t>
  </si>
  <si>
    <t>K7XQQ4J2</t>
  </si>
  <si>
    <t>Brosi, Berry J.; Balick, Michael J.; Wolkow, Robert; Lee, Roberta; Kostka, Mark; Raynor, William; Gallen, Robert; Raynor, Ally; Raynor, Pelihter; Lee Ling, Dana</t>
  </si>
  <si>
    <t>Cultural erosion and biodiversity: Canoe-making knowledge in Pohnpei, Micronesia</t>
  </si>
  <si>
    <t>10.1111/j.1523-1739.2007.00654.x</t>
  </si>
  <si>
    <t>Erosion of traditional knowledge and practice is a serious and accelerating problem, but quantitative work on traditional knowledge loss and its importance to biodiversity conservation is lacking. We investigated traditional knowledge of canoe making, a skill heavily dependent on plant biodiversity, on Pohnpei, Federated States of Micronesia, through a survey of 180 island residents. Our results showed that there has been an intergenerational erosion of canoe-making skills. Given current trends, the present generation of Pohnpeians may be the last to retain any knowledge of this traditional craft. We also identified several correlates of knowledge loss-including Western educational level and occupation-that highlight potential avenues for skill conservation via governments, traditional leadership, and schools. These institutions could intervene to emphasize traditional knowledge, which would reinforce institutional contexts in which traditional knowledge and practice is valued. The heightened awareness of the value of biodiversity that is linked to traditional knowledge is key to biological conservation on Pohnpei and can help support local conservation programs.</t>
  </si>
  <si>
    <t>875-879</t>
  </si>
  <si>
    <t>NSSGBMSM</t>
  </si>
  <si>
    <t>Brookes, Graham; Barfoot, Peter</t>
  </si>
  <si>
    <t>Global impact of biotech crops: environmental effects 1996-2010</t>
  </si>
  <si>
    <t>GM Crops &amp; Food</t>
  </si>
  <si>
    <t>10.4161/gmcr.20061</t>
  </si>
  <si>
    <t>This paper updates the assessment of the impact commercialized agricultural biotechnology is having on global agriculture, from some important environmental perspectives. It focuses on the impact of changes in pesticide use and greenhouse gas emissions arising from the use of biotech crops. The technology has reduced pesticide spraying by 443 million kg (-9.1%) and, as a result, decreased the environmental impact associated with herbicide and insecticide use on these crops [as measured by the indicator the Environmental Impact Quotient (EIQ)] by 17.9%. The technology has also significantly reduced the release of greenhouse gas emissions from this cropping area, which, in 2010, was equivalent to removing 8.6 million cars from the roads.</t>
  </si>
  <si>
    <t>T2EK65IF</t>
  </si>
  <si>
    <t>Bromley, Daniel W.; Feeny, David</t>
  </si>
  <si>
    <t>Making the commons work : theory, practice, and policy</t>
  </si>
  <si>
    <t>1-55815-198-2</t>
  </si>
  <si>
    <t>ICS Press</t>
  </si>
  <si>
    <t>FZS9G6G9</t>
  </si>
  <si>
    <t>Brodin, Tomas; Piovano, Susanna; Fick, Jerker; Klaminder, Jonatan; Heynen, Martina; Jonsson, Micael</t>
  </si>
  <si>
    <t>Ecological effects of pharmaceuticals in aquatic system-impacts through behavioural alterations</t>
  </si>
  <si>
    <t>S7D32HME</t>
  </si>
  <si>
    <t>Brinson, Ayeisha A.; Thunberg, Eric M.</t>
  </si>
  <si>
    <t>Performance of federally managed catch share fisheries in the United States</t>
  </si>
  <si>
    <t>Fisheries Research</t>
  </si>
  <si>
    <t>01657836</t>
  </si>
  <si>
    <t>10.1016/j.fishres.2016.03.008</t>
  </si>
  <si>
    <t>In 2011 the National Marine Fisheries Service began a systematic collection of performance indicators for U.S. fisheries managed under catch shares. Catch shares are a fishery management tool that dedicate a secure share of quota allowing individual fishermen, fishing cooperatives, fishing communities, or other entities to harvest a fixed amount of fish. Catch share design varies widely across different programs and regions. Many programs share similar biological, social, and economic management objectives even though these design features are tailored to accommodate particular fishery characteristics. This paper evaluates fisheries using standardized indicators to measure the basic economic performance, regardless of catch share program design. Data collected were used to evaluate the economic and distribution effects of U.S. catch share programs. Catch share fishery performance is compared to a baseline period prior to implementation of the catch share program. Overall, the majority of objectives to improve the economic performance of catch share fisheries were achieved. Catch share programs have been effective in reducing fishing capacity. However, catch share programs have had distributional consequences as there are indications that consolidation is occurring in a number of programs. For example, there have been considerable reductions in the number of active vessels and entities holding quota share in the Alaska Halibut and Sablefish and the Mid-Atlantic Surfclam and Ocean Quahog catch share programs. However, it is important to note that the accumulation of ownership share may be less of a concern than consolidation in the use of quota. Thus, to the extent that consolidation is considered a management problem, it may be more effective to consider caps on the use of quota than by imposing more restrictive ownership caps.</t>
  </si>
  <si>
    <t>213-223</t>
  </si>
  <si>
    <t>43R63R9M</t>
  </si>
  <si>
    <t>Brink, Andreas Bernhard; Eva, Hugh Douglas</t>
  </si>
  <si>
    <t>Applied Geography</t>
  </si>
  <si>
    <t>01436228</t>
  </si>
  <si>
    <t>The study examines the changes in sub-Saharan's natural land cover resources for a 25 year period. We assess these changes in four broad land cover classes - forests, natural non-forest vegetation, agriculture and barren - by using high spatial resolution Earth observing satellites. Two sets of sample images, one 'historical' targeted at 1975 and a second 'recent' targeted at the year 2000, have been selected through a stratified random sampling technique over the study area, targeting a sampling rate of 1% in each of the strata. The results, presented at eco-region level and aggregated at sub-Saharan level, show a 57% increase in agriculture area at the expense of natural vegetation which has itself decreased by 21% over the period, with nearly 5 million hectares forest and non-forest natural vegetation lost per year. The impacts of these changes on the environment on one site and on the socio-economy on the other site are discussed and possible pressures on human well being are highlighted. ?? 2008 Elsevier Ltd. All rights reserved.</t>
  </si>
  <si>
    <t>LTBZESHL</t>
  </si>
  <si>
    <t>Arnot, Chris D.; Luckert, Martin K.; Boxall, Peter C.</t>
  </si>
  <si>
    <t>What is tenure security? Conceptual implications for empirical analysis</t>
  </si>
  <si>
    <t>10.3368/le.87.2.297</t>
  </si>
  <si>
    <t>2022-09-23 09:10:36</t>
  </si>
  <si>
    <t>2022-09-23T09:10:36Z</t>
  </si>
  <si>
    <t>297-311</t>
  </si>
  <si>
    <t>6G23VYWW</t>
  </si>
  <si>
    <t>Aswani, Shankar</t>
  </si>
  <si>
    <t>Common property models of sea tenure: a case study from the Roviana and Vonavona Lagoons, New Georgia, Solomon Islands</t>
  </si>
  <si>
    <t>10.1023/A:1018727607651</t>
  </si>
  <si>
    <t>2022-09-23 09:03:40</t>
  </si>
  <si>
    <t>2022-09-23T09:03:40Z</t>
  </si>
  <si>
    <t>417-453</t>
  </si>
  <si>
    <t>KS7T5UE6</t>
  </si>
  <si>
    <t>Arvin, B. Mak; Lew, Byron</t>
  </si>
  <si>
    <t>Are foreign aid and migrant remittances sources of happiness in recipient countries?</t>
  </si>
  <si>
    <t>International Journal of Public Policy</t>
  </si>
  <si>
    <t>10.1504/IJPP.2011.043557</t>
  </si>
  <si>
    <t>2022-09-23 09:02:09</t>
  </si>
  <si>
    <t>2022-09-23T09:02:09Z</t>
  </si>
  <si>
    <t>282-300</t>
  </si>
  <si>
    <t>4-6</t>
  </si>
  <si>
    <t>E7PATIZF</t>
  </si>
  <si>
    <t>Assessing the effects of changing demographic and consumption patterns on sea tenure regimes in the Roviana Lagoon, Solomon Islands</t>
  </si>
  <si>
    <t>10.1579/0044-7447-31.4.272</t>
  </si>
  <si>
    <t>2022-09-23 09:02:08</t>
  </si>
  <si>
    <t>2022-09-23T09:02:08Z</t>
  </si>
  <si>
    <t>272-284</t>
  </si>
  <si>
    <t>366BIUSU</t>
  </si>
  <si>
    <t>Aronson, James; Alexander, Sasha</t>
  </si>
  <si>
    <t>Ecosystem Restoration is Now a Global Priority: Time to Roll up our Sleeves</t>
  </si>
  <si>
    <t>10612971</t>
  </si>
  <si>
    <t>10.1111/rec.12011</t>
  </si>
  <si>
    <t>http://doi.wiley.com/10.1111/rec.12011</t>
  </si>
  <si>
    <t>2022-09-23 06:29:55</t>
  </si>
  <si>
    <t>2022-09-23T06:29:55Z</t>
  </si>
  <si>
    <t>293-296</t>
  </si>
  <si>
    <t>K49XPFT3</t>
  </si>
  <si>
    <t>Ash, Michael; Fetter, T. Robert</t>
  </si>
  <si>
    <t>Who lives on the wrong side of the environmental tracks? Evidence from the EPA's risk-screening environmental indicators model</t>
  </si>
  <si>
    <t>We analyze the social and economic correlates of air pollution exposure in U.S. cities. We combine 1990 Census block group data for urbanized areas with 1998 data on toxicity-adjusted exposure to air pollution. Using a unique data set created as a byproduct of the EPA's Risk-Screening Environmental Indicators Model, we improve on previous studies of environmental inequality in three ways. First, where previous studies focus on the proximity to point sources and the total mass of pollutants released, our measure of toxic exposure reflects atmospheric dispersion and chemical toxicity. Second, we analyze the data at a fine level of geographic resolution. Third, we control for substantial regional variations in pollution, allowing us to identify exposure differences both within cities and between cities. We find that African Americans tend to live both in more polluted cities in the United States and in more polluted neighborhoods within cities. Hispanics live in less polluted cities on average, but they live in more polluted areas within cities. We find an extremely consistent income-pollution gradient, with lower-income people significantly more exposed to pollution. Communities with higher concentrations of lower-income people and people of color experience disproportionate exposure to environmental hazards. Our findings highlight the importance of controlling for interregional variation in pollution levels in studies of the demographic correlates of pollution.</t>
  </si>
  <si>
    <t>VF2AL8ZP</t>
  </si>
  <si>
    <t>Atkinson, Giles; Bateman, Ian; Mourato, Susana</t>
  </si>
  <si>
    <t>Recent advances in the valuation of ecosystem services and biodiversity</t>
  </si>
  <si>
    <t>10.1093/oxrep/grs007</t>
  </si>
  <si>
    <t>22-47</t>
  </si>
  <si>
    <t>QBBKAHK4</t>
  </si>
  <si>
    <t>Asner, G. P.; Llactayo, W.; Tupayachi, R.; Luna, E. R.</t>
  </si>
  <si>
    <t>Elevated rates of gold mining in the Amazon revealed through high-resolution monitoring</t>
  </si>
  <si>
    <t>10.1073/pnas.1318271110</t>
  </si>
  <si>
    <t>Gold mining has rapidly increased in western Amazonia, but the rates and ecological impacts of mining remain poorly known and potentially underestimated. We combined field surveys, airborne mapping, and high-resolution satellite imaging to assess road- and river-based gold mining in the Madre de Dios region of the Peruvian Amazon from 1999 to 2012. In this period, the geographic extent of gold mining increased 400%. The average annual rate of forest loss as a result of gold mining tripled in 2008 following the global economic recession, closely associated with increased gold prices. Small clandestine operations now comprise more than half of all gold mining activities throughout the region. These rates of gold mining are far higher than previous estimates that were based on traditional satellite mapping techniques. Our results prove that gold mining is growing more rapidly than previously thought, and that high-resolution monitoring approaches are required to accurately quantify human impacts on tropical forests.</t>
  </si>
  <si>
    <t>3MA7UTFL</t>
  </si>
  <si>
    <t>Asher, Sam; Novosad, Paul</t>
  </si>
  <si>
    <t>Market Access and Structural Transformation: Evidence from Rural Roads in India</t>
  </si>
  <si>
    <t>More than one billion people worldwide live in rural areas without access to the paved road network. How does the lack of such infrastructure affect rural employment and economic outcomes? We construct a comprehensive, high spatial resolution dataset of 825 million individuals in rural India to estimate the impact of a national rural road construction program that has built paved roads to over 100,000 villages since 2000. Program rules provide discontinuities in the probability of treatment at multiple village population thresholds, which we exploit using a fuzzy regression discontinuity design. Road construction to previously unconnected villages leads to a 10 percentage point reduction in the share of households and workers in agriculture, with an equivalent increase in wage labor market participation. This sectoral reallocation is concentrated among males and households with low levels of land, precisely those groups who have the lowest costs and highest returns to sectoral reallocation. Labor reallocation to wage labor is strongest in locations close to major cities, sug- gesting the importance of access to urban markets in the process of structural transformation. Rather than facilitating growth of nonfarm firms in treated villages, rural roads enable workers to access external labor markets. We also provide evidence for gains to multiple measures of economic outcomes. Our results suggest that poor rural transportation infrastructure is a major con- straint on the sectoral allocation of labor in low income countries.</t>
  </si>
  <si>
    <t>V3GGR3BJ</t>
  </si>
  <si>
    <t>Arroita, Maite; Flores, Lorea; Larrañaga, Aitor; Martínez, Aingeru; Martínez-Santos, Miren; Pereda, Olatz; Ruiz-Romera, Estilita; Solagaistua, Libe; Elosegi, Arturo</t>
  </si>
  <si>
    <t>Freshwater Biology</t>
  </si>
  <si>
    <t>00465070</t>
  </si>
  <si>
    <t>2017-02</t>
  </si>
  <si>
    <t>243-257</t>
  </si>
  <si>
    <t>BUU25576</t>
  </si>
  <si>
    <t>Ricciardi, Vincent; Ramankutty, Navin; Mehrabi, Zia; Jarvis, Larissa; Chookolingo, Brenton</t>
  </si>
  <si>
    <t>How much of the world's food do smallholders produce?</t>
  </si>
  <si>
    <t>Global Food Security</t>
  </si>
  <si>
    <t>10.1016/j.gfs.2018.05.002</t>
  </si>
  <si>
    <t>2022-09-23 09:12:05</t>
  </si>
  <si>
    <t>2022-09-23T09:12:05Z</t>
  </si>
  <si>
    <t>64-72</t>
  </si>
  <si>
    <t>4ZC9VVT3</t>
  </si>
  <si>
    <t>Robinson, Carol; Steinberg, Deborah K.; Anderson, Thomas R.; Arístegui, Javier; Carlson, Craig A.; Frost, Jessica R.; Ghiglione, Jean-François; Hernández-León, Santiago; Jackson, George A.; Koppelmann, Rolf; Others</t>
  </si>
  <si>
    <t>Mesopelagic zone ecology and biogeochemistry–a synthesis</t>
  </si>
  <si>
    <t>Deep Sea Research Part II: Topical Studies in Oceanography</t>
  </si>
  <si>
    <t>2022-09-23 09:11:41</t>
  </si>
  <si>
    <t>2022-09-23T09:11:41Z</t>
  </si>
  <si>
    <t>1504-1518</t>
  </si>
  <si>
    <t>RSARLWCS</t>
  </si>
  <si>
    <t>Pretty, Jules; Smith, David</t>
  </si>
  <si>
    <t>Social capital in biodiversity conservation and management</t>
  </si>
  <si>
    <t>Conservation biology</t>
  </si>
  <si>
    <t>10.1111/j.1523-1739.2004.00126.x</t>
  </si>
  <si>
    <t>2022-09-23 09:11:18</t>
  </si>
  <si>
    <t>2022-09-23T09:11:18Z</t>
  </si>
  <si>
    <t>631-638</t>
  </si>
  <si>
    <t>6YGXH3DX</t>
  </si>
  <si>
    <t>Ribot, Jesse Craig</t>
  </si>
  <si>
    <t>Waiting for democracy: the politics of choice in natural resource decentralization</t>
  </si>
  <si>
    <t>2022-09-23 09:10:39</t>
  </si>
  <si>
    <t>2022-09-23T09:10:39Z</t>
  </si>
  <si>
    <t>CJA85SX5</t>
  </si>
  <si>
    <t>Reiss, Peter C.; White, Matthew W.</t>
  </si>
  <si>
    <t>What changes energy consumption? Prices and public pressures</t>
  </si>
  <si>
    <t>The RAND Journal of Economics</t>
  </si>
  <si>
    <t>10.1111/j.1756-2171.2008.00032.x</t>
  </si>
  <si>
    <t>636-663</t>
  </si>
  <si>
    <t>CK7UKPMB</t>
  </si>
  <si>
    <t>Pratt, John W.; Zeckhauser, Richard J.</t>
  </si>
  <si>
    <t>Willingness to Pay and the Distribution of Risk and Wealth</t>
  </si>
  <si>
    <t>Journal of Political Economy</t>
  </si>
  <si>
    <t>10.1086/262041</t>
  </si>
  <si>
    <t>Willingness to pay (WTP), most economists believe, is an appropriate benefits metric for government expenditure and regulatory policies that reduce risks to human life. It depends, however, on the distribution of risk and wealth. Currently, society's expenditures overemphasize concentrated risks, say after-the-fact treatment as opposed to prevention. A "dead-anyway" effect complements excess attention to intense interests in explaining this. Our normative criterion for spending on risk reduction is what a rational, albeit uninsured, individual confronting lotteries on future risks to life and wealth would choose for himself. This requires correcting WTP to eliminate the dead-anyway effect but continues to reflect that wealth enhances the utility of living.</t>
  </si>
  <si>
    <t>2022-09-23 09:10:24</t>
  </si>
  <si>
    <t>2022-09-23T09:10:24Z</t>
  </si>
  <si>
    <t>747-763</t>
  </si>
  <si>
    <t>INSSRHDB</t>
  </si>
  <si>
    <t>Rudel, Thomas K.; Perez-Lugo, Marla; Zichal, Heather</t>
  </si>
  <si>
    <t>When fields revert to forest: development and spontaneous reforestation in post-war Puerto Rico</t>
  </si>
  <si>
    <t>The Professional Geographer</t>
  </si>
  <si>
    <t>10.1111/0033-0124.00233</t>
  </si>
  <si>
    <t>2022-09-23 09:10:18</t>
  </si>
  <si>
    <t>2022-09-23T09:10:18Z</t>
  </si>
  <si>
    <t>386-397</t>
  </si>
  <si>
    <t>TXNL8WQP</t>
  </si>
  <si>
    <t>Quinton, John N.; Govers, Gerard; Van Oost, Kristof; Bardgett, Richard D.</t>
  </si>
  <si>
    <t>2022-09-23 09:09:19</t>
  </si>
  <si>
    <t>2022-09-23T09:09:19Z</t>
  </si>
  <si>
    <t>311</t>
  </si>
  <si>
    <t>8GAIEGNZ</t>
  </si>
  <si>
    <t>Rohr, Jason; Bernhardt, Emily; Cadotte, Marc; Clements, William</t>
  </si>
  <si>
    <t>The ecology and economics of restoration: when, what, where, and how to restore ecosystems</t>
  </si>
  <si>
    <t>10.5751/ES-09876-230215</t>
  </si>
  <si>
    <t>2022-09-23 09:09:15</t>
  </si>
  <si>
    <t>2022-09-23T09:09:15Z</t>
  </si>
  <si>
    <t>37LKMP5B</t>
  </si>
  <si>
    <t>Richardson, Benjamin</t>
  </si>
  <si>
    <t>Protecting Indigenous Peoples Through Socially Responsible Investment</t>
  </si>
  <si>
    <t>Indigenous Law Journal</t>
  </si>
  <si>
    <t>2022-09-23 09:08:09</t>
  </si>
  <si>
    <t>2022-09-23T09:08:09Z</t>
  </si>
  <si>
    <t>33Q7GEEP</t>
  </si>
  <si>
    <t>Robalino, Juan; Villalobos, Laura</t>
  </si>
  <si>
    <t>Protected areas and economic welfare: an impact evaluation of national parks on local workers' wages in Costa Rica</t>
  </si>
  <si>
    <t>10.1017/S1355770X14000461</t>
  </si>
  <si>
    <t>2022-09-23 09:08:04</t>
  </si>
  <si>
    <t>2022-09-23T09:08:04Z</t>
  </si>
  <si>
    <t>283-310</t>
  </si>
  <si>
    <t>DG323U2V</t>
  </si>
  <si>
    <t>Rack, R. S.</t>
  </si>
  <si>
    <t>Problems of fishery development in primitive communities</t>
  </si>
  <si>
    <t>Proceedings of the Nutrition Society</t>
  </si>
  <si>
    <t>10.1079/PNS19620019</t>
  </si>
  <si>
    <t>1962</t>
  </si>
  <si>
    <t>2022-09-23 09:08:01</t>
  </si>
  <si>
    <t>2022-09-23T09:08:01Z</t>
  </si>
  <si>
    <t>114-120</t>
  </si>
  <si>
    <t>SBMES5KW</t>
  </si>
  <si>
    <t>Sattler, Claudia; Matzdorf, Bettina</t>
  </si>
  <si>
    <t>PES in a nutshell: From definitions and origins to PES in practice—Approaches, design process and innovative aspects</t>
  </si>
  <si>
    <t>10.1016/j.ecoser.2013.09.009</t>
  </si>
  <si>
    <t>2022-09-23 09:07:36</t>
  </si>
  <si>
    <t>2022-09-23T09:07:36Z</t>
  </si>
  <si>
    <t>2-11</t>
  </si>
  <si>
    <t>I74XKK25</t>
  </si>
  <si>
    <t>Proude, P. D.</t>
  </si>
  <si>
    <t>Objectives and methods of small-scale fisheries development</t>
  </si>
  <si>
    <t>Journal of the Fisheries Board of Canada</t>
  </si>
  <si>
    <t>10.1139/f73-346</t>
  </si>
  <si>
    <t>2022-09-23 09:07:30</t>
  </si>
  <si>
    <t>2022-09-23T09:07:30Z</t>
  </si>
  <si>
    <t>2190-2195</t>
  </si>
  <si>
    <t>QGS63QXF</t>
  </si>
  <si>
    <t>Rico, Jimena; Panlasigui, Stephanie; Loucks, Colby J.; Swenson, Jennifer; Pfaff, Alexander</t>
  </si>
  <si>
    <t>Logging concessions, certification and protected areas in the Peruvian Amazon: forest impacts from development rights and land-use restrictions</t>
  </si>
  <si>
    <t>FAERE Working Paper</t>
  </si>
  <si>
    <t>2022-09-23 09:06:44</t>
  </si>
  <si>
    <t>2022-09-23T09:06:44Z</t>
  </si>
  <si>
    <t>JJUUT5H3</t>
  </si>
  <si>
    <t>Robalino, Juan; Pfaff, Alexander; Villalobos, Laura</t>
  </si>
  <si>
    <t>Heterogeneous local spillovers from protected areas in Costa Rica</t>
  </si>
  <si>
    <t>Journal of the Association of Environmental and Resource Economists</t>
  </si>
  <si>
    <t>10.1086/692089</t>
  </si>
  <si>
    <t>2022-09-23 09:05:37</t>
  </si>
  <si>
    <t>2022-09-23T09:05:37Z</t>
  </si>
  <si>
    <t>795-820</t>
  </si>
  <si>
    <t>IWKCX2TK</t>
  </si>
  <si>
    <t>Potoski, Matthew; Prakash, Aseem</t>
  </si>
  <si>
    <t>Green clubs and voluntary governance: ISO 14001 and firms' regulatory compliance</t>
  </si>
  <si>
    <t>American journal of political science</t>
  </si>
  <si>
    <t>10.1111/j.0092-5853.2005.00120.x</t>
  </si>
  <si>
    <t>2022-09-23 09:05:32</t>
  </si>
  <si>
    <t>2022-09-23T09:05:32Z</t>
  </si>
  <si>
    <t>235-248</t>
  </si>
  <si>
    <t>8GIEIXDB</t>
  </si>
  <si>
    <t>Purifoy, Danielle M.</t>
  </si>
  <si>
    <t>EPCRA: a retrospective on the environmental Right-to-Know Act</t>
  </si>
  <si>
    <t>Yale journal of health policy, law, and ethics</t>
  </si>
  <si>
    <t>October 2011 marked the 25th Anniversary of the Emergency Planning and Community Right-to-Know Act (EPCRA), which was celebrated for its "significant role in protecting human health and the environment over the last quarter century by providing communities and emergency planners with valuable information on toxic chemical releases in their area." This Note aims to evaluate the effectiveness of three important provisions of the statute-the Toxics Release Inventory, the emergency planning mandate, and the citizen suit provision-through a case study of their implementation in Institute, West Virginia, the site of an industrial accident that prompted the enactment of EPCRA in 1986. This Note argues that although EPCRA made significant improvements to industry transparency in terms of its production and release of hazardous substances, there remain significant barriers concerning adequate resources, informational tools, and enforcement measures. These challenges must be addressed to ensure that citizens are provided with equitable opportunities to inform and ultimately protect their communities from health and environmental hazards. Through interviews with Institute residents and members of a local community advocacy group, along with analyses of the current informational tools available to the public under the statute, the Note will discuss specific challenges facing industrial communities, and offer a series of practical and legal solutions to increase the effectiveness of the statute, particularly in the most economically and politically vulnerable communities.</t>
  </si>
  <si>
    <t>2022-09-23 09:04:54</t>
  </si>
  <si>
    <t>2022-09-23T09:04:54Z</t>
  </si>
  <si>
    <t>375-417</t>
  </si>
  <si>
    <t>RHH7JQ5Q</t>
  </si>
  <si>
    <t>Rindfuss, Ronald R.; Walsh, Stephen J.; Turner, Billie L.; Fox, Jefferson; Mishra, Vinod</t>
  </si>
  <si>
    <t>Developing a science of land change: challenges and methodological issues</t>
  </si>
  <si>
    <t>10.1073/pnas.0401545101</t>
  </si>
  <si>
    <t>2022-09-23 09:04:10</t>
  </si>
  <si>
    <t>2022-09-23T09:04:10Z</t>
  </si>
  <si>
    <t>13976-13981</t>
  </si>
  <si>
    <t>39</t>
  </si>
  <si>
    <t>DW4H4THA</t>
  </si>
  <si>
    <t>Quattrone, George A.; Tversky, Amos</t>
  </si>
  <si>
    <t>Contrasting rational and psychological analyses of political choice</t>
  </si>
  <si>
    <t>American Political Science Review</t>
  </si>
  <si>
    <t>10.2307/1962487</t>
  </si>
  <si>
    <t>1988</t>
  </si>
  <si>
    <t>2022-09-23 09:03:56</t>
  </si>
  <si>
    <t>2022-09-23T09:03:56Z</t>
  </si>
  <si>
    <t>719-736</t>
  </si>
  <si>
    <t>TYDI5CI3</t>
  </si>
  <si>
    <t>Robson, James P.; Lichtenstein, Gabriela</t>
  </si>
  <si>
    <t>Current Trends in Latin American Commons Research</t>
  </si>
  <si>
    <t>Journal of Latin American Geography</t>
  </si>
  <si>
    <t>15452476</t>
  </si>
  <si>
    <t>10.1353/lag.2013.0001</t>
  </si>
  <si>
    <t>Little is known, in a collective sense, about commons or commons research across the diverse regions and countries that make up Latin America. This paper addresses that knowledge gap by means of a review of communal land tenure data for the region, followed by a detailed analysis of international scholarly publications and conference presentations on Latin American commons, covering the period 1990-2012. We show that commons scholarship in the region, while growing, is focused on a relatively small number of countries. We speculate on the reasons for this, as well as identify the challenges that face commons researchers in Latin America as it looks to maximise the academic and policy impact of their work. A lo largo de las diversas regiones y pr&amp;#xed;ses que componen Am&amp;#xe9;rica Latina existe escaso conocimiento sobre los bienes comunes, y la investigaci&amp;#xf3;n sobre los mismos. Este trabajo se refiere a esta brecha del conocimiento mediante una revisi&amp;#xf3;n de datos sobre la tenencia comunal de la tierra en la regi&amp;#xf3;n, seguido de un an&amp;#xe1;lisis de las publicaciones acad&amp;#xe9;micas y presentaciones en congresos internacionales durante el per&amp;#xed;odo 1990-2012. Se muestra que la producci&amp;#xf3;n acad&amp;#xe9;mica en Latino Am&amp;#xe9;rica, si bien est&amp;#xe1; creciendo, se encuentra concentrada, relativamente, en un peque&amp;#xf1;o n&amp;#xfa;mero de pa&amp;#xed;ses. Se especulan las razones para ello e identifican los desaf&amp;#xed;os que necesitan atenderse para que la investigaci&amp;#xf3;n sobre los bienes comunes pueda prosperar en la regi&amp;#xf3;n y maximizar su impacto acad&amp;#xe9;mico y sobre las pol&amp;#xed;ticas p&amp;#xfa;blicas.</t>
  </si>
  <si>
    <t>2022-09-23 09:03:54</t>
  </si>
  <si>
    <t>2022-09-23T09:03:54Z</t>
  </si>
  <si>
    <t>5-31</t>
  </si>
  <si>
    <t>IXC3K8VI</t>
  </si>
  <si>
    <t>Robalino, Juan A.; Pfaff, Alexander</t>
  </si>
  <si>
    <t>Contagious development: Neighbor interactions in deforestation</t>
  </si>
  <si>
    <t>10.1016/j.jdeveco.2011.06.003</t>
  </si>
  <si>
    <t>2022-09-23 09:03:52</t>
  </si>
  <si>
    <t>2022-09-23T09:03:52Z</t>
  </si>
  <si>
    <t>427-436</t>
  </si>
  <si>
    <t>EC2UJW8Y</t>
  </si>
  <si>
    <t>Salas, Silvia; Chuenpagdee, Ratana; Seijo, Juan Carlos; Charles, Anthony</t>
  </si>
  <si>
    <t>Challenges in the assessment and management of small-scale fisheries in Latin America and the Caribbean</t>
  </si>
  <si>
    <t>10.1016/j.fishres.2007.06.015</t>
  </si>
  <si>
    <t>2022-09-23 09:03:26</t>
  </si>
  <si>
    <t>2022-09-23T09:03:26Z</t>
  </si>
  <si>
    <t>5-16</t>
  </si>
  <si>
    <t>HEMQCAJ4</t>
  </si>
  <si>
    <t>Rudel, Thomas K.; Bates, Diane; Machinguiashi, Rafael</t>
  </si>
  <si>
    <t>A tropical forest transition? Agricultural change, out-migration, and secondary forests in the Ecuadorian Amazon</t>
  </si>
  <si>
    <t>Annals of the Association of American Geographers</t>
  </si>
  <si>
    <t>10.1111/1467-8306.00281</t>
  </si>
  <si>
    <t>2022-09-23 09:02:42</t>
  </si>
  <si>
    <t>2022-09-23T09:02:42Z</t>
  </si>
  <si>
    <t>87-102</t>
  </si>
  <si>
    <t>T9MQN8JK</t>
  </si>
  <si>
    <t>Richards, Michael</t>
  </si>
  <si>
    <t>Common property resource institutions and forest management in Latin America</t>
  </si>
  <si>
    <t>10.1111/1467-7660.00036</t>
  </si>
  <si>
    <t>2022-09-23 09:01:54</t>
  </si>
  <si>
    <t>2022-09-23T09:01:54Z</t>
  </si>
  <si>
    <t>95-117</t>
  </si>
  <si>
    <t>AZ2LS6X6</t>
  </si>
  <si>
    <t>Raymond-Yakoubian, Julie; Angnaboogok, Vernae</t>
  </si>
  <si>
    <t>Cosmological Changes</t>
  </si>
  <si>
    <t>Shared Lives of Humans and Animals: Animal Agency in the Global North</t>
  </si>
  <si>
    <t>10.4324/9781315228761-11</t>
  </si>
  <si>
    <t>2022-09-23 09:01:50</t>
  </si>
  <si>
    <t>2022-09-23T09:01:50Z</t>
  </si>
  <si>
    <t>V3XR9PSB</t>
  </si>
  <si>
    <t>Rodrigues, Ana S. L.; Andelman, Sandy J.; Bakarr, Mohamed I.; Boitani, Luigi; Brooks, Thomas M.; Cowling, Richard M.; Fishpool, Lincoln D. C.; da Fonseca, Gustavo A. B.; Gaston, Kevin J.; Hoffmann, Michael; Long, Janice S.; Marquet, Pablo A.; Pilgrim, John D.; Pressey, Robert L.; Schipper, Jan; Sechrest, Wes; Stuart, Simon N.; Underhill, Les G.; Waller, Robert W.; Watts, Matthew E. J.; Yan, Xie</t>
  </si>
  <si>
    <t>Effectiveness of the global protected area network in representing species diversity</t>
  </si>
  <si>
    <t>10.1038/nature02422</t>
  </si>
  <si>
    <t>2022-09-23 09:01:36</t>
  </si>
  <si>
    <t>2022-09-23T09:01:36Z</t>
  </si>
  <si>
    <t>640-643</t>
  </si>
  <si>
    <t>6983</t>
  </si>
  <si>
    <t>5C9S6I4C</t>
  </si>
  <si>
    <t>Quaedvlieg, Julia; Roca, Mishari García; Ros-Tonen, Mirjam A. F.</t>
  </si>
  <si>
    <t>Is Amazon nut certification a solution for increased smallholder empowerment in Peruvian Amazonia?</t>
  </si>
  <si>
    <t>10.1016/j.jrurstud.2013.10.004</t>
  </si>
  <si>
    <t>2022-09-23 09:00:55</t>
  </si>
  <si>
    <t>2022-09-23T09:00:55Z</t>
  </si>
  <si>
    <t>41-55</t>
  </si>
  <si>
    <t>6XT2UJLP</t>
  </si>
  <si>
    <t>Raynolds, Laura T.; Murray, Douglas; Heller, Andrew</t>
  </si>
  <si>
    <t>Regulating sustainability in the coffee sector: A comparative analysis of third-party environmental and social certification initiatives</t>
  </si>
  <si>
    <t>Agriculture and human values</t>
  </si>
  <si>
    <t>10.1007/s10460-006-9047-8</t>
  </si>
  <si>
    <t>2022-09-23 09:00:13</t>
  </si>
  <si>
    <t>2022-09-23T09:00:13Z</t>
  </si>
  <si>
    <t>147-163</t>
  </si>
  <si>
    <t>4976FLDG</t>
  </si>
  <si>
    <t>Rasmussen, Laura Vang; Coolsaet, Brendan; Martin, Adrian; Mertz, Ole; Pascual, Unai; Corbera, Esteve; Dawson, Neil; Fisher, Janet A.; Franks, Phil; Ryan, Casey M.</t>
  </si>
  <si>
    <t>Social-ecological outcomes of agricultural intensification</t>
  </si>
  <si>
    <t>10.1038/s41893-018-0070-8</t>
  </si>
  <si>
    <t>2022-09-23 09:00:02</t>
  </si>
  <si>
    <t>2022-09-23T09:00:02Z</t>
  </si>
  <si>
    <t>275</t>
  </si>
  <si>
    <t>2DPYLM4P</t>
  </si>
  <si>
    <t>Sato, Toshio; Qadir, Manzoor; Yamamoto, Sadahiro; Endo, Tsuneyoshi; Zahoor, Ahmad</t>
  </si>
  <si>
    <t>Agricultural Water Management</t>
  </si>
  <si>
    <t>03783774</t>
  </si>
  <si>
    <t>https://linkinghub.elsevier.com/retrieve/pii/S0378377413002163</t>
  </si>
  <si>
    <t>Irrigation with wastewater supports agricultural production and the livelihoods of millions of smallholder farmers in many parts of the world. Considering the importance of better wastewater management at the local and national levels, there is a need for updated national data on wastewater generation, treatment, and use, which would also assist in regional and global wastewater assessments. While searching data and literature in published or electronic forms for 181 countries, we find that only 55 countries have data available on all three aspects of wastewater - generation, treatment, and use. The number of countries with one or two aspects of wastewater generation, treatment, and use is 69, while there is no information available from 57 countries. Of the available information, only 37% of the data could be categorized as recent (reported during 2008-2012). The available data suggest that high-income countries on average treat 70% of the generated wastewater, followed by upper-middle-income countries (38%), lower-middle-income countries (28%), and low-income countries, where only 8% of the wastewater generated is treated. The availability of current information on wastewater generation, treatment, and use is crucially important for policy makers, researchers, and practitioners, as well as public institutions, to develop national and local action plans aiming at safe and productive use of wastewater in agriculture, aquaculture, and agroforestry systems. The country level information aggregated at the regional and global levels would help in identifying the gaps in pertinent data availability and assessing the potential of wastewater in food, feed, and fish production at different scales. © 2013 Elsevier B.V.</t>
  </si>
  <si>
    <t>2013-12</t>
  </si>
  <si>
    <t>2022-09-23 08:21:16</t>
  </si>
  <si>
    <t>2022-09-23T08:21:16Z</t>
  </si>
  <si>
    <t>2022-09-19 21:15:08</t>
  </si>
  <si>
    <t>1-13</t>
  </si>
  <si>
    <t>Z8WASQEB</t>
  </si>
  <si>
    <t>Rulli, Maria Cristina; Saviori, Antonio; D’Odorico, Paolo</t>
  </si>
  <si>
    <t>Global land and water grabbing</t>
  </si>
  <si>
    <t>10.1073/pnas.1213163110</t>
  </si>
  <si>
    <t>https://pnas.org/doi/full/10.1073/pnas.1213163110</t>
  </si>
  <si>
    <t>Societal pressure on the global land and freshwater resources is increasing as a result of the rising food demand by the growing human population, dietary changes, and the enhancement of biofuel production induced by the rising oil prices and recent changes in United States and European Union bioethanol policies. Many countries and corporations have started to acquire relatively inexpensive and productive agricultural land located in foreign countries, as evidenced by the dramatic increase in the number of transnational land deals between 2005 and 2009. Often known as “land grabbing,” this phenomenon is associated with an appropriation of freshwater resources that has never been assessed before. Here we gather land-grabbing data from multiple sources and use a hydrological model to determine the associated rates of freshwater grabbing. We find that land and water grabbing are occurring at alarming rates in all continents except Antarctica. The per capita volume of grabbed water often exceeds the water requirements for a balanced diet and would be sufficient to improve food security and abate malnourishment in the grabbed countries. It is found that about 0.31 × 10               12               m               3               ⋅y               −1               of green water (i.e., rainwater) and up to 0.14 × 10               12               m               3               ⋅y               −1               of blue water (i.e., irrigation water) are appropriated globally for crop and livestock production in 47 × 10               6               ha of grabbed land worldwide (i.e., in 90% of the reported global grabbed land).</t>
  </si>
  <si>
    <t>2013-01-15</t>
  </si>
  <si>
    <t>2022-09-23 08:20:04</t>
  </si>
  <si>
    <t>2022-09-23T08:20:04Z</t>
  </si>
  <si>
    <t>2022-09-20 08:39:27</t>
  </si>
  <si>
    <t>892-897</t>
  </si>
  <si>
    <t>ipbes-global_chapter1; ipbes-global_chapter2.1_drivers; ipbes-global_chapter3; ipbes-global_chapter4</t>
  </si>
  <si>
    <t>FSFP5GWF</t>
  </si>
  <si>
    <t>Robinson, Brian E.; Masuda, Yuta J.; Kelly, Allison; Holland, Margaret B.; Bedford, Charles; Childress, Malcolm; Fletschner, Diana; Game, Edward T.; Ginsburg, Chloe; Hilhorst, Thea; Lawry, Steven; Miteva, Daniela A.; Musengezi, Jessica; Naughton-Treves, Lisa; Nolte, Christoph; Sunderlin, William D.; Veit, Peter</t>
  </si>
  <si>
    <t>Incorporating Land Tenure Security into Conservation: Conservation and land tenure security</t>
  </si>
  <si>
    <t>10.1111/conl.12383</t>
  </si>
  <si>
    <t>https://onlinelibrary.wiley.com/doi/10.1111/conl.12383</t>
  </si>
  <si>
    <t>2018-03</t>
  </si>
  <si>
    <t>2022-09-23 07:58:26</t>
  </si>
  <si>
    <t>2022-09-23T07:58:26Z</t>
  </si>
  <si>
    <t>2022-09-22 07:27:54</t>
  </si>
  <si>
    <t>e12383</t>
  </si>
  <si>
    <t>CONSERVATION LETTERS</t>
  </si>
  <si>
    <t>Incorporating Land Tenure Security into Conservation</t>
  </si>
  <si>
    <t>WL9DZ5AE</t>
  </si>
  <si>
    <t>Reyes-García, Victoria; Vadez, Vincent; Huanca, Tomás; Leonard, William R.; McDade, Thomas</t>
  </si>
  <si>
    <t>Economic Development and Local Ecological Knowledge: A Deadlock? Quantitative Research from a Native Amazonian Society</t>
  </si>
  <si>
    <t>0300-7839, 1572-9915</t>
  </si>
  <si>
    <t>10.1007/s10745-006-9069-2</t>
  </si>
  <si>
    <t>http://link.springer.com/10.1007/s10745-006-9069-2</t>
  </si>
  <si>
    <t>2007-04-05</t>
  </si>
  <si>
    <t>2022-09-23 07:37:48</t>
  </si>
  <si>
    <t>2022-09-23T07:37:48Z</t>
  </si>
  <si>
    <t>2022-09-22 07:26:44</t>
  </si>
  <si>
    <t>371-377</t>
  </si>
  <si>
    <t>Hum Ecol</t>
  </si>
  <si>
    <t>Economic Development and Local Ecological Knowledge</t>
  </si>
  <si>
    <t>8YLY5EB4</t>
  </si>
  <si>
    <t>Rey Benayas, José M.; Bullock, James M.</t>
  </si>
  <si>
    <t>Restoration of Biodiversity and Ecosystem Services on Agricultural Land</t>
  </si>
  <si>
    <t>Ecosystems</t>
  </si>
  <si>
    <t>1002101295520</t>
  </si>
  <si>
    <t>10.1007/s10021-012-9552-0</t>
  </si>
  <si>
    <t>http://www3.uah.es/josemrey/Reprints/ReyBenayas&amp;Bullock_FarmlandRestoration_Ecosystems_2012.pdf</t>
  </si>
  <si>
    <t>2022-09-23 06:38:34</t>
  </si>
  <si>
    <t>2022-09-23T06:38:34Z</t>
  </si>
  <si>
    <t>883-899</t>
  </si>
  <si>
    <t>25D79U7R</t>
  </si>
  <si>
    <t>Ranganathan, Janet; Vennard, Daniel; Waite, Richard; Lipinski, Brian; Searchinger, Tim; Dumas, Patrice; Forslund, Agneta; Guyomard, Hervé; Manceron, Stéphane; Marajo-Petitzon, Elodie; Mouël, Chantal Le; Havlik, Petr; Herrero, Mario; Zhang, Xin; Wirsenius, Stefan; Ramos, Fabien; Yan, Xiaoyuan; Phillips, Michael; Mungkung, Rattanawan</t>
  </si>
  <si>
    <t>Shifting Diets for a Sustainable Food Future</t>
  </si>
  <si>
    <t>https://www.wri.org/publication/shifting-diets</t>
  </si>
  <si>
    <t>2016-04-20</t>
  </si>
  <si>
    <t>2022-09-23 06:36:41</t>
  </si>
  <si>
    <t>2022-09-23T06:36:41Z</t>
  </si>
  <si>
    <t>2020-05-13 15:27:45</t>
  </si>
  <si>
    <t>www.wri.org</t>
  </si>
  <si>
    <t>3J4V7733</t>
  </si>
  <si>
    <t>Rametsteiner, Ewald; Simula, Markku</t>
  </si>
  <si>
    <t>Forest certification—an instrument to promote sustainable forest management?</t>
  </si>
  <si>
    <t>Journal of Environmental Management</t>
  </si>
  <si>
    <t>03014797</t>
  </si>
  <si>
    <t>10.1016/S0301-4797(02)00191-3</t>
  </si>
  <si>
    <t>https://linkinghub.elsevier.com/retrieve/pii/S0301479702001913</t>
  </si>
  <si>
    <t>2003-01</t>
  </si>
  <si>
    <t>2022-09-23 06:36:10</t>
  </si>
  <si>
    <t>2022-09-23T06:36:10Z</t>
  </si>
  <si>
    <t>87-98</t>
  </si>
  <si>
    <t>G8PKYPZY</t>
  </si>
  <si>
    <t>Pyšek, Petr; Richardson, David M.</t>
  </si>
  <si>
    <t>Annual Review of Environment and Resources</t>
  </si>
  <si>
    <t>1543-5938</t>
  </si>
  <si>
    <t>http://www.annualreviews.org/doi/10.1146/annurev-environ-033009-095548</t>
  </si>
  <si>
    <t>2010-11</t>
  </si>
  <si>
    <t>2022-09-23 06:35:55</t>
  </si>
  <si>
    <t>2022-09-23T06:35:55Z</t>
  </si>
  <si>
    <t>25-55</t>
  </si>
  <si>
    <t>UZZN24DV</t>
  </si>
  <si>
    <t>Reyes-García, Victoria; Paneque-Gálvez, Jaime; Luz, A.; Gueze, M.; MacÍa, M.; Orta-Martínez, Martí; Pino, Joan</t>
  </si>
  <si>
    <t>Cultural change and traditional ecological knowledge: An empirical analysis from the Tsimane' in the Bolivian Amazon</t>
  </si>
  <si>
    <t>Human Organization</t>
  </si>
  <si>
    <t>00187259</t>
  </si>
  <si>
    <t>10.17730/humo.73.2.31nl363qgr30n017.Cultural</t>
  </si>
  <si>
    <t>Among the different factors associated with change in traditional ecological knowledge, the study of the relations between cultural change and traditional ecological knowledge has received scan and inadequate scholarly attention. Using data from indigenous peoples of an Amazonian society facing increasing exposure to the mainstream Bolivian society, we analyzed the relation between traditional ecological knowledge, proxied with individual plant use knowledge and cultural change, proxied with individual-(n=484) and village-level (n=47) measures of attachment to traditional beliefs and values. We found that both the individual level of detachment from traditional values and the village level detachment from traditional values were associated with individual levels of plant use knowledge, irrespective of other proxy measures for cultural change. Because both the individual-and the village-level variables bear statistically significant associations with plant use knowledge, our results suggest that both the individual-and the supra-individual level processes of cultural change are related to the erosion of plant use knowledge. Results from our work highlight the importance of analyzing processes that operate at intermediary social units-the village in our case study-to explain changes in traditional ecological knowledge.</t>
  </si>
  <si>
    <t>162–173</t>
  </si>
  <si>
    <t>PMID: 1535666683</t>
  </si>
  <si>
    <t>XJEFI66H</t>
  </si>
  <si>
    <t>Rudel, Thomas K.; Defries, Ruth; Asner, Gregory P.; Laurance, William F.</t>
  </si>
  <si>
    <t>Changing drivers of deforestation and new opportunities for conservation</t>
  </si>
  <si>
    <t>10.1111/j.1523-1739.2009.01332.x</t>
  </si>
  <si>
    <t>Over the past 50 years, human agents of deforestation have changed in ways that have potentially important implications for conservation efforts. We characterized these changes through a meta-analysis of case studies of land-cover change in the tropics. From the 1960s to the 1980s, small-scale farmers, with state assistance, deforested large areas of tropical forest in Southeast Asia and Latin America. As globalization and urbanization increased during the 1980s, the agents of deforestation changed in two important parts of the tropical biome, the lowland rainforests in Brazil and Indonesia. Well-capitalized ranchers, farmers, and loggers producing for consumers in distant markets became more prominent in these places and this globalization weakened the historically strong relationship between local population growth and forest cover. At the same time, forests have begun to regrow in some tropical uplands. These changing circumstances, we believe, suggest two new and differing strategies for biodiversity conservation in the tropics, one focused on conserving uplands and the other on promoting environmental stewardship in lowlands and other areas conducive to industrial agriculture.</t>
  </si>
  <si>
    <t>1396-1405</t>
  </si>
  <si>
    <t>RET8U7TK</t>
  </si>
  <si>
    <t>Sayer, Jeffrey; Bull, Gary; Elliott, Chris</t>
  </si>
  <si>
    <t>Mediating Forest Transitions: 'Grand Design' or 'Muddling Through'</t>
  </si>
  <si>
    <t>10.4103/0972-4923.49195</t>
  </si>
  <si>
    <t>Present biodiversity conservation programmes in the remaining extensive forest blocks of the humid trop-ics are failing to achieve outcomes that will be viable in the medium to long term. Too much emphasis is given to what we term 'grand design'—ambitious and idealistic plans for conservation. Such plans im-plicitly oppose or restrict development and often attempt to block it by speculatively establishing paper parks. Insufficient recognition is given to the inevitable long term pressures for conversion to other land uses and to the weakness of local constituencies for conservation. Conservation institutions must build their capacity to engage with the process of change. They must constantly adapt to deal with a continuously unfolding set of challenges, opportunities and changing societal needs. This can be achieved by long term on-the-ground engagement and 'muddling through'. The range of conservation options must be enlarged to give more attention to biodiversity in managed landscapes and to mosaics composed of areas with dif-fering intensities of use. The challenge is to build the human capacity and institutions to achieve this.</t>
  </si>
  <si>
    <t>320-327</t>
  </si>
  <si>
    <t>ZPMGKLLK</t>
  </si>
  <si>
    <t>Rudel, Thomas K.; Coomes, Oliver T.; Moran, Emilio; Achard, Frederic; Angelsen, Arild; Xu, Jianchu; Lambin, Eric</t>
  </si>
  <si>
    <t>Forest transitions: Towards a global understanding of land use change</t>
  </si>
  <si>
    <t>10.1016/j.gloenvcha.2004.11.001</t>
  </si>
  <si>
    <t>Places experience forest transitions when declines in forest cover cease and recoveries in forest cover begin. Forest transitions have occurred in two, sometimes overlapping circumstances. In some places economic development has created enough non-farm jobs to pull farmers off of the land, thereby inducing the spontaneous regeneration of forests in old fields. In other places a scarcity of forest products has prompted governments and landowners to plant trees in some fields. The transitions do little to conserve biodiversity, but they do sequester carbon and conserve soil, so governments should place a high priority on promoting them. ©2005 Elsevier Ltd. All rights reserved.</t>
  </si>
  <si>
    <t>23-31</t>
  </si>
  <si>
    <t>PGYSCHE7</t>
  </si>
  <si>
    <t>Ramankutty, Navin; Evan, Amato T.; Monfreda, Chad; Foley, Jonathan A.</t>
  </si>
  <si>
    <t>Farming the planet: 1. Geographic distribution of global agricultural lands in the year 2000</t>
  </si>
  <si>
    <t>Global Biogeochemical Cycles</t>
  </si>
  <si>
    <t>08866236</t>
  </si>
  <si>
    <t>10.1029/2007GB002952</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</si>
  <si>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(similar to 10 km) spatial resolution in longitude by longitude, have greater accuracy than previously available, and for the first time include statistical confidence intervals on the estimates. According to the data, there were 15.0 (90% confidence range of 12.2-17.1) million km 2 of cropland (12% of the Earth's ice-free land surface) and 28.0 (90% confidence range of 23.6-30.0) million km 2 of pasture (22%) in the year 2000.</t>
  </si>
  <si>
    <t>AHNT4ZQT</t>
  </si>
  <si>
    <t>Rocha, Juan Carlos; Peterson, Garry D.; Biggs, Reinette</t>
  </si>
  <si>
    <t>Regime Shifts in the Anthropocene: Drivers, Risks, and Resilience</t>
  </si>
  <si>
    <t>10.1371/journal.pone.0134639</t>
  </si>
  <si>
    <t>http://dx.plos.org/10.1371/journal.pone.0134639</t>
  </si>
  <si>
    <t>Many ecosystems can experience regime shifts: surprising, large and persistent changes in the function and structure of ecosystems. Assessing whether continued global change will lead to further regime shifts, or has the potential to trigger cascading regime shifts has been a central question in global change policy. Addressing this issue has, however, been hampered by the focus of regime shift research on specific cases and types of regime shifts. To systematically assess the global risk of regime shifts we conducted a comparative analysis of 25 generic types of regime shifts across marine, terrestrial and polar systems; identifying their drivers, and impacts on ecosystem services. Our results show that the drivers of regime shifts are diverse and co-occur strongly, which suggests that continued global change can be expected to synchronously increase the risk of multiple regime shifts. Furthermore, many regime shift drivers are related to climate change and food production, whose links to the continued expansion of human activities makes them difficult to limit. Because many regime shifts can amplify the drivers of other regime shifts, continued global change can also be expected to increase the risk of cascading regime shifts. Nevertheless, the variety of scales at which regime shift drivers operate provides opportunities for reducing the risk of many types of regime shifts by addressing local or regional drivers, even in the absence of rapid reduction of global drivers.</t>
  </si>
  <si>
    <t>e0134639</t>
  </si>
  <si>
    <t>ipbes-global_chapter2.1_drivers; ipbes-global_chapter5; ipbes-global_glossary</t>
  </si>
  <si>
    <t>Unsworth, Richard K. F.</t>
  </si>
  <si>
    <t>9KF3FXGD</t>
  </si>
  <si>
    <t>Root, Tl; Price, Jt; Hall, Kr; Schneider, Sh</t>
  </si>
  <si>
    <t>Fingerprints of global warming on wild animals and plants</t>
  </si>
  <si>
    <t>10.1038/nature01309.1</t>
  </si>
  <si>
    <t>http://www.nature.com/nature/journal/v421/n6918/abs/nature01333.html</t>
  </si>
  <si>
    <t>Over the past 100 years, the global average temperature has increased by approximately 0.6 degreesC and is projected to continue to rise at a rapid rate(1). Although species have responded to climatic changes throughout their evolutionary history(2), a primary concern for wild species and their ecosystems is this rapid rate of change(3). We gathered information on species and global warming from 143 studies for our meta-analyses. These analyses reveal a consistent temperature-related shift, or 'fingerprint', in species ranging from molluscs to mammals and from grasses to trees. Indeed, more than 80% of the species that show changes are shifting in the direction expected on the basis of known physiological constraints of species. Consequently, the balance of evidence from these studies strongly suggests that a significant impact of global warming is already discernible in animal and plant populations. The synergism of rapid temperature rise and other stresses, in particular habitat destruction, could easily disrupt the connectedness among species and lead to a reformulation of species communities, reflecting differential changes in species, and to numerous extirpations and possibly extinctions.</t>
  </si>
  <si>
    <t>57-60</t>
  </si>
  <si>
    <t>6918</t>
  </si>
  <si>
    <t>XZWPR6E9</t>
  </si>
  <si>
    <t>Rudel, Thomas K.; Schneider, Laura; Uriarte, Maria; Turner, B. L.; DeFries, Ruth S.; Lawrence, Deborah; Geoghegan, Jacqueline; Hecht, Susanna; Ickowitz, Amy; Lambin, Eric F.; Birkenholtz, Trevor; Baptista, Sandra; Grau, Ricardo</t>
  </si>
  <si>
    <t>Agricultural intensification and changes in cultivated areas, 1970-2005</t>
  </si>
  <si>
    <t>10.1073/pnas.0812540106</t>
  </si>
  <si>
    <t>Does the intensification of agriculture reduce cultivated areas and, in so doing, spare some lands by concentrating production on other lands? Such sparing is important for many reasons, among them the enhanced abilities of released lands to sequester carbon and provide other environmental services. Difficulties measuring the extent of spared land make it impossible to investigate fully the hypothesized causal chain from agricultural intensification to declines in cultivated areas and then to increases in spared land. We analyze the historical circumstances in which rising yields have been accompanied by declines in cultivated areas, thereby leading to land-sparing. We use national-level United Nations Food and Agricultural Organization data on trends in cropland from 1970-2005, with particular emphasis on the 1990-2005 period, for 10 major crop types. Cropland has increased more slowly than population during this period, but paired increases in yields and declines in cropland occurred infrequently, both globally and nationally. Agricultural intensification was not generally accompanied by decline or stasis in cropland area at a national scale during this time period, except in countries with grain imports and conservation set-aside programs. Future projections of cropland abandonment and ensuing environmental services cannot be assumed without explicit policy intervention.</t>
  </si>
  <si>
    <t>20675-80</t>
  </si>
  <si>
    <t>X9W83DSR</t>
  </si>
  <si>
    <t>Ritchie, Hannah; Roser, Max</t>
  </si>
  <si>
    <t>Air Pollution</t>
  </si>
  <si>
    <t>https://ourworldindata.org/air-pollution</t>
  </si>
  <si>
    <t>DD9WI8IG</t>
  </si>
  <si>
    <t>Renner, Michael</t>
  </si>
  <si>
    <t>The Anatomy of Resource Wars</t>
  </si>
  <si>
    <t>THE WORLDWATCH INSTITUTE is an independent research organization that works for an environmentally sustainable and socially just society, in which the needs of all people are met without threatening the health of the natu-ral environment or the well-being of future generations. By providing com-pelling, accessible, and fact-based analysis of critical global issues, Worldwatch informs people around the world about the complex interactions between peo-ple, nature, and economies. Worldwatch focuses on the underlying causes of and practical solutions to the world's problems, in order to inspire people to demand new policies, investment patterns, and lifestyle choices. Scriabine—and from the many other friends of Worldwatch. THE WORLDWATCH PAPERS provide in-depth, quantitative, and quali-tative analysis of the major issues affecting prospects for a sustainable soci-ety. The Papers are written by members of the Worldwatch Institute research staff and reviewed by experts in the field. They have been used as concise and authoritative references by governments, nongovernmental organizations, and educational institutions worldwide. For a partial list of available Worldwatch Papers, see back pages.</t>
  </si>
  <si>
    <t>SKFYIDFC</t>
  </si>
  <si>
    <t>Roser, M.; Ritchie, Hannah; Ortiz-Ospina, E.</t>
  </si>
  <si>
    <t>World Population Growth</t>
  </si>
  <si>
    <t>https://ourworldindata.org/world-population-growth</t>
  </si>
  <si>
    <t>27V2H5SF</t>
  </si>
  <si>
    <t>Sallenger, Asbury H.; Doran, Kara S.; Howd, Peter A.</t>
  </si>
  <si>
    <t>1758-678X</t>
  </si>
  <si>
    <t>10.1038/nclimate1597</t>
  </si>
  <si>
    <t>http://www.nature.com/articles/nclimate1597</t>
  </si>
  <si>
    <t>Climate warming does not force sea-level rise (SLR) at the same rate everywhere. Rather, there are spatial variations of SLR superimposed on a global average rise. These variations are forced by dynamic processes1, 2, 3, 4, arising from circulation and variations in temperature and/or salinity, and by static equilibrium processes5, arising from mass redistributions changing gravity and the Earth's rotation and shape. These sea-level variations form unique spatial patterns, yet there are very few observations verifying predicted patterns or fingerprints6. Here, we present evidence of recently accelerated SLR in a unique 1,000-km-long hotspot on the highly populated North American Atlantic coast north of Cape Hatteras and show that it is consistent with a modelled fingerprint of dynamic SLR. Between 1950–1979 and 1980–2009, SLR rate increases in this northeast hotspot were ∼ 3–4 times higher than the global average. Modelled dynamic plus steric SLR by 2100 at New York City ranges with Intergovernmental Panel on Climate Change scenario from 36 to 51 cm (ref. 3); lower emission scenarios project 24–36 cm (ref. 7). Extrapolations from data herein range from 20 to 29 cm. SLR superimposed on storm surge, wave run-up and set-up will increase the vulnerability of coastal cities to flooding, and beaches and wetlands to deterioration.</t>
  </si>
  <si>
    <t>2012-12</t>
  </si>
  <si>
    <t>884-888</t>
  </si>
  <si>
    <t>3DQFISQN</t>
  </si>
  <si>
    <t>Salmi, Pekka; Sipponen, Matti</t>
  </si>
  <si>
    <t>Cultural Strengths and Governance Challenges of a Northern Inland Fishery</t>
  </si>
  <si>
    <t>Inter-Sectoral Governance of Inland Fisheries'</t>
  </si>
  <si>
    <t>84-96</t>
  </si>
  <si>
    <t>TBTI Publication Series, E-01/2017</t>
  </si>
  <si>
    <t>St John's, Newfoundland, Canada</t>
  </si>
  <si>
    <t>Song, A. M.; Bower, S. D.; Onyango, P.; Cooke, S. J.; Chuenpagdee, R.</t>
  </si>
  <si>
    <t>9A4AZABT</t>
  </si>
  <si>
    <t>Sachs, Jeffrey D.; Warner, Andrew M.</t>
  </si>
  <si>
    <t>Natural resource abundance and economic growth</t>
  </si>
  <si>
    <t>M86GLXEM</t>
  </si>
  <si>
    <t>RIIA</t>
  </si>
  <si>
    <t>Scale of illegal logging</t>
  </si>
  <si>
    <t>https://www.illegal-logging.info/topics/scale-illegal-logging%20</t>
  </si>
  <si>
    <t>2017-11-25 00:00:00</t>
  </si>
  <si>
    <t>YDRZ8VK5</t>
  </si>
  <si>
    <t>PRB</t>
  </si>
  <si>
    <t>2014 World Population Data Sheet</t>
  </si>
  <si>
    <t>https://www.prb.org/world-population-2014/</t>
  </si>
  <si>
    <t>H8SXQ2KZ</t>
  </si>
  <si>
    <t>SASB</t>
  </si>
  <si>
    <t>Financials – Sustainability Accounting Standards</t>
  </si>
  <si>
    <t>Sustainability Accounting Standards Board</t>
  </si>
  <si>
    <t>San Francisco, CA</t>
  </si>
  <si>
    <t>YGDJHJ7W</t>
  </si>
  <si>
    <t>Rudel, Thomas K.</t>
  </si>
  <si>
    <t>Is There a Forest Transition? Deforestation, Reforestation, and Development</t>
  </si>
  <si>
    <t>Rural Sociology</t>
  </si>
  <si>
    <t>00360112</t>
  </si>
  <si>
    <t>10.1111/j.1549-0831.1998.tb00691.x</t>
  </si>
  <si>
    <t>http://doi.wiley.com/10.1111/j.1549-0831.1998.tb00691.x</t>
  </si>
  <si>
    <t>Environmental social scientists have recently begun to use the term 'forest transition' to describe how forest cover changes as economic development occurs in nations. The hypothesized transition occurs as follows. An initial surge in economic activity in impoverished societies spurs deforestation, but as economic activity continues to intensify and cities grow larger, a 'turnaround' occurs, and deforestation gives way to reforestation. This paper uses cross‐national data from five successive surveys of world forest resources to assess this empirical claim. A turnaround in forest cover trends does occur in a significant number of nations. The paper also evaluates two explanations for the turnaround, a wood scarcity hypothesis derived from microeconomic theory and an industrialization hypothesis linked to central place theory. It finds period specific support for the industrialization hypothesis. The paper concludes with a brief discussion of the implications of these findings for proposals to alleviate the biodiversity crisis through programs of reforestation.</t>
  </si>
  <si>
    <t>1998-12</t>
  </si>
  <si>
    <t>533-552</t>
  </si>
  <si>
    <t>JFH2ZZ5J</t>
  </si>
  <si>
    <t>Satter, Beryl</t>
  </si>
  <si>
    <t>Family properties : How the struggle over race and real estate transformed Chicago and urban America</t>
  </si>
  <si>
    <t>0-8050-7676-X</t>
  </si>
  <si>
    <t>1st edition. Part family story and part urban history, this work is a landmark investigation of segregation and urban decay in Chicago, and in cities across the nation. The "promised land" for thousands of Southern blacks, postwar Chicago quickly became the most segregated city in the North, the site of the nation's worst ghettos and the target of Martin Luther King Jr.'s first campaign beyond the South. In this book, the author identifies the true causes of the city's black slums and the ruin of urban neighborhoods throughout the country. It is not, as some have argued, black pathology, the culture of poverty, or white flight, but a widespread and institutionalized system of legal and financial exploitation. This is an account of a city in crisis; unscrupulous lawyers, slumlords, and speculators are pitched against religious reformers, community organizers, and an impassioned attorney who launched a crusade against the profiteers, the author's father, Mark J. Satter. At the heart of the struggle stand the black migrants who, having left the South with its legacy of sharecropping, suddenly find themselves caught in a new kind of debt peonage. The author shows the interlocking forces at work in their oppression: the discriminatory practices of the banking industry; the federal policies that created the country's shameful "dual housing market" ; the economic anxieties that fueled white violence; and the tempting profits to be made by preying on the city's most vulnerable population. This tale of racism and real estate, politics and finance, will forever change our understanding of the forces that transformed urban America.–[Provided by publisher.]. The story of my father – Jewish Lawndale – The noose around Black Chicago – Justice in Chicago – Reform–Illinois-style – The liberal moment and the death of a radical – King in Chicago – The story of a building – Organizing Lawndale – The big holdout – The federal trials.</t>
  </si>
  <si>
    <t>Henry Holt and Company</t>
  </si>
  <si>
    <t>YMHH2GGB</t>
  </si>
  <si>
    <t>Qaim, M.; De Janvry, A.</t>
  </si>
  <si>
    <t>Bt cotton and pesticide use in Argentina: economic and environmental effects</t>
  </si>
  <si>
    <t>10.1017/S1355770X04001883</t>
  </si>
  <si>
    <t>This article analyzes effects of insect-resistant Bt cotton on pesticide use and agricultural productivity in Argentina. Based on farm survey data, it is shown that the technology reduces application rates of toxic chemicals by 50 per cent, while significantly increasing yields. Using a damage control framework, the effectiveness of Bt versus chemical pesticides is estimated, and technological impacts are predicted for different farm types. Gross benefits could be highest for smallholder farmers, who are not currently using the technology. The durability of the advantages is analyzed by using biological models to simulate resistance development in pest populations. Rapid resistance buildup and associated pest outbreaks appear to be unlikely if minimum non-Bt refuge areas are maintained. Thus, promoting a more widespread diffusion of Bt cotton could amplify the efficiency, equity, and environmental gains. Conclusive statements about the technology s sustainability, however, require longer-term monitoring of possible secondary effects and farmers behavior in maintaining refuges.</t>
  </si>
  <si>
    <t>8XKFI9HI</t>
  </si>
  <si>
    <t>Quinton, John N.; Catt, John A.</t>
  </si>
  <si>
    <t>Environmental Science and Technology</t>
  </si>
  <si>
    <t>0013936X</t>
  </si>
  <si>
    <t>Heavy metal pollution of soil and water is often associated with industry, but in this paper we demonstrate that water erosion on agricultural soil which has received only agrochemicals has enriched sediment metal concentrations to toxic levels which breach many accepted standards for soils and sediments. Eight 0.1 ha erosion plots with different cultivation treatments were monitored over a 6 year period for surface runoff, soil loss, and Cr, Cu, Pb, and Ni concentrations. Mean concentrations of these heavy metals were up to 3.98 times higher in the sediment than in the parent soil and in some erosion events the sediment had 13.5 times the concentration of metals in the soil. All the sediment heavy metal concentrations were significantly correlated (p \textless 0.01) with the clay and silt sized fractions of the sediment and with carbon content. The erosion was a highly selective process enriching the detached material in silt, clay, and organic carbon. This was particularly true in smaller erosion events. Sedime...</t>
  </si>
  <si>
    <t>4NBZJBD2</t>
  </si>
  <si>
    <t>Qaim, M.; Zilberman, D.</t>
  </si>
  <si>
    <t>Yield Effects of Genetically Modified Crops in Developing Countries</t>
  </si>
  <si>
    <t>10.1126/science.1080609</t>
  </si>
  <si>
    <t>Onfarm field trials carried out with Bacillus thuringiensis (Bt) cotton in different states of India show that the technology substantially reduces pest damage and increases yields. The yield gains are much higher than what has been reported for other countries where genetically modified crops were used mostly to replace and enhance chemical pest control. In many developing countries, small-scale farmers especially suffer big pest-related yield losses because of technical and economic constraints. Pest-resistant genetically modified crops can contribute to increased yields and agricultural growth in those situations, as the case of Bt cotton in India demonstrates.</t>
  </si>
  <si>
    <t>FVFHVE42</t>
  </si>
  <si>
    <t>Qaim, Matin; de Janvry, Alain</t>
  </si>
  <si>
    <t>Genetically modified crops, corporate pricing strategies, and farmers' adoption: The case of Bt cotton in Argentina</t>
  </si>
  <si>
    <t>00029092</t>
  </si>
  <si>
    <t>10.1111/1467-8276.00490</t>
  </si>
  <si>
    <t>Monopoly pricing effects on adoption and impacts of Bt cotton in Argentina. Survey data from 299 cotton farmers (89 adopters and 210 non-adopters) was collected in 2001 in Chaco and Santiago del Estero provinces. The contingent valuation method was used to elicit farmers' willingness to pay for Bt technology and estimate the demand curve. Gross margins and cost of production were compared for Bt and non-Bt plots among farmers growing both types of cotton. Adoption reduced expenditures on insecticides and significantly increased yields. However, increased cost of seed almost doubled input expenditures. Private innovators with a technology patent may capture gains through monopoly pricing. An area proportion model was estimated, controlling for selection bias and correlation across groups. Results suggest that benefits of adoption are curbed by high seed prices. On average, farmers are willing to pay half the current price. The authors suggest that lower prices would not only benefit farmers but multiply company profits too.</t>
  </si>
  <si>
    <t>6R79A35C</t>
  </si>
  <si>
    <t>Qaim, Matin</t>
  </si>
  <si>
    <t>The Economics of Genetically Modified Crops</t>
  </si>
  <si>
    <t>10.1146/annurev.resource.050708.144203</t>
  </si>
  <si>
    <t>Genetically modified (GM) crops have been used commercially for more than 10 years. Available impact studies of insect-resistant and herbicide-tolerant crops show that these technologies are beneficial to farmers and consumers, producing large aggregate welfare gains as well as positive effects for the environment and human health. The advantages of future applications could even be much bigger. Given a conducive institutional framework, GM crops can contribute significantly to global food security and poverty reduction. Nonetheless, widespread public reservations have led to a complex system of regulations. Overregulation has become a real threat for the further development and use of GM crops. The costs in terms of foregone benefits may be large, especially for developing countries. Economics research has an important role to play in designing efficient regulatory mechanisms and agricultural innovation systems.</t>
  </si>
  <si>
    <t>3E6HXMWQ</t>
  </si>
  <si>
    <t>Ramankutty, Navin; Graumlich, Lisa; Achard, Frédéric; Alves, Diogenes; Chhabra, Abha; DeFries, Ruth S.; Foley, Jonathan A.; Geist, Helmut; Houghton, Richard A.; Goldewijk, Kees Klein; Lambin, Eric F.; Millington, Andrew; Rasmussen, Kjeld; Reid, Robin S.; Turner, Billie L.</t>
  </si>
  <si>
    <t>Global Land-Cover Change: Recent Progress, Remaining Challenges</t>
  </si>
  <si>
    <t>Land-Use and Land-Cover Change</t>
  </si>
  <si>
    <t>3-540-32202-7</t>
  </si>
  <si>
    <t>Since time immemorial, humankind has changed landscapes in attempts to improve the amount, quality, and security of natural resources critical to its well being, such as food, freshwater, fiber, and medicinal products. Through the increased use of innovation, human populations have, slowly at first, and at increasingly rapid pace later on, increased its ability to derive resources from the environment, and expand its territory. Several authors have identified three different phases - the control of fire, domestication of biota, and fossil-fuel use - as being pivotal in enabling increased appropriation of natural resources (Goudsblom and De Vries 2004; Turner II and McCandless 2004).</t>
  </si>
  <si>
    <t>JLZW8IR5</t>
  </si>
  <si>
    <t>Ramanathan, V.; Carmichael, G.</t>
  </si>
  <si>
    <t>Global and regional climate changes due to black carbon</t>
  </si>
  <si>
    <t>1752-0894</t>
  </si>
  <si>
    <t>10.1038/ngeo156</t>
  </si>
  <si>
    <t>Black carbon in soot is the dominant absorber of visible solar radiation in the atmosphere. Anthropogenic sources of black carbon, although distributed globally, are most concentrated in the tropics where solar irradiance is highest. Black carbon is often transported over long distances, mixing with other aerosols along the way. The aerosol mix can form transcontinental plumes of atmospheric brown clouds, with vertical extents of 3 to 5 km. Because of the combination of high absorption, a regional distribution roughly aligned with solar irradiance, and the capacity to form widespread atmospheric brown clouds in a mixture with other aerosols, emissions of black carbon are the second strongest contribution to current global warming, after carbon dioxide emissions. In the Himalayan region, solar heating from black carbon at high elevations may be just as important as carbon dioxide in the melting of snowpacks and glaciers. The interception of solar radiation by atmospheric brown clouds leads to dimming at the Earth's surface with important implications for the hydrological cycle, and the deposition of black carbon darkens snow and ice surfaces, which can contribute to melting, in particular of Arctic sea ice.</t>
  </si>
  <si>
    <t>SIKRKEUC</t>
  </si>
  <si>
    <t>Ravallion, Martin; Chen, Shaohua; Sangraula, Prem</t>
  </si>
  <si>
    <t>Dollar a Day Revisited</t>
  </si>
  <si>
    <t>The Policy Research Working Paper Series disseminates the findings of work in progress to encourage the exchange of ideas about development issues. An objective of the series is to get the findings out quickly, even if the presentations are less than fully polished.</t>
  </si>
  <si>
    <t>AZWKL5R5</t>
  </si>
  <si>
    <t>Rask, Kolleen J.; Rask, Norman</t>
  </si>
  <si>
    <t>Food Policy</t>
  </si>
  <si>
    <t>03069192</t>
  </si>
  <si>
    <t>Rising affluence in major developing countries (principally China and India) and increasing diversion of agricultural resources for energy production (USA and Brazil) sharply increase agricultural resource demand. Food consumption and production changes during development are analyzed using resource-based cereal-equivalent measures. Diet upgrades to livestock products require fivefold increases in per capita food resource use, reflecting a consistent pattern which is only marginally affected by land base. Food consumption increases exceed production during early development, leading to imports. Consumption eventually stabilizes at high incomes, but production falls short in land-scarce countries. Pork and poultry consumption increase the most; less efficient beef and dairy production command a majority of agricultural resources. ?? 2010 Elsevier Ltd.</t>
  </si>
  <si>
    <t>RHPUPB96</t>
  </si>
  <si>
    <t>Ramkissoon, Haywantee; Graham Smith, Liam David; Weiler, Betty</t>
  </si>
  <si>
    <t>Testing the dimensionality of place attachment and its relationships with place satisfaction and pro-environmental behaviours: A structural equation modelling approach</t>
  </si>
  <si>
    <t>Tourism Management</t>
  </si>
  <si>
    <t>0261-5177</t>
  </si>
  <si>
    <t>10.1016/j.tourman.2012.09.003</t>
  </si>
  <si>
    <t>552-566</t>
  </si>
  <si>
    <t>DKMTHIYP</t>
  </si>
  <si>
    <t>Rights; Resource, Iniciative</t>
  </si>
  <si>
    <t>What future for refrom? Progress and slowdown in forest tenure reform since 2002</t>
  </si>
  <si>
    <t>978-0-9833674-8-2</t>
  </si>
  <si>
    <t>Washington, DC</t>
  </si>
  <si>
    <t>GTVG5R58</t>
  </si>
  <si>
    <t>Richey, Alexandra S.; Thomas, Brian F.; Lo, Min-Hui; Reager, John T.; Famiglietti, James S.; Voss, Katalyn; Swenson, Sean; Rodell, Matthew</t>
  </si>
  <si>
    <t>Water Resources Research</t>
  </si>
  <si>
    <t>Groundwater is an increasingly important water supply source globally. Understanding the amount of groundwater used versus the volume available is crucial to evaluate future water availability. We present a groundwater stress assessment to quantify the relationship between groundwater use and availability in the world's 37 largest aquifer systems. We quantify stress according to a ratio of groundwater use to availability, which we call the Renewable Groundwater Stress ratio. The impact of quantifying groundwater use based on nationally reported groundwater withdrawal statistics is compared to a novel approach to quantify use based on remote sensing observations from the Gravity Recovery and Climate Experiment (GRACE) satellite mission. Four characteristic stress regimes are defined: Overstressed, Variable Stress, Human-dominated Stress, and Unstressed. The regimes are a function of the sign of use (positive or negative) and the sign of groundwater availability, defined as mean annual recharge. The ability to mitigate and adapt to stressed conditions, where use exceeds sustainable water availability, is a function of economic capacity and land use patterns. Therefore, we qualitatively explore the relationship between stress and anthropogenic biomes. We find that estimates of groundwater stress based on withdrawal statistics are unable to capture the range of characteristic stress regimes, especially in regions dominated by sparsely populated biome types with limited cropland. GRACE-based estimates of use and stress can holistically quantify the impact of groundwater use on stress, resulting in both greater magnitudes of stress and more variability of stress between regions. This article is protected by copyright. All rights reserved.</t>
  </si>
  <si>
    <t>5217-5238</t>
  </si>
  <si>
    <t>LN6Y6RZJ</t>
  </si>
  <si>
    <t>Rickson, R. J.</t>
  </si>
  <si>
    <t>The detrimental impact of sediment and associated pollutants on water quality is widely acknowledged, with many watercourses in the UK failing to meet the standard of 'good ecological status'. Catchment sediment budgets show that hill slope erosion processes can be significant sources of waterborne sediment, with rates of erosion likely to increase given predicted future weather patterns. However, linking on-site erosion rates with off-site impacts is complicated because of the limited data on soil erosion rates in the UK and the dynamic nature of the source-pathway-receptor continuum over space and time. Even so, soil erosion control measures are designed to reduce sediment production (source) and mobilisation/transport (pathway) on hill slopes, with consequent mitigation of pollution incidents in watercourses (receptors). The purpose of this paper is to review the scientific evidence of the effectiveness of erosion control measures used in the UK to reduce sediment loads of hill slope origin in watercourses. Although over 73 soil erosion mitigation measures have been identified from the literature, empirical data on erosion control effectiveness are limited. Baseline comparisons for the 18 measures where data do exist reveal erosion control effectiveness is highly variable over time and between study locations. Given the limitations of the evidence base in terms of geographical coverage and duration of monitoring, performance of the different measures cannot be extrapolated to other areas.This uncertainty in effectiveness has implications for implementing erosion/sediment risk reduction policies, where quantified targets are stipulated, as is the case in the EU Freshwater Fish and draft Soil Framework Directives. Also, demonstrating technical effectiveness of erosion control measures alone will not encourage uptake by land managers: quantifying the costs and benefits of adopting erosion mitigation is equally important, but these are uncertain and difficult to express in monetary terms. © 2013 Elsevier B.V.</t>
  </si>
  <si>
    <t>58NZNUST</t>
  </si>
  <si>
    <t>Richardson, Miles; McEwan, Kirsten; Maratos, Frances; Sheffield, David</t>
  </si>
  <si>
    <t>Joy and Calm: How an Evolutionary Functional Model of Affect Regulation Informs Positive Emotions in Nature</t>
  </si>
  <si>
    <t>Evolutionary Psychological Science</t>
  </si>
  <si>
    <t>2198-9885</t>
  </si>
  <si>
    <t>10.1007/s40806-016-0065-5</t>
  </si>
  <si>
    <t>Key theories of the human need for nature take an evolutionary perspective, and many of the mental well-being benefits of nature relate to positive affect. As affect has a physiological basis, it is important to consider these benefits alongside regulatory processes. However, research into nature and positive affect tends not to consider affect regulation and the neurophysiology of emotion. This brief systematic review and meta-analysis presents evidence to support the use of an existing evolutionary functional model of affect regulation (the three circle model of emotion) that provides a tripartite framework in which to consider the mental well-being benefits of nature and to guide nature-based well-being interventions. The model outlines drive, contentment and threat dimensions of affect regulation based on a review of the emotion regulation literature. The model has been used previously for understanding mental well-being, delivering successful mental health-care interventions and providing directions for future research. Finally, the three circle model is easily understood in the context of our everyday lives, providing an accessible physiological-based narrative to help explain the benefits of nature.</t>
  </si>
  <si>
    <t>308-320</t>
  </si>
  <si>
    <t>LFYMUQ9U</t>
  </si>
  <si>
    <t>Rephann, Terance; Isserman, Andrew</t>
  </si>
  <si>
    <t>New highways as economic development tools: An evaluation using quasi-experimental matching methods</t>
  </si>
  <si>
    <t>Regional Science and Urban Economics</t>
  </si>
  <si>
    <t>01660462</t>
  </si>
  <si>
    <t>10.1016/0166-0462(94)90009-4</t>
  </si>
  <si>
    <t>723-751</t>
  </si>
  <si>
    <t>9MHYIX6H</t>
  </si>
  <si>
    <t>Renaud, Fabrice G.; Bogardi, Janos J.; Dun, Olivia; Warner, Koko</t>
  </si>
  <si>
    <t>Control, adapt or flee: How to face environmental migration?</t>
  </si>
  <si>
    <t>UNU-EHS</t>
  </si>
  <si>
    <t>NU5G3U7U</t>
  </si>
  <si>
    <t>Robinson, John G.; Bennett, Elizabeth L.</t>
  </si>
  <si>
    <t>Animal Conservation</t>
  </si>
  <si>
    <t>1367-9430</t>
  </si>
  <si>
    <t>Unsustainable hunting of wildlife or bushmeat for human consumption across the tropics threatens both wildlife populations and the livelihoods of people who depend on these resources. The probability that hunting can be sustainable depends in part on ecological conditions that affect the ‘supply' of and ‘demand' for wildlife resources. In this study, supply is estimated across a number of tropical ecosystem types by calculating the theoretical ‘maximum sustainable offtake' in kg/km2 for harvestable wildlife. Demand is estimated from observed harvests in kg/km2. We examine how supply and demand vary across relatively undisturbed ecosystems, indexed by annual rainfall. Supply is potentially highest in dry forests and wetter savannah grasslands and decreases in moist forests andmore xeric grasslands.Demand tends to exceed supply in moist forests and xeric grasslands. Analogous to this ecological variation along the rainfall gradient is the gradient created by the conversion of tropical forests by humans. We hypothesise that the wild meat supply is greater in secondary forests and forest–farm–fallow mosaics than in undisturbed forests and test this with available data. We conclude that the probability that hunting will be sustainable varies with ecosystem type and degree of human disturbance and should influence where land is zoned for protected areas and where for wildlife harvests.</t>
  </si>
  <si>
    <t>HUAD8TIU</t>
  </si>
  <si>
    <t>Robalino, Juan</t>
  </si>
  <si>
    <t>Land conservation policies and income distribution: who bears the burden of our environmental efforts?</t>
  </si>
  <si>
    <t>10.1017/S1355770X07003671</t>
  </si>
  <si>
    <t>521-533</t>
  </si>
  <si>
    <t>LP88NAET</t>
  </si>
  <si>
    <t>Risser, Mark D.; Wehner, Michael F.</t>
  </si>
  <si>
    <t>Geophysical Research Letters</t>
  </si>
  <si>
    <t>0094-8276</t>
  </si>
  <si>
    <t>Record rainfall amounts were recorded during Hurricane Harvey in the Houston, Texas, area, leading to widespread flooding. We analyze observed precipitation from the Global Historical Climatology Network with a covariate-based extreme value statistical analysis, accounting for both the external influence of global warming and the internal influence of El Niño?Southern Oscillation. We find that human-induced climate change likely increased the chances of the observed precipitation accumulations during Hurricane Harvey in the most affected areas of Houston by a factor of at least 3.5. Further, precipitation accumulations in these areas were likely increased by at least 18.8% (best estimate of 37.7%), which is larger than the 6?7% associated with an attributable warming of 1°C in the Gulf of Mexico and Clausius-Clapeyron scaling. In a Granger causality sense, these statements provide lower bounds on the impact of climate change and motivate further attribution studies using dynamical climate models.</t>
  </si>
  <si>
    <t>12,412-457,464</t>
  </si>
  <si>
    <t>24</t>
  </si>
  <si>
    <t>TJ8Y289M</t>
  </si>
  <si>
    <t>Robinson, Elizabeth J. Z.; Albers, Heidi J.; Williams, Jeffrey C.</t>
  </si>
  <si>
    <t>Spatial and temporal modeling of community non-timber forest extraction</t>
  </si>
  <si>
    <t>0095-0696</t>
  </si>
  <si>
    <t>10.1016/j.jeem.2008.04.002</t>
  </si>
  <si>
    <t>This paper examines the interaction of spatial and dynamic aspects of resource extraction from forests by local people. Highly cyclical and varied across space and time, the patterns of resource extraction resulting from the spatial–temporal model bear little resemblance to the patterns drawn from focusing either on spatial or temporal aspects of extraction alone. Ignoring this variability inaccurately depicts villagers' dependence on different parts of the forest and could result in inappropriate policies. Similarly, the spatial links in extraction decisions imply that policies imposed in one area can have unintended consequences in other areas. Combining the spatial–temporal model with a measure of success in community forest management—the ability to avoid open-access resource degradation—characterizes the impact of incomplete property rights on patterns of resource extraction and stocks.</t>
  </si>
  <si>
    <t>234-245</t>
  </si>
  <si>
    <t>6HMH9V6I</t>
  </si>
  <si>
    <t>Robertson, G. Philip; Swinton, Scott M.</t>
  </si>
  <si>
    <t>Reconciling agricultural productivity and environmental integrity: A grand challenge for agriculture</t>
  </si>
  <si>
    <t>Agriculture meets a major human need and both affects and depends on all other life support systems. Current trends point to continued human population growth and ever higher levels of consumption as the global economy expands. This will stress the capacity of agriculture to meet food needs without further sacrificing the environmental integrity of local landscapes and the global environment. Agriculture's main challenge for the coming decades will be to produce sufficient food and fiber for a growing global population at an acceptable environmental cost. This challenge requires an ecological approach to agriculture that is largely missing from current management and research portfolios. Crop and livestock production systems must be managed as ecosystems, with management decisions fully informed of environmental costs and benefits. Currently, too little is known about important ecological interactions in major agricultural systems and landscapes and about the economic value of the ecosystem services associated with agriculture. To create agricultural landscapes that are managed for multiple services in addition to food and fiber will require integrative research, both ecological and socioeconomic, as well as policy innovation and public education.</t>
  </si>
  <si>
    <t>NTSZEYDP</t>
  </si>
  <si>
    <t>Rist, Stephan</t>
  </si>
  <si>
    <t>Si estamos de buen corazón, siempre hay producción. Caminos en la renovación de formas de producción y vida tradicional y su importancia para el desarrollo sostenible</t>
  </si>
  <si>
    <t>Agruco. Plural Editores</t>
  </si>
  <si>
    <t>La Paz</t>
  </si>
  <si>
    <t>NJHIPZQ3</t>
  </si>
  <si>
    <t>Rodrik, Dani; Subramanian, Arvind; Trebbi, Francesco</t>
  </si>
  <si>
    <t>Institutions rule: The primacy of institutions over geography and integration in economic development</t>
  </si>
  <si>
    <t>Journal of Economic Growth</t>
  </si>
  <si>
    <t>13814338</t>
  </si>
  <si>
    <t>10.1023/B:JOEG.0000031425.72248.85</t>
  </si>
  <si>
    <t>We estimate the respective contributions of institutions, geography, and trade in determining income levels around the world, using recently developed instruments for institutions and trade. Our results indicate that the quality of institutions "trumps" everything else. Once institutions are controlled for, measures of geography have at best weak direct effects on incomes, although they have a strong indirect effect by influencing the quality of institutions. Similarly, once institutions are controlled for, trade is almost always insignificant, and often enters the income equation with the "wrong" (i.e., negative) sign, although trade too has a positive effect on institutional quality. We relate our results to recent literature, and where differences exist, trace their origins to choices on samples, specification, and instrumentation.</t>
  </si>
  <si>
    <t>3C5W2CJ7</t>
  </si>
  <si>
    <t>Robson, James; Berkes, Fikret</t>
  </si>
  <si>
    <t>How Does Out-Migration Affect Community Institutions? A Study of Two Indigenous Municipalities in Oaxaca, Mexico</t>
  </si>
  <si>
    <t>0300-7839</t>
  </si>
  <si>
    <t>10.1007/s10745-010-9371-x</t>
  </si>
  <si>
    <t>179-190</t>
  </si>
  <si>
    <t>E8IU47NG</t>
  </si>
  <si>
    <t>Rodrigue, Jean-Paul; Comtois, Claude; Slack, Brian</t>
  </si>
  <si>
    <t>The geography of transport systems</t>
  </si>
  <si>
    <t>M8RWPQQF</t>
  </si>
  <si>
    <t>Rochman, Chelsea M.; Tahir, Akbar; Williams, Susan L.; Baxa, Dolores V.; Lam, Rosalyn; Miller, Jeffrey T.; Teh, Foo-Ching; Werorilangi, Shinta; Teh, Swee J.</t>
  </si>
  <si>
    <t>Scientific reports</t>
  </si>
  <si>
    <t>AN5D6WYG</t>
  </si>
  <si>
    <t>Rocha, J.; Yletyinen, J.; Biggs, R.; Blenckner, T.; Peterson, G.</t>
  </si>
  <si>
    <t>Marine regime shifts: drivers and impacts on ecosystems services</t>
  </si>
  <si>
    <t>10.1098/rstb.2013.0273</t>
  </si>
  <si>
    <t>Marine ecosystems can experience regime shifts, in which they shift from being organized around one set of mutually reinforcing structures and processes to another. Anthropogenic global change has broadly increased a wide variety of processes that can drive regime shifts. To assess the vulnerability of marine ecosystems to such shifts and their potential consequences, we reviewed the scientific literature for 13 types of marine regime shifts and used networks to conduct an analysis of co-occurrence of drivers and ecosystem service impacts. We found that regime shifts are caused by multiple drivers and have multiple consequences that co-occur in a non-random pattern. Drivers related to food production, climate change and coastal development are the most common co-occurring causes of regime shifts, while cultural services, biodiversity and primary production are the most common cluster of ecosystem services affected. These clusters prioritize sets of drivers for management and highlight the need for coordinated actions across multiple drivers and scales to reduce the risk of marine regime shifts. Managerial strategies are likely to fail if they only address well-understood or data-rich variables, and international cooperation and polycentric institutions will be critical to implement and coordinate action across the scales at which different drivers operate. By better understanding these underlying patterns, we hope to inform the development of managerial strategies to reduce the risk of high-impact marine regime shifts, especially for areas of the world where data are not available or monitoring programmes are not in place.</t>
  </si>
  <si>
    <t>TYLFW4ZV</t>
  </si>
  <si>
    <t>Sarin, Madhu</t>
  </si>
  <si>
    <t>From conflict to collaboration: local institutions in joint forest management</t>
  </si>
  <si>
    <t>National Support Group for Joint Forest Management, Society for Promotion of Wastelands Development &amp; the Ford Foundation</t>
  </si>
  <si>
    <t>R28A9WSF</t>
  </si>
  <si>
    <t>Santos, Lúcia H. M. L. M.; Araújo, A. N.; Fachini, Adriano; Pena, A.; Delerue-Matos, C.; Montenegro, M. C. B. S. M.</t>
  </si>
  <si>
    <t>Journal of Hazardous Materials</t>
  </si>
  <si>
    <t>0304-3894</t>
  </si>
  <si>
    <t>Pharmaceuticals are biologically active and persistent substances which have been recognized as a continuing threat to environmental stability. Chronic ecotoxicity data as well as information on the current distribution levels in different environmental compartments continue to be sparse and are focused on those therapeutic classes that are more frequently prescribed and consumed. Nevertheless, they indicate the negative impact that these chemical contaminants may have on living organisms, ecosystems and ultimately, public health. This article reviews the different contamination sources as well as fate and both acute and chronic effects on non-target organisms. An extensive review of existing data in the form of tables, encompassing many therapeutic classes is presented.</t>
  </si>
  <si>
    <t>45-95</t>
  </si>
  <si>
    <t>S3DBIIMQ</t>
  </si>
  <si>
    <t>Salmond, Anne</t>
  </si>
  <si>
    <t>Tears of Rangi: Water, power, and people in New Zealand</t>
  </si>
  <si>
    <t>HAU: Journal of Ethnographic Theory</t>
  </si>
  <si>
    <t>10.14318/hau4.3.017</t>
  </si>
  <si>
    <t>In this article, I consider a series of exchanges and entanglements, convergences, and collisions involving ancestral Maori, Western, and modernist onto-logics in relation to fresh water in New Zealand. Maori (and by implication, non-Maori) rights to fresh water have been a topic of passionate, often confrontational debate, instigated by the privatization of local power companies. In an innovative response to a claim to the Waitangi Tribunal by Whanganui iwi (kin groups), the Whanganui River has been declared a legal being, one of the first rivers in the world to gain this status. In the Whanganui deed of settlement with the Crown, ancestral Maori and modernist framings are juxtaposed, despite being incommensurable in certain respects. Drawing upon divergent forms of order, participants in the process have sought to weave together a concerted approach toward the management of New Zealand's waterways. This interweaving avoids the need for a merging of horizons, a “theory of everything” in which only one reality is possible and only one set of assumptions about the world can prevail.</t>
  </si>
  <si>
    <t>285-309</t>
  </si>
  <si>
    <t>5NLETN9J</t>
  </si>
  <si>
    <t>Salehi-Isfahani, Djavad</t>
  </si>
  <si>
    <t>Energy Subsidy Reform in Iran BT - The Middle East Economies in Times of Transition</t>
  </si>
  <si>
    <t>978-1-137-52977-0</t>
  </si>
  <si>
    <t>On December 19, 2010, Iran embarked on an ambitious reform of its extensive subsidies. Energy prices that had been kept well below international levels for decades were raised by a factor of 3 to 9 and bread prices were doubled. Energy price reform had been discussed for at least a decade, and the specific plan for this particular reform program was announced by president Ahmadinejad in 2008 and enacted into law in January 2010. This attempt at reform ended a huge government subsidy, estimated at upwards of $70 billion per year, or nearly $1000 per person per year. It was distributed highly unequally and caused Iran's productive sectors to become the least efficient in the world (Guillaume et al 2011, IEA 2010, Salehi-Isfahani et al 2012).</t>
  </si>
  <si>
    <t>186-195</t>
  </si>
  <si>
    <t>Palgrave Macmillan UK</t>
  </si>
  <si>
    <t>Diwan, Ishac; Galal, Ahmed</t>
  </si>
  <si>
    <t>ZYRZQ42V</t>
  </si>
  <si>
    <t>Sadd, James L.; Pastor, Manuel; Morello-Frosch, Rachel; Scoggins, Justin; Jesdale, Bill</t>
  </si>
  <si>
    <t>Playing it safe: Assessing cumulative impact and social vulnerability through an environmental justice screening method in the South Coast Air Basin, California</t>
  </si>
  <si>
    <t>International Journal of Environmental Research and Public Health</t>
  </si>
  <si>
    <t>16604601</t>
  </si>
  <si>
    <t>10.3390/ijerph8051441</t>
  </si>
  <si>
    <t>Regulatory agencies, including the U.S. Environmental Protection Agency (US EPA) and state authorities like the California Air Resources Board (CARB), have sought to address the concerns of environmental justice (EJ) advocates who argue that chemical-by-chemical and source-specific assessments of potential health risks of environmental hazards do not reflect the multiple environmental and social stressors faced by vulnerable communities. We propose an Environmental Justice Screening Method (EJSM) as a relatively simple, flexible and transparent way to examine the relative rank of cumulative impacts and social vulnerability within metropolitan regions and determine environmental justice areas based on more than simply the demographics of income and race. We specifically organize 23 indicator metrics into three categories: (1) hazard proximity and land use; (2) air pollution exposure and estimated health risk; and (3) social and health vulnerability. For hazard proximity, the EJSM uses GIS analysis to create a base map by intersecting land use data with census block polygons, and calculates hazard proximity measures based on locations within various buffer distances. These proximity metrics are then summarized to the census tract level where they are combined with tract centroid-based estimates of pollution exposure and health risk and socio-economic status (SES) measures. The result is a cumulative impacts (CI) score for ranking neighborhoods within regions that can inform diverse stakeholders seeking to identify local areas that might need targeted regulatory strategies to address environmental justice concerns.;</t>
  </si>
  <si>
    <t>5DEM2KJI</t>
  </si>
  <si>
    <t>Sachs, Jeffrey</t>
  </si>
  <si>
    <t>The end of poverty : how we can make it happen in our lifetime</t>
  </si>
  <si>
    <t>0-241-95866-0</t>
  </si>
  <si>
    <t>Penguin Press</t>
  </si>
  <si>
    <t>YHS8Z8D8</t>
  </si>
  <si>
    <t>Rummukainen, Markku</t>
  </si>
  <si>
    <t>Wiley Interdisciplinary Reviews: Climate Change</t>
  </si>
  <si>
    <t>17577780</t>
  </si>
  <si>
    <t>115-129</t>
  </si>
  <si>
    <t>TJ7JRN9N</t>
  </si>
  <si>
    <t>Ruiz-Mallén, Isabel; Morsello, Carla; Reyes-García, Victoria; De Faria, Renata Barros Marcondes</t>
  </si>
  <si>
    <t>Children's use of time and traditional ecological learning. A case study in two Amazonian indigenous societies</t>
  </si>
  <si>
    <t>Learning and Individual Differences</t>
  </si>
  <si>
    <t>10.1016/j.lindif.2012.12.012</t>
  </si>
  <si>
    <t>The way indigenous children use their time determines the knowledge they acquire. Cultural transmission of traditional ecological knowledge generally occurs outside the school, during labor and play activities. In this article we document and analyze time budgets of children, adolescents, and adults from two Amazonian small-scale indigenous societies: the Kayap?? and the Arawet??. We describe patterns of time use and differences in children's time budgets based on gender, age, and indigenous group. The children studied rarely went to school; they spent half of their daylight time playing and undertaking subsistence work, although their contribution to household income was extremely low. In communities that lack an effective school system and show a low level of integration into the market, formal education is regarded as a marginal asset and children mostly rely on traditional ecological knowledge as the main form of human capital. ?? 2012 Elsevier Inc.</t>
  </si>
  <si>
    <t>6NHCQ9NI</t>
  </si>
  <si>
    <t>Pretty, J. N.; Brett, C.; Gee, D.; Hine, R. E.; Mason, C. F.; Morison, J. I. L.; Raven, H.; Rayment, M. D.; Van Der Bijl, G.</t>
  </si>
  <si>
    <t>Agricultural Systems</t>
  </si>
  <si>
    <t>0308521X</t>
  </si>
  <si>
    <t>This trans-disciplinary study assesses total external environmental and health costs of modern agriculture in the UK. A wide range of datasets have been analysed to assess cost distribution across sectors. We calculate the annual total external costs of UK agriculture in 1996 to be \pounds2343 m (range for 1990-1996: \pounds1149-3907 m), equivalent to \pounds208/ha of arable and permanent pasture. Significant costs arise from contamination of drinking water with pesticides (\pounds120 m/year), nitrate (\pounds16 m), Cryptosporidium (\pounds23 m) and phosphate and soil (\pounds55 m), from damage to wildlife, habitats, hedgerows and drystone walls (\pounds125 m), from emissions of gases (\pounds1113 m), from soil erosion and organic carbon losses (\pounds106 m), from food poisoning (\pounds169 m), and from bovine spongiform encephalopathy (BSE) (\pounds607 m). This study has only estimated those externalities that give rise to financial costs, and so is likely to underestimate the total negative impacts of modern agriculture. These data help to identify policy priorities, particularly over the most efficient way to internalise these external costs into prices. This would imply a redirection of public subsidies towards encouraging those positive externalities under-provided in the market place, combined with a mix of advisory and institutional mechanisms, regulatory and legal measures, and economic instruments to correct negative externalities. Further work examining the marginal costs and benefits of UK agriculture would help to inform future policy development. (C) 2000 Elsevier Science Ltd.</t>
  </si>
  <si>
    <t>JDICTAGU</t>
  </si>
  <si>
    <t>Prasad, S. Narendra; Ramachandra, T. V.; Ahalya, N.; Sengupta, T.; Kumar, Alok; Tiwari, A. K.; Vijayan, V. S.; Vijayan, Lalitha</t>
  </si>
  <si>
    <t>Conservation of wetlands of India - A review</t>
  </si>
  <si>
    <t>Wetlands of India, estimated to be 58.2 million hectares, are important repositories of aquatic biodiversity. The diverse ecoclimatic regimes extant in the country resulted in a variety of wetland systems ranging from high altitude cold desert wetlands to hot and humid wetlands in coastal zones with its diverse flora and fauna. The review deals with the status and distribution of wetlands and causes and consequences of wetland losses. It also provides an overview of the use of Remote Sensing and Geographic Information System (GIS) tools in flood zonation mapping, in monitoring irrigation and cropping patterns, water quality analysis and modelling, change analyses and in mapping of surface water bodies and wetlands. The review provides a methodology and an action plan for evolving a nationwide network of conservation preserves of wetlands. The major elements of this methodology involve use of IRS LISS III sensors for delineating turbidity, aquatic vegetation and major geomorphological classes of wetlands. An extensive fieldwork to generate attribute information on biodiversity and socioeconomic themes is a significant component of the suggested methodology. GIS tools to integrate habitat information with the field information are envisaged to be the final component in evolving a conservation network of wetlands for the entire country.</t>
  </si>
  <si>
    <t>8EHW26K2</t>
  </si>
  <si>
    <t>Pretty, Jules</t>
  </si>
  <si>
    <t>Social Capital and the Collective Management of Resources</t>
  </si>
  <si>
    <t>10.1126/science.1090847</t>
  </si>
  <si>
    <t>The proposition that natural resources need protection from the destructive actions of people is widely accepted. Yet communities have shown in the past and increasingly today that they can collaborate for long-term resource management. The term social capital captures the idea that social bonds and norms are critical for sustainability. Where social capital is high in formalized groups, people have the confidence to invest in collective activities, knowing that others will do so too. Some 0.4 to 0.5 million groups have been established since the early 1990s for watershed, forest, irrigation, pest, wildlife, fishery, and microfinance management. These offer a route to sustainable management and governance of common resources.</t>
  </si>
  <si>
    <t>1912-1914</t>
  </si>
  <si>
    <t>5652</t>
  </si>
  <si>
    <t>WZBTJLIL</t>
  </si>
  <si>
    <t>Pramod, Ganapathiraju; Nakamura, Katrina; Pitcher, Tony J.; Delagran, Leslie</t>
  </si>
  <si>
    <t>Estimates of illegal and unreported fish in seafood imports to the USA</t>
  </si>
  <si>
    <t>10.1016/j.marpol.2014.03.019</t>
  </si>
  <si>
    <t>Illegal and unreported catches represented 20-32% by weight of wild-caught seafood imported to the USA in 2011, as determined from robust estimates, including uncertainty, of illegal and unreported fishing activities in the source countries. These illegal imports are valued at between $1.3 and $2.1 billion, out of a total of $16.5 billion for the 2.3 million tonnes of edible seafood imports, including farmed products. This trade represents between 4% and 16% of the value of the global illegal fish catch and reveals the unintentional role of the USA, one of the largest seafood markets in the world, in funding the profits of illegal fishing. Supply chain case studies are presented for tuna, wild shrimp and Chinese re-processed Russian pollock, salmon and crab imported to the USA. To address this critical issue of unintended financing of illegal fishing, possible remedies from industry practices and government policies may include improved chain of custody and traceability controls and an amendment to the USA Lacey Act. © 2014 The Authors.</t>
  </si>
  <si>
    <t>102-113</t>
  </si>
  <si>
    <t>EWSIJ5YI</t>
  </si>
  <si>
    <t>Purser, R. E.; Park, C.</t>
  </si>
  <si>
    <t>Limits To Anthropocentrism: Toward an Ecocentric Organization Paradigm?</t>
  </si>
  <si>
    <t>Academy of Management Review</t>
  </si>
  <si>
    <t>0363-7425</t>
  </si>
  <si>
    <t>10.5465/AMR.1995.9512280035</t>
  </si>
  <si>
    <t>his article examines the historically constituted dimensions of anthropocentrism, tracing the emergence of linear perspective, a camera theory of knowledge, and the human-nature dualism. These epistemological conventions are socially reproduced in organization science and management practice in their more contemporary anthropocentric forms: a disembodied form of technological knowing conjoined with an egocentric organizational orientation. Following this critique, the paradigmatic differences between anthropocentric and ecocentric approaches for dealing with issues related to the natural environment are discussed in what is referred to respectively as the environmental management and ecocentric responsibility paradigms. Our analysis suggests that corporate environmentalism and so-called "greening-business" approaches are grounded in the environmental management paradigm. It is argued that environmental management approaches are incommensurable with the ecocentric responsibility paradigm. The tensions between these competing paradigms are examined as a useful stimulus for theory development toward an ecocentric organizational paradigm.</t>
  </si>
  <si>
    <t>HGJNRK8N</t>
  </si>
  <si>
    <t>Pretty, J. N.; Noble, A. D.; Bossio, D.; Dixon, J.; Hine, R. E.; De Vries, F. W. T. Penning; Morison, J. I. L.</t>
  </si>
  <si>
    <t>Resource-conserving agriculture increases yields in developing countries</t>
  </si>
  <si>
    <t>0013-936X</t>
  </si>
  <si>
    <t>Despite great recent progress, hunger and poverty remain widespread and agriculturally driven environmental damage is widely prevalent. The idea of agricultural sustainability centers on the need to develop technologies and practices that do not have adverse effects on environmental goods and services, and that lead to improvements in food productivity. Here we show the extent to which 286 recent interventions in 57 poor countries covering 37 M ha (3% of the cultivated area in developing countries) have increased productivity on 12.6 M farms while improving the supply of critical environmental services. The average crop yield increase was 79% (geometric mean 64%). All crops showed water use efficiency gains, with the highest improvement in rainfed crops. Potential carbon sequestered amounted to an average of 0.35 t C ha(-1) y(-1). If a quarter of the total area under these farming systems adopted sustainability enhancing practices, we estimate global sequestration could be 0.1 Gt C y(-1). Of projects with pesticide data, 77% resulted in a decline in pesticide use by 71% while yields grew by 42%. Although it is uncertain whether these approaches can meet future food needs, there are grounds for cautious optimism, particularly as poor farm households benefit more from their adoption.</t>
  </si>
  <si>
    <t>EWBEPZGG</t>
  </si>
  <si>
    <t>Robalino, Juan a; Pfaff, Alexander</t>
  </si>
  <si>
    <t>Ecopayments and deforestation in Costa Rica: a nationwide analysis of PSA's initial years</t>
  </si>
  <si>
    <t>10.1353/lde.2013.0027</t>
  </si>
  <si>
    <t>http://le.uwpress.org/content/89/3/432.short</t>
  </si>
  <si>
    <t>We offer a nationwide analysis of the initial years of Costa Rica's PSA program, which pioneered environmental-services payments and inspired similar initiatives. Our estimates of this program's impact on deforestation, between 1997 and 2000, range from zero to one-fifth of 1% per year (i.e., deforestation is avoided on, at most, 2 out of every 1,000 enrolled hectares). The main explanation for such a low impact is an already low national deforestation rate. We also consider the effect of enrollment. Predicted deforestation on enrolled versus nonenrolled hectares, and matching analyses suggest an enrollment bias toward lower clearing threat. Enrolling land facing higher threat could raise payments' impact on deforestation. (JEL Q24, Q28)</t>
  </si>
  <si>
    <t>432-448</t>
  </si>
  <si>
    <t>July 2015</t>
  </si>
  <si>
    <t>ZUXCYZNX</t>
  </si>
  <si>
    <t>RRI</t>
  </si>
  <si>
    <t>Who owns the world's land? A global baseline of formally recognized indigenous and community land rights</t>
  </si>
  <si>
    <t>http://rightsandresources.org/wp-content/uploads/GlobalBaseline_complete_web.pdf</t>
  </si>
  <si>
    <t>Rights and Resources Initiative</t>
  </si>
  <si>
    <t>Z7Y4RJQ9</t>
  </si>
  <si>
    <t>Verbos, Amy Klemm; Humphries, Maria</t>
  </si>
  <si>
    <t>A Native American relational ethic: An indigenous perspective on teaching human responsibility</t>
  </si>
  <si>
    <t>Journal of Business Ethics</t>
  </si>
  <si>
    <t>10.1007/s10551-013-1790-3</t>
  </si>
  <si>
    <t>2022-09-23 09:13:26</t>
  </si>
  <si>
    <t>2022-09-23T09:13:26Z</t>
  </si>
  <si>
    <t>1-9</t>
  </si>
  <si>
    <t>7W2JCNM7</t>
  </si>
  <si>
    <t>Wolfersberger, Julien; Delacote, Philippe; Garcia, Serge</t>
  </si>
  <si>
    <t>An empirical analysis of forest transition and land-use change in developing countries</t>
  </si>
  <si>
    <t>10.1016/j.ecolecon.2015.08.018</t>
  </si>
  <si>
    <t>2022-09-23 09:13:18</t>
  </si>
  <si>
    <t>2022-09-23T09:13:18Z</t>
  </si>
  <si>
    <t>241-251</t>
  </si>
  <si>
    <t>CP97YCE2</t>
  </si>
  <si>
    <t>Vitousek, Peter M.; Mooney, Harold A.; Lubchenco, Jane; Melillo, Jerry M.</t>
  </si>
  <si>
    <t>Human Domination of Earth's Ecosystems</t>
  </si>
  <si>
    <t>10.1126/science.277.5325.494</t>
  </si>
  <si>
    <t>2022-09-23 09:12:03</t>
  </si>
  <si>
    <t>2022-09-23T09:12:03Z</t>
  </si>
  <si>
    <t>5325</t>
  </si>
  <si>
    <t>4DDTW5DT</t>
  </si>
  <si>
    <t>Whitehead, John C.</t>
  </si>
  <si>
    <t>Improving Willingness to Pay Estimates for Quality Improvements through Joint Estimation with Quality Perceptions</t>
  </si>
  <si>
    <t>Southern Economic Journal</t>
  </si>
  <si>
    <t>2022-09-23 09:12:01</t>
  </si>
  <si>
    <t>2022-09-23T09:12:01Z</t>
  </si>
  <si>
    <t>100-111</t>
  </si>
  <si>
    <t>SY92JU6V</t>
  </si>
  <si>
    <t>Van Vliet, Nathalie; Mertz, Ole; Heinimann, Andreas; Langanke, Tobias; Pascual, Unai; Schmook, Birgit; Adams, Cristina; Schmidt-Vogt, Dietrich; Messerli, Peter; Leisz, Stephen; Others</t>
  </si>
  <si>
    <t>Trends, drivers and impacts of changes in swidden cultivation in tropical forest-agriculture frontiers: a global assessment</t>
  </si>
  <si>
    <t>2022-09-23 09:10:50</t>
  </si>
  <si>
    <t>2022-09-23T09:10:50Z</t>
  </si>
  <si>
    <t>418-429</t>
  </si>
  <si>
    <t>CAZGZBC4</t>
  </si>
  <si>
    <t>Wade, Robert</t>
  </si>
  <si>
    <t>Why some Indian Villages co-operate</t>
  </si>
  <si>
    <t>Economic and Political Weekly</t>
  </si>
  <si>
    <t>2022-09-23 09:10:47</t>
  </si>
  <si>
    <t>2022-09-23T09:10:47Z</t>
  </si>
  <si>
    <t>773-776</t>
  </si>
  <si>
    <t>ZUGZVQ8K</t>
  </si>
  <si>
    <t>Wilen, J. E.</t>
  </si>
  <si>
    <t>Why fisheries management fails: treating symptoms rather than the cause</t>
  </si>
  <si>
    <t>Bulletin of Marine Science</t>
  </si>
  <si>
    <t>2022-09-23 09:10:33</t>
  </si>
  <si>
    <t>2022-09-23T09:10:33Z</t>
  </si>
  <si>
    <t>529-546</t>
  </si>
  <si>
    <t>CVJTX9TS</t>
  </si>
  <si>
    <t>Ward, Hugh; Cao, Xun; Mukherjee, Bumba</t>
  </si>
  <si>
    <t>State capacity and the environmental investment gap in authoritarian states</t>
  </si>
  <si>
    <t>Comparative Political Studies</t>
  </si>
  <si>
    <t>10.1177/0010414013509569</t>
  </si>
  <si>
    <t>2022-09-23 09:08:42</t>
  </si>
  <si>
    <t>2022-09-23T09:08:42Z</t>
  </si>
  <si>
    <t>309-343</t>
  </si>
  <si>
    <t>UKB4FXLW</t>
  </si>
  <si>
    <t>Weitzman, Martin L.</t>
  </si>
  <si>
    <t>Prices vs. quantities</t>
  </si>
  <si>
    <t>The review of economic studies</t>
  </si>
  <si>
    <t>10.2307/2296698</t>
  </si>
  <si>
    <t>1974</t>
  </si>
  <si>
    <t>2022-09-23 09:07:58</t>
  </si>
  <si>
    <t>2022-09-23T09:07:58Z</t>
  </si>
  <si>
    <t>477-491</t>
  </si>
  <si>
    <t>VVXU77Y3</t>
  </si>
  <si>
    <t>Warchol, Greg; Kapla, Dale</t>
  </si>
  <si>
    <t>Policing the wilderness: a descriptive study of wildlife conservation officers in South Africa</t>
  </si>
  <si>
    <t>International Journal of Comparative and Applied Criminal Justice</t>
  </si>
  <si>
    <t>10.1080/01924036.2012.669911</t>
  </si>
  <si>
    <t>2022-09-23 09:07:53</t>
  </si>
  <si>
    <t>2022-09-23T09:07:53Z</t>
  </si>
  <si>
    <t>83-101</t>
  </si>
  <si>
    <t>FMENE55G</t>
  </si>
  <si>
    <t>Wapner, Paul</t>
  </si>
  <si>
    <t>Politics beyond the state environmental activism and world civic politics</t>
  </si>
  <si>
    <t>World Politics</t>
  </si>
  <si>
    <t>10.1017/S0043887100016415</t>
  </si>
  <si>
    <t>2022-09-23 09:07:45</t>
  </si>
  <si>
    <t>2022-09-23T09:07:45Z</t>
  </si>
  <si>
    <t>311-340</t>
  </si>
  <si>
    <t>T4V5JXIZ</t>
  </si>
  <si>
    <t>Wells, Nancy M.; Lekies, Kristi S.</t>
  </si>
  <si>
    <t>Nature and the Life Course: Pathways from Childhood Nature Experiences to Adult Environmentalism</t>
  </si>
  <si>
    <t>Children, Youth and Environments</t>
  </si>
  <si>
    <t>15462250</t>
  </si>
  <si>
    <t>This paper examines connections between childhood involvement with the natural environment and adult environmentalism from a life course perspective. Approximately 2,000 adults age 18&amp;#x2013;90 living in urban areas throughout the United States were interviewed with respect to their childhood nature experiences and their current, adult attitudes and behaviors relating to the environment. Model testing and cross-validation procedures using structural equation modeling suggest that childhood participation with nature may set an individual on a trajectory toward adult environmentalism. Specifically, childhood participation in &amp;#x201c;wild&amp;#x201d; nature such as hiking or playing in the woods, camping, and hunting or fishing, as well as participation with &amp;#x201c;domesticated&amp;#x201d; nature such as picking flowers or produce, planting trees or seeds, and caring for plants in childhood have a positive relationship to adult environmental attitudes. &amp;#x201c;Wild nature&amp;#x201d; participation is also positively associated with environmental behaviors while &amp;#x201c;domesticated nature&amp;#x201d; experiences are marginally related to environmental behaviors.</t>
  </si>
  <si>
    <t>2022-09-23 09:07:24</t>
  </si>
  <si>
    <t>2022-09-23T09:07:24Z</t>
  </si>
  <si>
    <t>1-24</t>
  </si>
  <si>
    <t>6GQZNELF</t>
  </si>
  <si>
    <t>Weng, Lingfei; Boedhihartono, Agni Klintuni; Dirks, Paul H. G. M.; Dixon, John; Lubis, Muhammad Irfansyah; Sayer, Jeffrey A.</t>
  </si>
  <si>
    <t>Mineral industries, growth corridors and agricultural development in Africa</t>
  </si>
  <si>
    <t>10.1016/j.gfs.2013.07.003</t>
  </si>
  <si>
    <t>2022-09-23 09:07:07</t>
  </si>
  <si>
    <t>2022-09-23T09:07:07Z</t>
  </si>
  <si>
    <t>195-202</t>
  </si>
  <si>
    <t>7LSIBC4T</t>
  </si>
  <si>
    <t>Vásquez-León, Marcela; McGuire, T. R.</t>
  </si>
  <si>
    <t>La iniciativa privada in the Mexican shrimp industry</t>
  </si>
  <si>
    <t>Maritime Anthropological Studies</t>
  </si>
  <si>
    <t>2022-09-23 09:06:23</t>
  </si>
  <si>
    <t>2022-09-23T09:06:23Z</t>
  </si>
  <si>
    <t>59-73</t>
  </si>
  <si>
    <t>1/2</t>
  </si>
  <si>
    <t>VKQGJMLR</t>
  </si>
  <si>
    <t>Winslow, Margrethe</t>
  </si>
  <si>
    <t>Is democracy good for the environment?</t>
  </si>
  <si>
    <t>Journal of Environmental Planning and Management</t>
  </si>
  <si>
    <t>10.1080/09640560500183074</t>
  </si>
  <si>
    <t>2022-09-23 09:06:17</t>
  </si>
  <si>
    <t>2022-09-23T09:06:17Z</t>
  </si>
  <si>
    <t>771-783</t>
  </si>
  <si>
    <t>XG8H6YLN</t>
  </si>
  <si>
    <t>Weller, Robert A.; Farrar, J. Thomas; Buckley, Jared; Mathew, Simi; Venkatesan, R.; Lekha, J. Sree; Chaudhuri, Dipanjan; Kumar, N. Suresh; Kumar, B. Praveen</t>
  </si>
  <si>
    <t>10428275, 2377617X</t>
  </si>
  <si>
    <t>ABSTRACTRecent observations of surface meteorology and exchanges of heat, freshwater, and momentum between the ocean and the atmosphere in the Bay of Bengal are presented. These observations characterize air-sea interaction at 18&amp;#xb0;N, 89.5&amp;#xb0;E from December 2014 to January 2016 and also at other locations in the northern Bay of Bengal. Monsoonal variability dominated the records, with winds to the northeast in summer and to the southwest in winter. This variability included a strong annual cycle in the atmospheric forcing of the ocean in the Bay of Bengal, with the winter monsoon marked by sustained ocean heat loss resulting in ocean cooling, and the summer monsoon marked by strong storm events with dark skies and rain that also resulted in ocean cooling. The spring intermonsoon was a period of clear skies and low winds, when strong solar heating and weak wind-driven mixing led to ocean warming. The fall intermonsoon was a transitional period, with some storm events but also with enough clear skies and sunlight that ocean surface temperature rose again. Mooring and shipboard observations are used to examine the ability of model-based surface fluxes to represent air-sea interaction in the Bay of Bengal; the model-based fluxes have significant errors. The surface forcing observed at 18&amp;#xb0;N is also used together with a one-dimensional ocean model to illustrate the potential for local air-sea interaction to drive upper-ocean variability in the Bay of Bengal.</t>
  </si>
  <si>
    <t>2022-09-23 09:02:53</t>
  </si>
  <si>
    <t>2022-09-23T09:02:53Z</t>
  </si>
  <si>
    <t>28-37</t>
  </si>
  <si>
    <t>YALTHMR4</t>
  </si>
  <si>
    <t>Vlosky, Richard; Smithhart, Roger</t>
  </si>
  <si>
    <t>A Brief Global Perspective on Biomass for Bioenergy and Biofuels</t>
  </si>
  <si>
    <t>Journal of Tropical Forestry and Environment</t>
  </si>
  <si>
    <t>2235-9362</t>
  </si>
  <si>
    <t>10.31357/jtfe.v1i1.79</t>
  </si>
  <si>
    <t>Biomass has a large energy potential. A comparison between the available potential with the current use shows that, on a worldwide level, about two-fifths of the existing biomass energy potential is used. In most areas of the world the current biomass use is clearly below the available potential. Only for Asia does the current use exceed the available potential, i.e. non-sustainable biomass use. Therefore, increased biomass use, e.g. for upgrading is possible in most countries. A possible alternative is to cover the future demand for renewable energy, by increased utilization of forest residues and residues from the wood processing industry, e.g. for production of densified biofuels (Parrika, 2004). If carried out on a large scale, the increased use of agricultural resources for energy will have the effect of raising the prices of most commodity crops and reducing the need for subsidies – with particular benefit for producers of commodity crops in developing countries. An aggressive program of bioenergy development could lead to reductions in government support to farmers without any loss of income. The long-term success of bio-based facilities and markets is dependent in part on the level of commitment of feedstock from forest landowners and farmers. Forest, crop, and animal residues present considerable potential as a biomass feedstock. They are renewable, sustainable, locally available, and often considered carbon-neutral when compared to fossil fuels (Hoogwijk, 2004; Mathews, 2008).</t>
  </si>
  <si>
    <t>2022-09-23 09:02:22</t>
  </si>
  <si>
    <t>2022-09-23T09:02:22Z</t>
  </si>
  <si>
    <t>WWXNIQEM</t>
  </si>
  <si>
    <t>Vandergeest, Peter</t>
  </si>
  <si>
    <t>Certification and Communities: Alternatives for Regulating the Environmental and Social Impacts of Shrimp Farming</t>
  </si>
  <si>
    <t>10.1016/j.worlddev.2006.12.002</t>
  </si>
  <si>
    <t>2007-07</t>
  </si>
  <si>
    <t>2022-09-23 09:02:00</t>
  </si>
  <si>
    <t>2022-09-23T09:02:00Z</t>
  </si>
  <si>
    <t>1152-1171</t>
  </si>
  <si>
    <t>L3MCNFX7</t>
  </si>
  <si>
    <t>Wing, Steve; Cole, Dana; Grant, Gary</t>
  </si>
  <si>
    <t>Environmental injustice in North Carolina's hog industry</t>
  </si>
  <si>
    <t>Environmental Health Perspectives</t>
  </si>
  <si>
    <t>00916765</t>
  </si>
  <si>
    <t>10.1289/ehp.00108225</t>
  </si>
  <si>
    <t>Rapid growth and the concentration of hog production in North Carolina have raised concerns of a disproportionate impact of pollution and offensive odors on poor and nonwhite communities. We analyzed the location and characteristics of 2,514 intensive hog operations in relation to racial, economic, and water source characteristics of census block groups, neighborhoods with an average of approximately 500 households each. We used Poisson regression to evaluate the extent to which relationships between environmental justice variables and the number of hog operations persisted after consideration of population density. There are 18.9 times as many hog operations in the highest quintile of poverty as compared to the lowest; however, adjustment for population density reduces the excess to 7.2. Hog operations are approximately 5 times as common in the highest three quintiles of the percentage nonwhite population as compared to the lowest, adjusted for population density. The excess of hog operations is greatest in areas with both high poverty and high percentage nonwhites. Operations run by corporate integrators are more concentrated in poor and nonwhite areas than are operations run by independent growers. Most hog operations, which use waste pits that can contaminate groundwater, are located in areas with high dependence on well water for drinking. Disproportionate impacts of intensive hog production on people of color and on the poor may impede improvements in economic and environmental conditions that are needed to address public health in areas which have high disease rates and low access to medical care as compared to other areas of the state.</t>
  </si>
  <si>
    <t>2022-09-23 09:01:29</t>
  </si>
  <si>
    <t>2022-09-23T09:01:29Z</t>
  </si>
  <si>
    <t>Q9MDIQFC</t>
  </si>
  <si>
    <t>White, Alan T.; Palaganas, Vergilio P.</t>
  </si>
  <si>
    <t>Philippine Tubbataha Reef National Marine Park: status, management issues, and proposed plan</t>
  </si>
  <si>
    <t>Environmental Conservation</t>
  </si>
  <si>
    <t>10.1017/S0376892900021731</t>
  </si>
  <si>
    <t>2022-09-23 09:00:25</t>
  </si>
  <si>
    <t>2022-09-23T09:00:25Z</t>
  </si>
  <si>
    <t>148-157</t>
  </si>
  <si>
    <t>H2EKPK59</t>
  </si>
  <si>
    <t>Walker, Edward T.; McQuarrie, Michael; Lee, Caroline W.</t>
  </si>
  <si>
    <t>Rising participation and declining democracy</t>
  </si>
  <si>
    <t>Democratizing inequalities: Dilemmas of the new public participation</t>
  </si>
  <si>
    <t>2022-09-23 09:00:07</t>
  </si>
  <si>
    <t>2022-09-23T09:00:07Z</t>
  </si>
  <si>
    <t>3-26</t>
  </si>
  <si>
    <t>NS6DXW9I</t>
  </si>
  <si>
    <t>Vittor, Amy Yomiko; Gilman, Robert H.; Tielsch, James; Glass, Gregory; Shields, Tim; Lozano, Wagner Sánchez; Pinedo-Cancino, Viviana; Patz, Jonathan A.</t>
  </si>
  <si>
    <t>The effect of deforestation on the human-biting rate of Anopheles darlingi, the primary vector of falciparum malaria in the Peruvian Amazon</t>
  </si>
  <si>
    <t>00029637</t>
  </si>
  <si>
    <t>10.4269/ajtmh.2006.74.3</t>
  </si>
  <si>
    <t>To examine the impact of tropical rain-forest destruction on malaria, we conducted a year-long study of the rates at which the primary malaria vector in the Amazon, Anopheles darlingi, fed on humans in areas with varying degrees of ecological alteration in the Peruvian Amazon. Mosquitoes were collected by human biting catches along the Iquitos-Nauta road at sites selected for type of vegetation and controlled for human presence. Deforested sites had an A. darlingi biting rate that was more than 278 times higher than the rate determined for areas that were predominantly forested. Our results indicate that A. darlingi displays significantly increased human-biting activity in areas that have undergone deforestation and development associated with road development.</t>
  </si>
  <si>
    <t>2022-09-23 08:59:52</t>
  </si>
  <si>
    <t>2022-09-23T08:59:52Z</t>
  </si>
  <si>
    <t>3-11</t>
  </si>
  <si>
    <t>39S8R6WH</t>
  </si>
  <si>
    <t>Walker, W. Reed</t>
  </si>
  <si>
    <t>The transitional costs of sectoral reallocation: Evidence from the clean air act and the workforce</t>
  </si>
  <si>
    <t>The Quarterly journal of economics</t>
  </si>
  <si>
    <t>10.1093/qje/qjt022</t>
  </si>
  <si>
    <t>2022-09-23 08:59:39</t>
  </si>
  <si>
    <t>2022-09-23T08:59:39Z</t>
  </si>
  <si>
    <t>qjt022</t>
  </si>
  <si>
    <t>ALFGGNX2</t>
  </si>
  <si>
    <t>Wada, Y.; Wisser, D.; Bierkens, M. F. P.</t>
  </si>
  <si>
    <t>Global modeling of withdrawal, allocation and consumptive use of surface water and groundwater resources</t>
  </si>
  <si>
    <t>Earth System Dynamics</t>
  </si>
  <si>
    <t>2190-4987</t>
  </si>
  <si>
    <t>10.5194/esd-5-15-2014</t>
  </si>
  <si>
    <t>https://esd.copernicus.org/articles/5/15/2014/</t>
  </si>
  <si>
    <t>Abstract. To sustain growing food demand and increasing standard of living, global water withdrawal and consumptive water use have been increasing rapidly. To analyze the human perturbation on water resources consistently over large scales, a number of macro-scale hydrological models (MHMs) have been developed in recent decades. However, few models consider the interaction between terrestrial water fluxes, and human activities and associated water use, and even fewer models distinguish water use from surface water and groundwater resources. Here, we couple a global water demand model with a global hydrological model and dynamically simulate daily water withdrawal and consumptive water use over the period 1979–2010, using two re-analysis products: ERA-Interim and MERRA. We explicitly take into account the mutual feedback between supply and demand, and implement a newly developed water allocation scheme to distinguish surface water and groundwater use. Moreover, we include a new irrigation scheme, which works dynamically with a daily surface and soil water balance, and incorporate the newly available extensive Global Reservoir and Dams data set (GRanD). Simulated surface water and groundwater withdrawals generally show good agreement with reported national and subnational statistics. The results show a consistent increase in both surface water and groundwater use worldwide, with a more rapid increase in groundwater use since the 1990s. Human impacts on terrestrial water storage (TWS) signals are evident, altering the seasonal and interannual variability. This alteration is particularly large over heavily regulated basins such as the Colorado and the Columbia, and over the major irrigated basins such as the Mississippi, the Indus, and the Ganges. Including human water use and associated reservoir operations generally improves the correlation of simulated TWS anomalies with those of the GRACE observations.</t>
  </si>
  <si>
    <t>2014-01-14</t>
  </si>
  <si>
    <t>2022-09-23 08:19:40</t>
  </si>
  <si>
    <t>2022-09-23T08:19:40Z</t>
  </si>
  <si>
    <t>2022-09-19 21:17:23</t>
  </si>
  <si>
    <t>15-40</t>
  </si>
  <si>
    <t>Earth Syst. Dynam.</t>
  </si>
  <si>
    <t>NET83M86</t>
  </si>
  <si>
    <t>Vitousek, Peter M.; Aber, John D.; Howarth, Robert W.; Likens, Gene E.; Matson, Pamela A.; Schindler, David W.; Schlesinger, William H.; Tilman, David G.</t>
  </si>
  <si>
    <t>HUMAN ALTERATION OF THE GLOBAL NITROGEN CYCLE: SOURCES AND CONSEQUENCES</t>
  </si>
  <si>
    <t>10.1890/1051-0761(1997)007[0737:HAOTGN]2.0.CO;2</t>
  </si>
  <si>
    <t>http://doi.wiley.com/10.1890/1051-0761(1997)007[0737:HAOTGN]2.0.CO;2</t>
  </si>
  <si>
    <t>1997-08</t>
  </si>
  <si>
    <t>2022-09-23 07:59:28</t>
  </si>
  <si>
    <t>2022-09-23T07:59:28Z</t>
  </si>
  <si>
    <t>2022-09-22 07:28:15</t>
  </si>
  <si>
    <t>737-750</t>
  </si>
  <si>
    <t>HUMAN ALTERATION OF THE GLOBAL NITROGEN CYCLE</t>
  </si>
  <si>
    <t>HILA4SCI</t>
  </si>
  <si>
    <t>Whitmee, Sarah; Haines, Andy; Beyrer, Chris; Boltz, Frederick; Capon, Anthony G; de Souza Dias, Braulio Ferreira; Ezeh, Alex; Frumkin, Howard; Gong, Peng; Head, Peter; Horton, Richard; Mace, Georgina M; Marten, Robert; Myers, Samuel S; Nishtar, Sania; Osofsky, Steven A; Pattanayak, Subhrendu K; Pongsiri, Montira J; Romanelli, Cristina; Soucat, Agnes; Vega, Jeanette; Yach, Derek</t>
  </si>
  <si>
    <t>Safeguarding human health in the Anthropocene epoch: report of The Rockefeller Foundation–Lancet Commission on planetary health</t>
  </si>
  <si>
    <t>01406736</t>
  </si>
  <si>
    <t>10.1016/S0140-6736(15)60901-1</t>
  </si>
  <si>
    <t>https://linkinghub.elsevier.com/retrieve/pii/S0140673615609011</t>
  </si>
  <si>
    <t>2022-09-23 07:53:58</t>
  </si>
  <si>
    <t>2022-09-23T07:53:58Z</t>
  </si>
  <si>
    <t>2022-09-19 21:14:55</t>
  </si>
  <si>
    <t>1973-2028</t>
  </si>
  <si>
    <t>10007</t>
  </si>
  <si>
    <t>Safeguarding human health in the Anthropocene epoch</t>
  </si>
  <si>
    <t>ipbes-global_chapter2.1_drivers; ipbes-global_chapter2.3_ncp; ipbes-global_chapter3</t>
  </si>
  <si>
    <t>55P4XENM</t>
  </si>
  <si>
    <t>Wiedmann, Thomas O.; Schandl, Heinz; Lenzen, Manfred; Moran, Daniel; Suh, Sangwon; West, James; Kanemoto, Keiichiro</t>
  </si>
  <si>
    <t>The material footprint of nations</t>
  </si>
  <si>
    <t>10.1073/pnas.1220362110</t>
  </si>
  <si>
    <t>https://pnas.org/doi/full/10.1073/pnas.1220362110</t>
  </si>
  <si>
    <t>Significance             This original research paper addresses a key issue in sustainability science: How many and which natural resources are needed to sustain modern economies? Simple as it may seem, this question is far from trivial to answer and has indeed not been addressed satisfactorily in the scholarly literature. We use the most comprehensive and most highly resolved economic input–output framework of the world economy together with a detailed database of global material flows to calculate the full material requirements of all countries covering a period of two decades. Called the “material footprint,” this indicator provides a consumption perspective of resource use and new insights into the actual resource productivity of nations.           ,              Metrics on resource productivity currently used by governments suggest that some developed countries have increased the use of natural resources at a slower rate than economic growth (relative decoupling) or have even managed to use fewer resources over time (absolute decoupling). Using the material footprint (MF), a consumption-based indicator of resource use, we find the contrary: Achievements in decoupling in advanced economies are smaller than reported or even nonexistent. We present a time series analysis of the MF of 186 countries and identify material flows associated with global production and consumption networks in unprecedented specificity. By calculating raw material equivalents of international trade, we demonstrate that countries’ use of nondomestic resources is, on average, about threefold larger than the physical quantity of traded goods. As wealth grows, countries tend to reduce their domestic portion of materials extraction through international trade, whereas the overall mass of material consumption generally increases. With every 10% increase in gross domestic product, the average national MF increases by 6%. Our findings call into question the sole use of current resource productivity indicators in policy making and suggest the necessity of an additional focus on consumption-based accounting for natural resource use.</t>
  </si>
  <si>
    <t>2015-05-19</t>
  </si>
  <si>
    <t>2022-09-23 07:44:16</t>
  </si>
  <si>
    <t>2022-09-23T07:44:16Z</t>
  </si>
  <si>
    <t>2022-09-22 07:27:35</t>
  </si>
  <si>
    <t>6271-6276</t>
  </si>
  <si>
    <t>20</t>
  </si>
  <si>
    <t>5NCHRBZ9</t>
  </si>
  <si>
    <t>Wilson, Matthew A; Howarth, Richard B</t>
  </si>
  <si>
    <t>Discourse-based valuation of ecosystem services: establishing fair outcomes through group deliberation</t>
  </si>
  <si>
    <t>10.1016/S0921-8009(02)00092-7</t>
  </si>
  <si>
    <t>https://linkinghub.elsevier.com/retrieve/pii/S0921800902000927</t>
  </si>
  <si>
    <t>2002-06</t>
  </si>
  <si>
    <t>2022-09-23 07:36:11</t>
  </si>
  <si>
    <t>2022-09-23T07:36:11Z</t>
  </si>
  <si>
    <t>2022-09-22 07:27:21</t>
  </si>
  <si>
    <t>431-443</t>
  </si>
  <si>
    <t>Discourse-based valuation of ecosystem services</t>
  </si>
  <si>
    <t>7A5SHZB8</t>
  </si>
  <si>
    <t>Wilen, James E.; Cancino, José; Uchida, Hirotsugu</t>
  </si>
  <si>
    <t>The Economics of Territorial Use Rights Fisheries, or TURFs</t>
  </si>
  <si>
    <t>1750-6816, 1750-6824</t>
  </si>
  <si>
    <t>10.1093/reep/res012</t>
  </si>
  <si>
    <t>https://www.journals.uchicago.edu/doi/10.1093/reep/res012</t>
  </si>
  <si>
    <t>2012-07-01</t>
  </si>
  <si>
    <t>2022-09-19 21:16:32</t>
  </si>
  <si>
    <t>237-257</t>
  </si>
  <si>
    <t>UJAKPRCP</t>
  </si>
  <si>
    <t>WHO; UNICEF</t>
  </si>
  <si>
    <t>Progress on drinking water, sanitation and hygiene: 2017 update and SDG baselines</t>
  </si>
  <si>
    <t>World Health Organization</t>
  </si>
  <si>
    <t>GE36BGZB</t>
  </si>
  <si>
    <t>Wilkinson, Richard G.; Pickett, Kate</t>
  </si>
  <si>
    <t>The spirit level : why equality is better for everyone</t>
  </si>
  <si>
    <t>0-14-192115-3</t>
  </si>
  <si>
    <t>"Why do we mistrust people more in the UK than in Japan? Why do Americans have higher rates of teenage pregnancy than the French? What makes the Swedish thinner than the Greeks? The answer: inequality. This groundbreaking book, based on years of research, provides hard evidence to show: how almost everything - from life expectancy to depression levels, violence to illiteracy - is affected not by how wealthy a society is, but how equal it is; that societies with a bigger gap between rich and poor are bad for everyone in them - including the well-off; and, how we can find positive solutions and move towards a happier, fairer future. Urgent, provocative and genuinely uplifting, "The Spirit Level" has been heralded as providing a new way of thinking about ourselves and our communities, and could change the way you see the world."–Book cover. Part I. Material success, social failure. 1. The end of an era – 2. Poverty or inequality? – 3. How inequality gets under the skin — Part II. The Costs of Inequality. 4. Community life and social relations – 5. Mental health and drug use – 6. Physical health and life expectancy – 7. Obesity: wider income gaps, wider waists – 8. Educational performance – 9. Teenage births: recycling deprivation – 10. Violence: gaining respect – 11. Imprisonment and punishment – 12. Social mobility: unequal opportunities — Part III. A better society. 13. Dysfunctionial societies – 14. Our social inheritance – 15. Equality and sustainability – 16. Building the future.</t>
  </si>
  <si>
    <t>Penguin</t>
  </si>
  <si>
    <t>5FFPULCZ</t>
  </si>
  <si>
    <t>WHO-WEDC</t>
  </si>
  <si>
    <t>How much water is needed in emergencies</t>
  </si>
  <si>
    <t>https://www.who.int/water_sanitation_health/publications/2011/tn9_how_much_water_en.pdf</t>
  </si>
  <si>
    <t>Water is essential for life, health and human dignity. In extreme emergency situations, there may not be sufficient water available to meet basic needs and in these cases, supplying a minimum level of safe drinking-water for survival is of critical importance. Insufficient water and the consumption of contaminated water are usually the first and main causes of ill health to affect displaced populations during and after a disaster. This technical note considers the minimum quantities of water that are required for survival in emergencies. Factors affecting water requirements The amount of water required to support life and health in an emergency varies with climate, the general state of health of the people affected and their level of physical fitness. Of equal importance in deciding how much water is needed are the expectations people have. A poor rural community may have far lower expectations concerning the quantity of water that is essential for life than people used to living in a wealthy urban environment. As a result, the poorer community is likely to consume less.</t>
  </si>
  <si>
    <t>QA2VINQI</t>
  </si>
  <si>
    <t>World Bank</t>
  </si>
  <si>
    <t>Employment in industry (% of total employment) (modeled ILO estimate)</t>
  </si>
  <si>
    <t>https://data.worldbank.org/indicator/SL.IND.EMPL.ZS?view=chart</t>
  </si>
  <si>
    <t>CK8CFVBD</t>
  </si>
  <si>
    <t>World Bank Country and Lending Groups</t>
  </si>
  <si>
    <t>https://datahelpdesk.worldbank.org/knowledgebase/articles/906519-world-bank-country-and-lending-groups</t>
  </si>
  <si>
    <t>UXWNGRDA</t>
  </si>
  <si>
    <t>Industry, value added (% of GDP)</t>
  </si>
  <si>
    <t>https://data.worldbank.org/indicator/NV.IND.TOTL.ZS</t>
  </si>
  <si>
    <t>7EMWDZUL</t>
  </si>
  <si>
    <t>Fertilizer consumption (kilograms per hectare of arable land)</t>
  </si>
  <si>
    <t>https://data.worldbank.org/indicator/ag.con.fert.zs</t>
  </si>
  <si>
    <t>3ILKLWRJ</t>
  </si>
  <si>
    <t>WHYMAP; Margat</t>
  </si>
  <si>
    <t>Groundwater Resources of The World. Larger Aquifer Systems</t>
  </si>
  <si>
    <t>https://www.whymap.org/whymap/EN/Home/whymap_node.html</t>
  </si>
  <si>
    <t>World-wide Hydrogeological Mapping and Assessment Programme</t>
  </si>
  <si>
    <t>78UF2WAL</t>
  </si>
  <si>
    <t>Woods, Clyde Adrian</t>
  </si>
  <si>
    <t>Development arrested: The blues and plantation power in the Mississippi Delta</t>
  </si>
  <si>
    <t>Verso</t>
  </si>
  <si>
    <t>London and New York</t>
  </si>
  <si>
    <t>8C3T5HHM</t>
  </si>
  <si>
    <t>Working Group on Mining in the Philippines</t>
  </si>
  <si>
    <t>The impact of UK-based mining companies on the Philippines, particularly focusing on the right to food</t>
  </si>
  <si>
    <t>http://www.piplinks.org/impact-uk-based-mining-companies-philippines,-particularly-focusing-right-food.html</t>
  </si>
  <si>
    <t>A8HFQWTV</t>
  </si>
  <si>
    <t>Vossler, Christian A.; Poe, Gregory L.; Schulze, William D.; Segerson, Kathleen</t>
  </si>
  <si>
    <t>Communication and incentive mechanisms based on group performance: An experimental study of nonpoint pollution control</t>
  </si>
  <si>
    <t>Economic Inquiry</t>
  </si>
  <si>
    <t>00952583</t>
  </si>
  <si>
    <t>10.1093/ei/cbj043</t>
  </si>
  <si>
    <t>http://doi.wiley.com/10.1093/ei/cbj043</t>
  </si>
  <si>
    <t>This article considers whether communication can improve the efficacy of incentive mechanisms designed to correct the problem of moral hazard in groups. In particular, we use experimental economics methods to study environmental targeting instruments proposed by Segerson (1988) for regulating a group of nonpoint source polluters based on ambient concentrations. We find that communication greatly affects group performance, enhancing the efficiency of instruments involving fixed fines but leading to overcompliance, and hence inefficiency, in marginal tax/subsidy instruments. These results have implications for future theoretical development of group performance mechanisms as well as the design of public policies. (JEL H23, C92)</t>
  </si>
  <si>
    <t>2007-04</t>
  </si>
  <si>
    <t>599-613</t>
  </si>
  <si>
    <t>2SYL7P5R</t>
  </si>
  <si>
    <t>WEF</t>
  </si>
  <si>
    <t>From Ideas to Pratice, Pilots to Strategy. Pratical Solutions and Actionable Insights on How to Do Impact Investing</t>
  </si>
  <si>
    <t>http://www3.weforum.org/docs/WEF_II_SolutionsInsights_ImpactInvesting_Report_2013.pdf</t>
  </si>
  <si>
    <t>Geneva</t>
  </si>
  <si>
    <t>December</t>
  </si>
  <si>
    <t>8YQLHQKJ</t>
  </si>
  <si>
    <t>Wall, Derek</t>
  </si>
  <si>
    <t>The Commons in History: Culture, Conflict, and Ecology</t>
  </si>
  <si>
    <t>978-0-262-32200-3</t>
  </si>
  <si>
    <t>https://muse.jhu.edu/book/29019</t>
  </si>
  <si>
    <t>The history of the commons -- jointly owned land or other resources such as fisheries or forests set aside for public use -- provides a useful context for current debates over sustainability and how we can act as &amp;quot;good ancestors.&amp;quot; In this book, Derek Wall considers the commons from antiquity to the present day, as an idea, an ecological space, an economic abstraction, and a management practice. He argues that the commons should be viewed neither as a &amp;quot;tragedy&amp;quot; of mismanagement (as the biologist Garrett Hardin wrote in 1968) nor as a panacea for solving environmental problems. Instead, Walls sees the commons as a particular form of property ownership, arguing that property rights are essential to understanding sustainability. How we use the land and its resources offers insights into how we value the environment. After defining the commons and describing the arguments of Hardin's influential article and Elinor Ostrom's more recent work on the commons, Wall offers historical case studies from the United States, England, India, and Mongolia. He examines the power of cultural norms to maintain the commons; political conflicts over the commons; and how commons have protected, or failed to protect ecosystems. Combining intellectual and material histories with an eye on contemporary debates, Wall offers an applied history that will interest academics, activists, and policy makers.</t>
  </si>
  <si>
    <t>2019-11-06 16:05:42</t>
  </si>
  <si>
    <t>The Commons in History</t>
  </si>
  <si>
    <t>The MIT Press</t>
  </si>
  <si>
    <t>Project MUSE</t>
  </si>
  <si>
    <t>JYZU95PW</t>
  </si>
  <si>
    <t>Total greenhouse gas emissions (% change from 1990)</t>
  </si>
  <si>
    <t>https://data.worldbank.org/indicator/EN.ATM.GHGT.ZG</t>
  </si>
  <si>
    <t>YIDGMWH4</t>
  </si>
  <si>
    <t>The changing wealth of nations 2018: Building a sustainable future</t>
  </si>
  <si>
    <t>UVA23EMZ</t>
  </si>
  <si>
    <t>Population, total</t>
  </si>
  <si>
    <t>https://data.worldbank.org/indicator/SP.POP.TOTL</t>
  </si>
  <si>
    <t>VSUHUCYX</t>
  </si>
  <si>
    <t>People using safely managed sanitation services (% of population)</t>
  </si>
  <si>
    <t>https://data.worldbank.org/indicator/SH.STA.SMSS.ZS</t>
  </si>
  <si>
    <t>2018-04-11 00:00:00</t>
  </si>
  <si>
    <t>WE5QUNWS</t>
  </si>
  <si>
    <t>International migrant stock, total</t>
  </si>
  <si>
    <t>https://data.worldbank.org/indicator/SM.POP.TOTL?view=chart</t>
  </si>
  <si>
    <t>M8BBZT6J</t>
  </si>
  <si>
    <t>Access to electricity (% of population)</t>
  </si>
  <si>
    <t>https://data.worldbank.org/indicator/EG.ELC.ACCS.ZS</t>
  </si>
  <si>
    <t>DD6TGSXY</t>
  </si>
  <si>
    <t>Energy use (kg of oil equivalent per capita)</t>
  </si>
  <si>
    <t>https://data.worldbank.org/indicator/EG.USE.PCAP.KG.OE?view=chart</t>
  </si>
  <si>
    <t>JXDZIHYA</t>
  </si>
  <si>
    <t>Global Monitoring Report 2015/2016: Development Goals in an Era of Demographic Change</t>
  </si>
  <si>
    <t>http://elibrary.worldbank.org/doi/book/10.1596/978-1-4648-0669-8</t>
  </si>
  <si>
    <t>W65WKZ2A</t>
  </si>
  <si>
    <t>World Bank development report 2009: reshaping economic geography</t>
  </si>
  <si>
    <t>Places do well when they promote transformations along the dimensions of economic geography: higher densities as cities grow; shorter distances as workers and businesses migrate closer to density; and fewer divisions as nations lower their economic borders and enter world markets to take advantage of scale and trade in specialized products. WDR 2009 concludes that the transformations along these three dimensions of density, distance, and division are essential for development and should be encouraged. Economic growth will be unbalanced, but development still can be inclusive. That is the main message of this year's World Development Report. The report proposes that spatial transformations along the following three dimensions will be necessary:Higher density as seen in the growth of cities. Tokyo, the world's largest city is home to 35 million–a quarter of Japan's population–but stands on just four percent of its land.Shorter distances as firms and workers migrate closer to economic opportunities. Eight million Americans change states every year, migrating to reduce distance to economic opportunity.Fewer divisions as countries thin their economic borders to enter world markets to take advantage of specialization and scale. Border restrictions to flows of goods, capital, ideas, and people continue to prevent progress in Africa, in contrast with Western Europe.</t>
  </si>
  <si>
    <t>7T7IGI4M</t>
  </si>
  <si>
    <t>Where is the wealth of nations?: measuring capital for the 21st century</t>
  </si>
  <si>
    <t>76KZ4NZB</t>
  </si>
  <si>
    <t>Saving fish and fisheries: towards sustainable and equitable governance of the global fishing sector (No. 29090)</t>
  </si>
  <si>
    <t>T2LLND9X</t>
  </si>
  <si>
    <t>Poverty and the Environment: Understanding Linkages at the Household Level (Environment and Sustainable Development)</t>
  </si>
  <si>
    <t>978-0-8213-7223-4</t>
  </si>
  <si>
    <t>This report seeks to present micro evidence on how environmental changes affect poor households. It focuses primarily on environmental resources that are outside the private sphere, particularly commonly held and managed resources such as forests, fisheries, and wildlife. The objectives for this volume are three-fold. It is first interested in using an empirical data-driven approach to examine the dependence of the poor on natural resources. The second objective is to examine the role of the environment in determining health outcomes. A third area of interest concerns the role of policy instruments and reforms. This report uses general economics literature as well as data collected by the World Bank and its partners to analyze poverty-environment linkages at the household level. Poverty-environment linkages are inherently dynamic and involve behavioral responses that make the identification of cause and effect difficult. Thus, questions related to these linkages are ideally answered with the use of panel datasets or with data from randomized experiments.</t>
  </si>
  <si>
    <t>WV9YE8CW</t>
  </si>
  <si>
    <t>World development report 2004: making services work for poor people</t>
  </si>
  <si>
    <t>TFWEBMB9</t>
  </si>
  <si>
    <t>Hidden harvest: The global contribution of capture fisheries</t>
  </si>
  <si>
    <t>Worldbank; WorldFish</t>
  </si>
  <si>
    <t>UQSH9MQ2</t>
  </si>
  <si>
    <t>World Development Report 1994: Infrastructure for Development</t>
  </si>
  <si>
    <t>YRICIBC5</t>
  </si>
  <si>
    <t>Urban population (% of total)</t>
  </si>
  <si>
    <t>https://data.worldbank.org/indicator/SP.URB.TOTL.IN.ZS?view=chart</t>
  </si>
  <si>
    <t>M9PQZ3MA</t>
  </si>
  <si>
    <t>Wittemyer, George; Elsen, Paul; Bean, William T.; Burton, a Coleman O.; Brashares, Justin S.</t>
  </si>
  <si>
    <t>Accelerated human population growth at protected area edges</t>
  </si>
  <si>
    <t>10959203</t>
  </si>
  <si>
    <t>10.1126/science.1158900</t>
  </si>
  <si>
    <t>Protected areas (PAs) have long been criticized as creations of and for an elite few, where associated costs, but few benefits, are borne by marginalized rural communities. Contrary to predictions of this argument, we found that average human population growth rates on the borders of 306 PAs in 45 countries in Africa and Latin America were nearly double average rural growth, suggesting that PAs attract, rather than repel, human settlement. Higher population growth on PA edges is evident across ecoregions, countries, and continents and is correlated positively with international donor investment in national conservation programs and an index of park-related funding. These findings provide insight on the value of PAs for local people, but also highlight a looming threat to PA effectiveness and biodiversity conservation</t>
  </si>
  <si>
    <t>123-126</t>
  </si>
  <si>
    <t>5885</t>
  </si>
  <si>
    <t>96FSEI9A</t>
  </si>
  <si>
    <t>Wood, E. C.; Tappan, G. G.; Hadj, A.</t>
  </si>
  <si>
    <t>Journal of Arid Environments</t>
  </si>
  <si>
    <t>01401963</t>
  </si>
  <si>
    <t>Described is (1) the land use and land cover changes that have taken place in the Department of Velingara, an area of tropical dry woodland in south-central Senegal, (2) the biophysical and socio-economic drivers of those changes with an emphasis on transition to agricultural use, and (3) an assessment of the likelihood of intensification of agriculture in the Department. Results indicate that land devoted to agriculture, either in active cultivation or short-term fallow, is increasing. There is little evidence of agricultural intensification in most of Velingara, with extensification coming largely at the cost of reduction in both upland woodlands and riparian forest. © 2004 Elsevier Ltd. All rights reserved.</t>
  </si>
  <si>
    <t>8AMM3X5I</t>
  </si>
  <si>
    <t>Wood, Peter John</t>
  </si>
  <si>
    <t>Climate change and game theory</t>
  </si>
  <si>
    <t>Annals of the New York Academy of Sciences</t>
  </si>
  <si>
    <t>00778923</t>
  </si>
  <si>
    <t>10.1111/j.1749-6632.2010.05891.x</t>
  </si>
  <si>
    <t>This paper examines the problem of achieving global cooperation to reduce greenhouse gas emissions. Contributions to this problem are reviewed from noncooperative game theory, cooperative game theory, and implementation theory. We examine the solutions to games where players have a continuous choice about how much to pollute, as well as games where players make decisions about treaty participation. The implications of linking cooperation on climate change with cooperation on other issues, such as trade, are also examined. Cooperative and noncooperative approaches to coalition formation are investigated in order to examine the behavior of coalitions cooperating on climate change. One way to achieve cooperation is to design a game, known as a mechanism, whose equilibrium corresponds to an optimal outcome. This paper examines some mechanisms that are based on conditional commitments, and their policy implications. These mechanisms could make cooperation on climate change mitigation more likely.</t>
  </si>
  <si>
    <t>4YPU6PPN</t>
  </si>
  <si>
    <t>Wiser, Ryan H.</t>
  </si>
  <si>
    <t>Using contingent valuation to explore willingness to pay for renewable energy: A comparison of collective and voluntary payment vehicles</t>
  </si>
  <si>
    <t>10.1016/j.ecolecon.2006.07.003</t>
  </si>
  <si>
    <t>419-432</t>
  </si>
  <si>
    <t>K8ZUAVV3</t>
  </si>
  <si>
    <t>VanWey, Leah K.; D'Antona, Álvaro O.; Brondízio, Eduardo S.</t>
  </si>
  <si>
    <t>Household demographic change and land use/land cover change in the Brazilian Amazon</t>
  </si>
  <si>
    <t>10.1007/s11111-007-0040-y</t>
  </si>
  <si>
    <t>Demographic interest in population and environment has grown in re- cent decades. One of the most prominent research areas in this tradition addresses the impact of population on land use and land cover change. Building on this tradition, we examine the effects of household demographic composition on land use and land cover on small farms in two study areas in the Brazilian Amazon. Fixed effects regression models of used area and forested area show few consistent effects of changes in household demography on land use and land cover change. Effects are inconsistent with the household life cycle model that currently dominates the literature on household demographic effects in frontiers. Changes in the number of children and women, particularly young women, have the most significant effects on land use and land cover change. We conclude by arguing that households stra- tegically access cash for investment in agriculture and that specific strategies are determined by economic and institutional context.</t>
  </si>
  <si>
    <t>G2G7TCL7</t>
  </si>
  <si>
    <t>Vandermeer, John; Perfecto, Ivette</t>
  </si>
  <si>
    <t>Breakfast of biodiversity: the truth about rain forest destruction</t>
  </si>
  <si>
    <t>Food First</t>
  </si>
  <si>
    <t>8BEP83FB</t>
  </si>
  <si>
    <t>Van Vliet, Nathalie; Nasi, Robert; Emmons, Louise; Feer, François; Mbazza, Prosper; Bourgarel, Mathieu</t>
  </si>
  <si>
    <t>Evidence for the local depletion of bay duiker Cephalophus dorsalis, within the Ipassa Man and Biosphere Reserve, north-east Gabon</t>
  </si>
  <si>
    <t>African Journal of Ecology</t>
  </si>
  <si>
    <t>01416707</t>
  </si>
  <si>
    <t>10.1111/j.1365-2028.2007.00783.x</t>
  </si>
  <si>
    <t>In spite of its protected status, the Ipassa Reserve (North- East Gabon) has been subject to intense hunting activities. Recent mammal surveys showed that the Reserve still shelters high mammal diversity, but also that densities have dramatically declined in the last two decades. We assessed the changes in diversity of duiker species within the Reserve by comparing data gathered two decades ago to data collected in 2005–2006 in the same area. The only two species currently present in the area are the blue duiker and Peter's duiker. Bay duiker was present at a density of 7.1 individuals per km2 in the 80's but seems now locally absent. As hunting for food is the only human activity carried out in the reserve during the last twenty years and Bay duiker is a favourite game species in the region, it is very likely that over hunting is the reason for this local depletion.</t>
  </si>
  <si>
    <t>LHLCVMXC</t>
  </si>
  <si>
    <t>van Duuren, Emiel; Plantinga, Auke; Scholtens, Bert</t>
  </si>
  <si>
    <t>ESG Integration and the Investment Management Process: Fundamental Investing Reinvented</t>
  </si>
  <si>
    <t>0167-4544</t>
  </si>
  <si>
    <t>10.1007/s10551-015-2610-8</t>
  </si>
  <si>
    <t>We investigate how conventional asset man- agers account for environmental, social, and governance (ESG) factors in their investment process. We do so on the basis of an international survey among fund managers. We find that many conventional managers integrate responsible investing in their investment process. Furthermore, we find that ESG information in particular is being used for red flagging and to manage risk. We find that many conven- tional fund managers have already adopted features of re- sponsible investing in the investment process. Furthermore, we argue and show that ESG investing is highly similar to fundamental investing. We also reveal that there is a sub- stantial difference in the ways in which U.S. and European asset managers view ESG.</t>
  </si>
  <si>
    <t>2016-10</t>
  </si>
  <si>
    <t>525-533</t>
  </si>
  <si>
    <t>QMD2J8UL</t>
  </si>
  <si>
    <t>Van Donkelaar, Aaron; Martin, Randall V.; Brauer, Michael; Kahn, Ralph; Levy, Robert; Verduzco, Carolyn; Villeneuve, Paul J.</t>
  </si>
  <si>
    <t>The University of British Columbia</t>
  </si>
  <si>
    <t>ZJKDRMMX</t>
  </si>
  <si>
    <t>Vaske, Jerry J.; Kobrin, Katherine C.</t>
  </si>
  <si>
    <t>Place Attachment and Environmentally Responsible Behavior</t>
  </si>
  <si>
    <t>The Journal of Environmental Education</t>
  </si>
  <si>
    <t>0095-8964</t>
  </si>
  <si>
    <t>10.1080/00958960109598658</t>
  </si>
  <si>
    <t>16-21</t>
  </si>
  <si>
    <t>9WLVBD5T</t>
  </si>
  <si>
    <t>Van Vliet, Nathalie; Milner-Gulland, E. J.; Bousquet, Francois; Saqalli, Mehdi; Nasi, Robert</t>
  </si>
  <si>
    <t>Effect of Small-Scale heterogeneity of prey and hunter distributions on the sustainability of bushmeat hunting</t>
  </si>
  <si>
    <t>10.1111/j.1523-1739.2010.01484.x</t>
  </si>
  <si>
    <t>Bushmeat is the main source of protein and the most important source of income for rural people in the Congo Basin, but intensive hunting of bushmeat species is also a major concern for conservationists. Although spatial heterogeneity in hunting effort and in prey populations at the landscape level plays a key role in the sustainability of hunted populations, the role of small-scale heterogeneity within a village hunting territory in the sustainability of hunting has remained understudied. We built a spatially explicit multiagent model to capture the dynamics of a system in which hunters and preys interact within a village hunting territory. We examined the case of hunting of bay duikers (Cephalophus dorsalis) in the village of Ntsiété, northeastern Gabon. The impact of hunting on prey populations depended on the spatial heterogeneity of hunting and prey distribution at small scales within a hunting area. Within a village territory, the existence of areas hunted throughout the year, areas hunted only during certain seasons, and unhunted areas contributed to the sustainability of the system. Prey abundance and offtake per hunter were particularly sensitive to the frequency and length of hunting sessions and to the number of hunters sharing an area. Some biological parameters of the prey species, such as dispersal rate and territory size, determined their spatial distribution in a hunting area, which in turn influenced the sustainability of hunting. Detailed knowledge of species ecology and behavior, and of hunting practices are crucial to understanding the distribution of potential sinks and sources in space and time. Given the recognized failure of simple biological models to assess maximum sustainable yields, multiagent models provide an innovative path toward new approaches for the assessment of hunting sustainability, provided further research is conducted to increase knowledge of prey species' and hunter behavior.</t>
  </si>
  <si>
    <t>9T6EEQIY</t>
  </si>
  <si>
    <t>van Vliet, Jasper; de Groot, Henri L. F.; Rietveld, Piet; Verburg, Peter H.</t>
  </si>
  <si>
    <t>01692046 (ISSN)</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</si>
  <si>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t>
  </si>
  <si>
    <t>7S2E2L5H</t>
  </si>
  <si>
    <t>Viña, Andrés; McConnell, William J.; Yang, Hongbo; Xu, Zhenci; Liu, Jianguo</t>
  </si>
  <si>
    <t>Forest loss is one of the most pervasive land surface transformations on Earth, with drastic effects on global climate, ecosystems, and humanwell-being. As part of biodiversity conservation and climate change mitigation efforts, many countries, including China, have been implementing large-scale policies to conserve and restore forests. However, little is known about the effectiveness of these policies, and information on China's forest dynamics at the national level has mainly relied on official statistics. In response to international calls for improved reliability and transparency of information on biodiversity conservation and climate changemitigation efforts, it is crucial to independently verify government statistics. Furthermore, if forest recovery is verified, it is essential to assess thedegree towhich this recovery is attributable to policy, within the context of other relevant factors. We assess the dynamics of forest cover in China between 2000 and 2010 and evaluate the effectiveness of one of the largest forest conservation programs in the world—theNatural Forest Conservation Program(NFCP). Results indicate that forest cover has significantly increased in around 1.6% of China's territory and that the areas exhibiting forest gainexperiencedacombinedincreaseinnet primary productivity (ca. 0.9 Tg of carbon). Among the variables evaluated at county level, the NFCP exhibited a significantly positive relation with forest gain,whereas reduction in rural labor showed a negative relationship with both forest loss and gain. Findings such as these have global implications for forest conservation and climate changemitigation efforts.</t>
  </si>
  <si>
    <t>8MXSMD24</t>
  </si>
  <si>
    <t>Vilà, Montserrat; Basnou, Corina; Pyšek, Petr; Josefsson, Melanie; Genovesi, Piero; Gollasch, Stephan; Nentwig, Wolfgang; Olenin, Sergej; Roques, Alain; Roy, David; Hulme, Philip E.</t>
  </si>
  <si>
    <t>Recent comprehensive data provided through the DAISIE project (www.europe-aliens.org) have facilitated the$\backslash$r$\backslash$ndevelopment of the first pan-European assessment of the impacts of alien plants, vertebrates, and invertebrates –$\backslash$r$\backslash$nin terrestrial, freshwater, and marine environments – on ecosystem services. There are 1094 species with documented$\backslash$r$\backslash$necological impacts and 1347 with economic impacts. The two taxonomic groups with the most species$\backslash$r$\backslash$ncausing impacts are terrestrial invertebrates and terrestrial plants. The North Sea is the maritime region that suffers$\backslash$r$\backslash$nthe most impacts. Across taxa and regions, ecological and economic impacts are highly correlated. Terrestrial$\backslash$r$\backslash$ninvertebrates create greater economic impacts than ecological impacts, while the reverse is true for terrestrial$\backslash$r$\backslash$nplants. Alien species from all taxonomic groups affect “supporting”, “provisioning”, “regulating”, and “cultural”$\backslash$r$\backslash$nservices and interfere with human well-being. Terrestrial vertebrates are responsible for the greatest range of$\backslash$r$\backslash$nimpacts, and these are widely distributed across Europe. Here, we present a review of the financial costs, as the first$\backslash$r$\backslash$nstep toward calculating an estimate of the economic consequences of alien species in Europe.</t>
  </si>
  <si>
    <t>135-144</t>
  </si>
  <si>
    <t>EFHYB8V4</t>
  </si>
  <si>
    <t>Verones, Francesca; Moran, Daniel; Stadler, Konstantin; Kanemoto, Keiichiro; Wood, Richard</t>
  </si>
  <si>
    <t>Resource footprints and their ecosystem consequences</t>
  </si>
  <si>
    <t>10.1038/srep40743</t>
  </si>
  <si>
    <t>40743</t>
  </si>
  <si>
    <t>December 2016</t>
  </si>
  <si>
    <t>IGR7TCVI</t>
  </si>
  <si>
    <t>Verburg, P. H.; Soepboer, W.; Veldkamp, A.; Limpiada, R.; Espaldon, V.; Mastura, S. S. A.</t>
  </si>
  <si>
    <t>Modeling the spatial dynamics of regional land use: The CLUE-S model</t>
  </si>
  <si>
    <t>Environmental Management</t>
  </si>
  <si>
    <t>0364-152X</t>
  </si>
  <si>
    <t>10.1007/s00267-002-2630-x</t>
  </si>
  <si>
    <t>Land-use change models are important tools for integrated environmental management. Through scenario analysis they can help to identify near-future critical locations in the face of environmental change. A dynamic, spatially explicit, land-use change model is presented for the regional scale: CLUE-S. The model is specifically developed for the analysis of land use in small regions (e.g., a watershed or province) at a fine spatial resolution. The model structure is based on systems theory to allow the integrated analysis of land-use change in relation to socio-economic and biophysical driving factors. The model explicitly addresses the hierarchical organization of land use systems, spatial connectivity between locations and stability. Stability is incorporated by a set of variables that define the relative elasticity of the actual land-use type to conversion. The user can specify these settings based on expert knowledge or survey data. Two applications of the model in the Philippines and Malaysia are used to illustrate the functioning of the model and its validation.</t>
  </si>
  <si>
    <t>5TMTBQX5</t>
  </si>
  <si>
    <t>Vedeld, Paul; Angelsen, Arild; Bojö, Jan; Sjaastad, Espen; Kobugabe Berg, Gertrude</t>
  </si>
  <si>
    <t>Forest environmental incomes and the rural poor</t>
  </si>
  <si>
    <t>10.1016/j.forpol.2006.05.008</t>
  </si>
  <si>
    <t>To what extent do rural people in developing countries depend on forest environmental income? This study addresses this question through a meta-analysis of 51 case studies from 17 countries. Cases were selected on the basis of a broad literature search, focusing on (i) data on household environmental income as well as other income sources; (ii) productive assets and socio-cultural information; and (iii) information on contextual variables that are likely to influence the use of forest sources of income. Results reveal that forest environmental income represents on average 22% of the total income in the population sampled. The main sources of forest environmental income are fuelwood, wild foods and fodder. Forest environmental income has a strong equalizing effect on local income distribution. Income diversification declined with total income; diversification did, however, increase with dependence on forest resources up to a point, beyond which diversification declined. The partial or complete omission of environmental income in current poverty assessments may lead to an underestimation of rural income and, under certain circumstances, to flawed policies and interventions. ?? 2006 Elsevier B.V. All rights reserved.</t>
  </si>
  <si>
    <t>869-879</t>
  </si>
  <si>
    <t>NLA659II</t>
  </si>
  <si>
    <t>Wackernagel, Mathis; Cranston, Gemma; Morales, Juan Carlos; Galli, Alessandro</t>
  </si>
  <si>
    <t>Ecological Footprint Accounts</t>
  </si>
  <si>
    <t>Handbook of sustainable development</t>
  </si>
  <si>
    <t>978-1-78254-469-2</t>
  </si>
  <si>
    <t>Second edition. Previous edition: 2007. Years on from the 1987 Brundtland Report, it has become clear that formidable challenges confront policy makers who have publicly stated their commitment to the goal of sustainable development. This text provides an account of the progress made in fleshing out these issues.</t>
  </si>
  <si>
    <t>Edward Elgar Publishing</t>
  </si>
  <si>
    <t>Atkinson, Giles; Dietz, Simon; Neumayer, Eric; Agarwala, Matthew</t>
  </si>
  <si>
    <t>68B8HJ8Y</t>
  </si>
  <si>
    <t>Verdone, Michael; Seidl, Andrew</t>
  </si>
  <si>
    <t>Time, space, place, and the Bonn Challenge global forest restoration target</t>
  </si>
  <si>
    <t>10.1111/rec.12512</t>
  </si>
  <si>
    <t>The Bonn Challenge, a global effort to begin restoring 350 million hectares of degraded forest landscapes by 2030, was launched in 2011. To date countries have committed to restore more than 60 million hectares as part of the Bonn Challenge. As global decision-makers, governments, and communities join the effort to restore degraded land, new questions about the economics of restoration have emerged. Critics argue that restoration takes too long, costs too much, and produces too few benefits to justify public or private expenditures. This paper addresses these concerns by presenting a methodology for valuing the net benefits of large-scale ecosystem restoration initiatives by estimating the net benefit of achieving the Bonn Challenge. This paper also estimates the net benefit of achieving the Bonn Challenge restoration target under different social discounting regimes, different valuations of public goods, and different time horizons to see how they affect the argument for investing society's scarce resources in restoration. The results suggest that achieving the Bonn Challenge would generate a net benefit of between U.S.$0.7 and U.S.$9 trillion. The results show that restoration can create benefits that exceed its costs and that the value of these benefits might differ depending on the discount rate. The results show that lower social discount rates correspond to higher restoration rates. This suggests that the Bonn Challenge target is more likely to be met when a low social discount rate is used to discount the benefits and costs of restoration.</t>
  </si>
  <si>
    <t>903-911</t>
  </si>
  <si>
    <t>FRHLLBJI</t>
  </si>
  <si>
    <t>Venter, Oscar; Sanderson, Eric W.; Magrach, Ainhoa; Allan, James R.; Beher, Jutta; Jones, Kendall R.; Possingham, Hugh P.; Laurance, William F.; Wood, Peter; Fekete, Balázs M.; Levy, Marc A.; Watson, James E. M.</t>
  </si>
  <si>
    <t>Scientific Data</t>
  </si>
  <si>
    <t>2052-4463</t>
  </si>
  <si>
    <t>Remotely-sensed and bottom-up survey information were compiled on eight variables measuring the direct and indirect human pressures on the environment globally in 1993 and 2009. This represents not only the most current information of its type, but also the first temporally-consistent set of Human Footprint maps. Data on human pressures were acquired or developed for: 1) built environments, 2) population density, 3) electric infrastructure, 4) crop lands, 5) pasture lands, 6) roads, 7) railways, and 8) navigable waterways. Pressures were then overlaid to create the standardized Human Footprint maps for all non-Antarctic land areas. A validation analysis using scored pressures from 3114 × 1 km2 random sample plots revealed strong agreement with the Human Footprint maps.We anticipate that the Human Footprint maps will find a range of uses as proxies for human disturbance of natural systems. The updated maps should provide an increased understanding of the human pressures that drive macro-ecological patterns, as well as for tracking</t>
  </si>
  <si>
    <t>160067</t>
  </si>
  <si>
    <t>XC69XTGD</t>
  </si>
  <si>
    <t>Walker, James M.; Gardner, Roy; Herr, Andrew; Ostrom, Elinor</t>
  </si>
  <si>
    <t>Collective choice in the commons: Experimental results on proposed allocation rules and votes</t>
  </si>
  <si>
    <t>10.1111/1468-0297.00497</t>
  </si>
  <si>
    <t>212-234</t>
  </si>
  <si>
    <t>460</t>
  </si>
  <si>
    <t>Y5H9X65G</t>
  </si>
  <si>
    <t>Wang, Xuelei; Ning, Longmei; Yu, Jing; Xiao, Rui; Li, Tao</t>
  </si>
  <si>
    <t>Changes of urban wetland landscape pattern and impacts of urbanization on wetland in Wuhan City</t>
  </si>
  <si>
    <t>Chinese Geographical Science</t>
  </si>
  <si>
    <t>10020063</t>
  </si>
  <si>
    <t>10.1007/s11769-008-0047-z</t>
  </si>
  <si>
    <t>In this study, remote sensing data of Wuhan City, Hubei Province, China in 1996–2001 were selected to extract wetland landscape information. Several landscape indices were used to evaluate the changes of landscape pattern within the five years, including patch number, patch density, patch fractal dimension, landscape diversity, dominance, evenness, and fragmentation indexes. Then, transformation probabilities of wetland landscapes into non-wetland landscapes were calculated based on Markov Model, and on these grounds the relationship between changes of wetland landscape pattern and urban construction was analyzed. The results showed that fragmentation degree of all wetland types increased, lake area declined, and dominance of natural wetland decreased. The reasons for these results were mainly because of urban construction. According to the features of abundant wetland in Wuhan City, we suggested that protection of wetland landscape should cooperate with urban construction, which means wetland should become important part of urban landscape.</t>
  </si>
  <si>
    <t>TICFESJL</t>
  </si>
  <si>
    <t>Wang, Wenjuan; Alva, Soumya; Wang, Shanxiao; Fort, Alfredo</t>
  </si>
  <si>
    <t>Levels and Trends in the Use of Maternal Health Services in Developing Countries. DHS Comparative Reports No. 26</t>
  </si>
  <si>
    <t>Calverton</t>
  </si>
  <si>
    <t>2HDKHBXC</t>
  </si>
  <si>
    <t>Walter, Mariana</t>
  </si>
  <si>
    <t>Mining conflicts in Latin America</t>
  </si>
  <si>
    <t>LT2BN3I6</t>
  </si>
  <si>
    <t>Walpole, Sarah Catherine; Prieto-Merino, David; Edwards, Phil; Cleland, John; Stevens, Gretchen; Roberts, Ian</t>
  </si>
  <si>
    <t>The weight of nations: an estimation of adult human biomass</t>
  </si>
  <si>
    <t>BMC Public Health</t>
  </si>
  <si>
    <t>1471-2458</t>
  </si>
  <si>
    <t>10.1186/1471-2458-12-439</t>
  </si>
  <si>
    <t>BACKGROUND: The energy requirement of species at each trophic level in an ecological pyramid is a function of the number of organisms and their average mass. Regarding human populations, although considerable attention is given to estimating the number of people, much less is given to estimating average mass, despite evidence that average body mass is increasing. We estimate global human biomass, its distribution by region and the proportion of biomass due to overweight and obesity.$\backslash$n$\backslash$nMETHODS: For each country we used data on body mass index (BMI) and height distribution to estimate average adult body mass. We calculated total biomass as the product of population size and average body mass. We estimated the percentage of the population that is overweight (BMI \textgreater 25) and obese (BMI \textgreater 30) and the biomass due to overweight and obesity.$\backslash$n$\backslash$nRESULTS: In 2005, global adult human biomass was approximately 287 million tonnes, of which 15 million tonnes were due to overweight (BMI \textgreater 25), a mass equivalent to that of 242 million people of average body mass (5% of global human biomass). Biomass due to obesity was 3.5 million tonnes, the mass equivalent of 56 million people of average body mass (1.2% of human biomass). North America has 6% of the world population but 34% of biomass due to obesity. Asia has 61% of the world population but 13% of biomass due to obesity. One tonne of human biomass corresponds to approximately 12 adults in North America and 17 adults in Asia. If all countries had the BMI distribution of the USA, the increase in human biomass of 58 million tonnes would be equivalent in mass to an extra 935 million people of average body mass, and have energy requirements equivalent to that of 473 million adults.$\backslash$n$\backslash$nCONCLUSIONS: Increasing population fatness could have the same implications for world food energy demands as an extra half a billion people living on the earth.</t>
  </si>
  <si>
    <t>DRHYN2FS</t>
  </si>
  <si>
    <t>Wade, R.</t>
  </si>
  <si>
    <t>Common Property Resource Management in South Indian Villages</t>
  </si>
  <si>
    <t>no. 36</t>
  </si>
  <si>
    <t>Research Unit, Agriculture and Rural Development Department, Operational Policy Staff, World Bank</t>
  </si>
  <si>
    <t>HZDU7B4X</t>
  </si>
  <si>
    <t>Wassenaar, T.; Gerber, P.; Verburg, P. H.; Rosales, M.; Ibrahim, M.; Steinfeld, H.</t>
  </si>
  <si>
    <t>Projecting land use changes in the Neotropics : The geography of pasture expansion into forest</t>
  </si>
  <si>
    <t>10.1016/j.gloenvcha.2006.03.007</t>
  </si>
  <si>
    <t>86-104</t>
  </si>
  <si>
    <t>JEM6IFEC</t>
  </si>
  <si>
    <t>Warner, Koko; Afifi, Tamer</t>
  </si>
  <si>
    <t>Where the rain falls: Evidence from 8 countries on how vulnerable households use migration to manage the risk of rainfall variability and food insecurity</t>
  </si>
  <si>
    <t>Climate and Development</t>
  </si>
  <si>
    <t>1756-5529</t>
  </si>
  <si>
    <t>10.1080/17565529.2013.835707</t>
  </si>
  <si>
    <t>Up to present, research relating environmental change to human mobility has found out that environmental factors can play a role in migration without being conclusive. Further, in the context of climate change, scholarly literature on migration ranges across a host of climatic stressors and geographies, making it difficult to date to solve the debate whether migration is a form of adaptation or an indicator of limits to adaptation. To address both of these debates, original research was undertaken to answer the question ?under what circumstances do households (HHs) use migration as a risk management strategy when facing rainfall variability and food insecurity??. This research administered a HH survey (n?=?1300) and participatory research (n?=?2000 respondents) in districts in eight countries (Guatemala, Peru, Ghana, Tanzania, Bangladesh, India, Thailand, and Vietnam). The findings reveal that the answer to how climatic stressors affect migration decisions and the degree to which migration improves the adaptive capacity of those HHs lie in the vulnerability of the HH and its sensitivity to climatic factors. The data reveal for the first time in a comparable global study distinct HH profiles of ?resilience? and ?vulnerability?. At the same time, the article distinguishes between ?content? migration ? rather associated with resilient HHs ? and ?erosive? migration ? rather associated with vulnerable HHs. However, the article also highlights that there are not always clear cuts but very often grey areas and overlaps among the HHs of the study when applying these typologies. Moreover, the article relates these profiles to an agent-based modelling approach applied in the Tanzania case to explore under what scenarios rainfall variability and food security have the potential to become significant drivers of human mobility in particular regions of the world in the next two to three decades.</t>
  </si>
  <si>
    <t>9J258UAH</t>
  </si>
  <si>
    <t>Wanger, Thomas Cherico</t>
  </si>
  <si>
    <t>The Lithium future—resources, recycling, and the environment</t>
  </si>
  <si>
    <t>1755-263X</t>
  </si>
  <si>
    <t>10.1111/j.1755-263X.2011.00166.x</t>
  </si>
  <si>
    <t>Abstract:? The demand for Lithium-ion batteries as a major power source in portable electronic devices and vehicles is rapidly increasing. I use cumulative data of vehicle, mobile phone, laptop, and digital camera production to show that demand will overshoot the available global Lithium resources before 2025. Even if 100% of all Lithium-ion batteries were recycled today, recycling could not prevent this resource depletion in time. As the increasing Lithium scarcity will increase the price, it will be feasible to mine diluted resources with a strong environmental impact. I highlight these impacts in Lithium-rich Bolivia, the potential new ?Saudi Arabia of Lithium.? Lithium extraction is likely to cause substantial water pollution, and?through impacts on native diversity?facilitate human health impacts from cyanobacteria that are normally kept at bay by native flamingos. The strongly intertwined Lithium extraction impacts on the environment, biodiversity, and human health from evaporative ponds and ore mining need to be taken into consideration when we discuss resource protection and opportunities from Lithium recycling. Overall, sensible Lithium recycling strategies can provide effective resource and environmental protection right now but urgently need to be supplemented by alternative technologies in the near-future.</t>
  </si>
  <si>
    <t>2011-03</t>
  </si>
  <si>
    <t>202-206</t>
  </si>
  <si>
    <t>W4KXI5BP</t>
  </si>
  <si>
    <t>Wedding, L. M.; Reiter, S. M.; Smith, C. R.; Gjerde, K. M.; Kittinger, J. N.; Friedlander, A. M.; Gaines, S. D.; Clark, M. R.; Thurnherr, A. M.; Hardy, S. M.; Crowder, L. B.</t>
  </si>
  <si>
    <t>Managing mining of the deep seabed</t>
  </si>
  <si>
    <t>10.1126/science.aac6647</t>
  </si>
  <si>
    <t>http://science.sciencemag.org/content/349/6244/144</t>
  </si>
  <si>
    <t>144-145</t>
  </si>
  <si>
    <t>6244</t>
  </si>
  <si>
    <t>7XCVIDH9</t>
  </si>
  <si>
    <t>Webb, Edward L.; Shivakoti, Ganesh</t>
  </si>
  <si>
    <t>Decentralization, Forests and Rural Communities: Policy Outcomes in Southeast Asia</t>
  </si>
  <si>
    <t>SAGE Publications India</t>
  </si>
  <si>
    <t>6T3ZBBSK</t>
  </si>
  <si>
    <t>Widmer, Rolf; Oswald-krapf, Heidi; Sinha-khetriwal, Deepali; Schnellmann, Max; Bo, Heinz</t>
  </si>
  <si>
    <t>Global perspectives on e-waste</t>
  </si>
  <si>
    <t>10.1016/j.eiar.2005.04.001</t>
  </si>
  <si>
    <t>436-458</t>
  </si>
  <si>
    <t>DVJ3IITZ</t>
  </si>
  <si>
    <t>White, Andy; Martin, Alejandra</t>
  </si>
  <si>
    <t>Who owns the world's forests? Forest tenure and public forests in transition</t>
  </si>
  <si>
    <t>Forest Trends</t>
  </si>
  <si>
    <t>SBT25W52</t>
  </si>
  <si>
    <t>Wilkie, David S.; Carpenter, Julia F.</t>
  </si>
  <si>
    <t>Bushmeat hunting in the Congo Basin: An assessment of impacts and options for mitigation</t>
  </si>
  <si>
    <t>Biodiversity and Conservation</t>
  </si>
  <si>
    <t>09603115</t>
  </si>
  <si>
    <t>10.1023/A:1008877309871</t>
  </si>
  <si>
    <t>Hunting of wild animals is an important component of household economies in the Congo Basin. Results from the growing corpus of quantitative studies show that: a) bushmeat remains the primary source of animal protein for the majority of Congo Basin families; b) bushmeat hunting can constitute a sig- nificant source of revenue for forest families; c) bushmeat consumption by low density populations living in the forest may be sustainable at present; d) demand for bushmeat by growing numbers of urban consumers has created a substantial market for bushmeat that is resulting in a halo of defaunation around population centres, and may be driving unsustainable levels of hunting, even in relatively isolated regions; and e) large bodied animals with low reproductive rates are most susceptible to over-exploitation compared with more r-selected species that apparently can tolerate relatively intensive hunting (Mangel et al. 1996). As urban populations continue to grow and economies revitalise, unless action is taken to alter the demand for, and the supply of bushmeat, the forests of the Congo Basin will be progressively stripped of certain wildlife species, risking their extirpation or extinction, and the loss of values they confer to local economies. Consequently, it is essential that a) logging companies are encouraged or coerced not to facilitate bushmeat hunting and transportation in their concessions, b) we develop a better understanding of the elasticity of bushmeat demand, c) that pilot bushmeat substitution projects are supported and their impact on demand evaluated, and d) social marketing activities are put in place to attempt to direct consumer preferences for animal protein away from bushmeat species that are particularly susceptible to over-exploitation.</t>
  </si>
  <si>
    <t>XN99JQVA</t>
  </si>
  <si>
    <t>Wickham, J. D.; Riitters, K. H.; Wade, T. G.; Coan, M.; Homer, C.</t>
  </si>
  <si>
    <t>The effect of Appalachian mountaintop mining on interior forest</t>
  </si>
  <si>
    <t>Landscape Ecology</t>
  </si>
  <si>
    <t>09212973</t>
  </si>
  <si>
    <t>10.1007/s10980-006-9040-z</t>
  </si>
  <si>
    <t>Southern Appalachian forests are predominantly interior because they are spatially extensive with little disturbance imposed by other uses of the land. Appalachian mountaintop mining increased substantially during the 1990s, posing a threat to the interior character of the forest. We used spatial convolution to identify interior forest at multiple scales on circa 1992 and 2001 land-cover maps of the Southern Appalachians. Our analyses show that interior forest loss was 1.75–5.0 times greater than the direct forest loss attributable to mountaintop mining. Mountaintop mining in the southern Appalachians has reduced forest interior area more extensively than the reduction that would be expected based on changes in overall forest area alone. The loss of Southern Appalachian interior forest is of global significance because of the worldwide rarity of large expanses of temperate deciduous forest.</t>
  </si>
  <si>
    <t>ZGS3UCQH</t>
  </si>
  <si>
    <t>Wilkinson, John L.; Hooda, Peter S.; Barker, James; Barton, Stephen; Swinden, Julian</t>
  </si>
  <si>
    <t>Critical Reviews in Environmental Science and Technology</t>
  </si>
  <si>
    <t>336-381</t>
  </si>
  <si>
    <t>EH2EJKM6</t>
  </si>
  <si>
    <t>Williams, R.; Wright, A. J.; Ashe, E.; Blight, L. K.; Bruintjes, R.; Canessa, R.; Clark, C. W.; Cullis-Suzuki, S.; Dakin, D. T.; Erbe, C.; Hammond, P. S.; Merchant, N. D.; O'Hara, P. D.; Purser, J.; Radford, A. N.; Simpson, S. D.; Thomas, L.; Wale, M. A.</t>
  </si>
  <si>
    <t>Ocean &amp; Coastal Management</t>
  </si>
  <si>
    <t>09645691</t>
  </si>
  <si>
    <t>Anthropogenic underwater noise is now recognized as a world-wide problem, and recent studies have shown a broad range of negative effects in a variety of taxa. Underwater noise from shipping is increasingly recognized as a significant and pervasive pollutant with the potential to impact marine ecosystems on a global scale. We reviewed six regional case studies as examples of recent research and management activities relating to ocean noise in a variety of taxonomic groups, locations, and approaches. However, as no six projects could ever cover all taxa, sites and noise sources, a brief bibliometric analysis places these case studies into the broader historical and topical context of the peer-reviewed ocean noise literature as a whole. The case studies highlighted emerging knowledge of impacts, including the ways that non-injurious effects can still accumulate at the population level, and detailed approaches to guide ocean noise management. They build a compelling case that a number of anthropogenic noise types can affect a variety of marine taxa. Meanwhile, the bibliometric analyses revealed an increasing diversity of ocean noise topics covered and journal outlets since the 1940s. This could be seen in terms of both the expansion of the literature from more physical interests to ecological impacts of noise, management and policy, and consideration of a widening range of taxa. However, if our scientific knowledge base is ever to get ahead of the curve of rapid industrialization of the ocean, we are going to have to identify na??ve populations and relatively pristine seas, and construct mechanistic models, so that we can predict impacts before they occur, and guide effective mitigation for the most vulnerable populations.</t>
  </si>
  <si>
    <t>2015-10</t>
  </si>
  <si>
    <t>17-24</t>
  </si>
  <si>
    <t>VH7AZ76D</t>
  </si>
  <si>
    <t>WHO</t>
  </si>
  <si>
    <t>Modern food biotechnology, human health and development: an evidence-based study</t>
  </si>
  <si>
    <t>WHO Press</t>
  </si>
  <si>
    <t>6QZYHZFD</t>
  </si>
  <si>
    <t>WFP</t>
  </si>
  <si>
    <t>108 Million People In The World Face Severe Food Insecurity – Situation Worsening</t>
  </si>
  <si>
    <t>KZ6BEBP4</t>
  </si>
  <si>
    <t>WHO; UNEP</t>
  </si>
  <si>
    <t>Public health impact of pesticides used in agriculture: report of a WH</t>
  </si>
  <si>
    <t>Y2W7A9R6</t>
  </si>
  <si>
    <t>WHI</t>
  </si>
  <si>
    <t>World Happiness Report 2017</t>
  </si>
  <si>
    <t>Helliwell, J.</t>
  </si>
  <si>
    <t>Layard, R.; Sachs, J.</t>
  </si>
  <si>
    <t>NGT2UCG9</t>
  </si>
  <si>
    <t>Ambient Air Pollution: A global assessment of exposure and burden of disease</t>
  </si>
  <si>
    <t>Air pollution represents the biggest environ- mental risk to health. In 2012, one out of every nine deaths was the result of air pollution-rela- ted conditions. Of those deaths, around 3 mil- lion are attributable solely to ambient (outdoor) air pollution. Air pollution affects all regions, settings, socioeconomic groups, and age groups. While all people living in a given area breathe from the same air, there are never- theless important geographical differences in exposure to air pollution. Citizens in Africa, Asia or the Middle East breathe much higher levels of air pollutants that those in living other parts of the world. Some places have air pollution levels that are several times higher than those consi- dered safe by the World Health Organization (WHO) Air quality guidelines. Air pollution is used as a marker of sustai- nable development, as sources of air pollu- tion also produce climate-modifying pollutants (e.g. CO2 or black carbon). Policies to address air pollution also generate a range of bene- fits to human health, not only through air quality improvements but also other health benefits, such as injury prevention or enabling physical activity. Consequently, concerns about air pollution are reflected in the Sustainable Development Goals (SDGs) : Air pollution levels in cities is cited as an indicator for urban sustainable development (SDG 11) ; access to clean energy – particular- ly clean household fuels and technologies – is highlighted as an indicator for sustainable en- ergy (SDG 7) ; and mortality due to air pollution (ambient and household) is used an indicator for the health SDG goal (SDG 3). Reliable estimates of exposure to and impacts from air pollutants are key to better inform policy-makers, as well as development partners. These figures are neces- sary to track progress in air quality improvements and to help evaluate the effectiveness of policies aiming at reducing air pollution, as well as as- sessment of how much they are contributing to protect health. In 2015, to respond to this major global public health threat, the 194 WHO Member States adop- ted the first World Health Assembly resolution to “ address the adverse health effects of air pollu- tion ”. The following year, Member States agreed on a road map for “ an enhanced global response to the adverse health effects of air pollution ”. Among the main elements of this road map are the monitoring and reporting of air pollution, and enhanced systems, structures and processes\ldots</t>
  </si>
  <si>
    <t>B2DJVZ9A</t>
  </si>
  <si>
    <t>Blackman, Allen; Rivera, Jorge</t>
  </si>
  <si>
    <t>Producer-Level Benefits of Sustainability Certification</t>
  </si>
  <si>
    <t>10.1111/j.1523-1739.2011.01774.x</t>
  </si>
  <si>
    <t>Abstract: Initiatives certifying that producers of goods and services adhere to defined environmental and social-welfare production standards are increasingly popular. According to proponents, these initiatives create financial incentives for producers to improve their environmental, social, and economic performance. We reviewed the evidence on whether these initiatives have such benefits. We identified peer-reviewed, ex post, producer-level studies in economic sectors in which certification is particularly prevalent (bananas, coffee, fish products, forest products, and tourism operations), classified these studies on the basis of whether their design and methods likely generated credible results, summarized findings from the studies with credible results, and considered how these findings might guide future research. We found 46 relevant studies, most of which focused on coffee and forest products and examined fair-trade and Forest Stewardship Council certification. The methods used in 11 studies likely generated credible results. Of these 11 studies, nine examined the economic effects and two the environmental effects of certification. The results of four of the 11 studies, all of which examined economic effects, showed that certification has producer-level benefits. Hence, the evidence to support the hypothesis that certification benefits the environment or producers is limited. More evidence could be generated by incorporating rigorous, independent evaluation into the design and implementation of projects promoting certification. Resumen: Las iniciativas de certificación de productores de bienes y servicios que se apegan a estándares ambientales y de producción de bienestar social son cada vez más populares. De acuerdo con los proponentes, estas iniciativas crean incentivos financieros para que los productores mejoren su desempeño ambiental, social y económico. Revisamos la evidencia para ver si esas iniciativas tienen tales beneficios. Identificamos estudios ex post y a nivel de productores sometidos a revisión cientifica external, en sectores económicos en los que la certificación es particularmente prevalente (plátano, café, productos pesqueros, productos forestales y operaciones turísticas), los clasificamos considerando si su diseño y métodos generaron resultados creíbles, sintetizamos los hallazgos de los estudios con resultados creíbles y consideramos como estos hallazgos pueden dirigir investigaciones en el futuro. Encontramos 46 estudios relevantes, muchos de ellos enfocados en café y productos comerciales y con certificación de comercio justo y Forest Stewardship Council. Los métodos utilizados en 11 estudios generaron resultados creíbles. De estos 11 estudios, nueve examinaron los efectos económicos y dos los efectos ambientales de la certificación. Los resultados de cuatro de los 11 estudios, todos examinando efectos económicos, mostraron que la certificación tiene beneficios a nivel de productores. Por lo tanto, la evidencia para apoyar la hipótesis de que la certificación beneficia al ambiente o a los productores es limitada. Se deben generar mas evidencia mediante la incorporación de evaluaciones independientes más rigorosas en el diseño e implementación de proyectos que promueven la certificación.</t>
  </si>
  <si>
    <t>1176-1185</t>
  </si>
  <si>
    <t>KELQ7P8C</t>
  </si>
  <si>
    <t>Biswas, Asit K.</t>
  </si>
  <si>
    <t>Cooperation or conflict in transboundary water management: case study of South Asia</t>
  </si>
  <si>
    <t>Hydrological Sciences Journal</t>
  </si>
  <si>
    <t>0262-6667</t>
  </si>
  <si>
    <t>10.1080/02626667.2011.572886</t>
  </si>
  <si>
    <t>http://www.tandfonline.com/doi/abs/10.1080/02626667.2011.572886</t>
  </si>
  <si>
    <t>The transboundary HImalayan rivers flowing through Bhutan, Nepal, India and Bangladesh provide a golden opportunity to improve the standard of living of the largest concentration of the poor people in the world. Bhutan and India have shown that, given goodwill and trust between the countries concerned, water can be successfully used as an engine for economic growth. This can bring substantial benefits to the people of both the countries. In contrast, lack of trust between Nepal, India and Bangladesh has compounded the deprivation of the region through undervelopment. This paper analyses two very contrasting results of managing transboundary rivers in South Asia, a most successful one in Bhutan and India, and a missed opportunity in Nepal, India and Bangladesh.</t>
  </si>
  <si>
    <t>662-670</t>
  </si>
  <si>
    <t>KA2U7XUD</t>
  </si>
  <si>
    <t>Blackburn, Tim M.; Dyer, Ellie; Su, Shan; Cassey, Phillip</t>
  </si>
  <si>
    <t>Journal of Ornithology</t>
  </si>
  <si>
    <t>2193-7192</t>
  </si>
  <si>
    <t>http://link.springer.com/10.1007/s10336-015-1155-z</t>
  </si>
  <si>
    <t>The most significant single event in the study of alien bird invasions occurred in 1981, with the publication of John L. Long's seminal book “Introduced birds of the world” (full title: Introduced birds of the world: The worldwide history, distribution and influence of birds introduced to new environments”; David &amp; Charles Ltd., Newton Abbot, UK). The significance of this book derives not just from its content, but also from its timing, coincident with the 1982 Scientific Committee on Problems of the Environment (SCOPE) programme on the ecology of biological invasions. It was not long before studies started to appear that exploited the data in Long's book to address the questions posed by SCOPE regarding alien invasions. As a result, we arguably have a more complete understanding of the invasion process for birds than for any other taxon. Nevertheless, there are still some key issues in the study of bird invasions where understanding is not all it should be. The aim of this review is to highlight four of these issues by arguing that (1) we do not know half so much about bird invasions as we think; (2) propagule pressure promotes invasions; (3) colonization pressure matters; (4) there is no evidence that escape from parasites promotes alien (bird) invasions. We expect some of the views expressed to be controversial, and others less so, but either way we hope this paper will stimulate others to provide better evidence for-or against-our propositions.</t>
  </si>
  <si>
    <t>2015-12</t>
  </si>
  <si>
    <t>15-25</t>
  </si>
  <si>
    <t>S1</t>
  </si>
  <si>
    <t>EWPEZJ6Z</t>
  </si>
  <si>
    <t>BirdLife International</t>
  </si>
  <si>
    <t>Database of Key Biodiversity Areas</t>
  </si>
  <si>
    <t>International Union for the Conservation of Nature; Amphibian Survival Alliance; Conservation International; Critical Ecosystem Partnership Fund; Global Environment Facility; Global Wildlife Conservation; NatureServe; Rainforest Trust; Royal Society for the Protection of Birds; Woldlife Conservation Society; World Wildlife Fund</t>
  </si>
  <si>
    <t>9CNXAJ27</t>
  </si>
  <si>
    <t>Birkenbach, Anna M.; Kaczan, David J.; Smith, Martin D.</t>
  </si>
  <si>
    <t>Catch shares slow the race to fish</t>
  </si>
  <si>
    <t>10.1038/nature21728</t>
  </si>
  <si>
    <t>http://www.nature.com/doifinder/10.1038/nature21728</t>
  </si>
  <si>
    <t>2017-04</t>
  </si>
  <si>
    <t>223-226</t>
  </si>
  <si>
    <t>7649</t>
  </si>
  <si>
    <t>H5Q5DKA4</t>
  </si>
  <si>
    <t>Black, Richard; Bennett, Stephen R. G.; Thomas, Sandy M.; Beddington, John R.</t>
  </si>
  <si>
    <t>Climate change: Migration as adaptation</t>
  </si>
  <si>
    <t>10.1038/478477a</t>
  </si>
  <si>
    <t>This article presents a conceptual model to investigate population migration as a possible adaptive response to risks associated with climate change. The model reflects established theories of human migration behaviour, and is based upon the concepts of vulnerability, exposure to risk and adaptive capacity, as developed in the climate change research community. The application of the model is illustrated using the case of 1930s migration patterns in rural Eastern Oklahoma, which took place during a period of repeated crop failures due to drought and flooding.</t>
  </si>
  <si>
    <t>WV9JXCJF</t>
  </si>
  <si>
    <t>Bird, Julia; Straub, Stephanie</t>
  </si>
  <si>
    <t>The Brasilia Experiment: Road Access and the spatial pattern of long-term local development in Brazil</t>
  </si>
  <si>
    <t>BJ42J9SB</t>
  </si>
  <si>
    <t>Biggs, Reinette Oonsie; Peterson, Garry D.; Rocha, Juan Carlos</t>
  </si>
  <si>
    <t>The Regime Shifts Database: A framework for analyzing regime shifts in social-ecological systems</t>
  </si>
  <si>
    <t>bioRxiv</t>
  </si>
  <si>
    <t>10.1101/018473</t>
  </si>
  <si>
    <t>This paper presents the Regime Shifts Database (RSDB), a new online, open-access database that uses a novel consistent framework to systematically analyze regime shifts based on their impacts, key drivers, underlying feedbacks, and management options. The database currently contains 27 generic types of regime shifts, and over 300 specific case studies of a variety of regime shifts. These regime shifts occur across diverse types of systems and are driven by many different types of processes. Besides impacting provisioning and regulating services, our work shows that regime shifts substantially impact cultural and aesthetic ecosystem services. We found that social-ecological feedbacks are difficult to characterize and more work is needed to develop new tools and approaches to better understand social-ecological regime shifts. We hope that the database will stimulate further research on regime shifts and make available information that can be used in management, planning and assessment.</t>
  </si>
  <si>
    <t>EZ2CA5MN</t>
  </si>
  <si>
    <t>Blaikie, P.; Cannon, T.; Davis, I.; Wisner, B.</t>
  </si>
  <si>
    <t>At risk: natural hazards, people's vulnerability and disasters</t>
  </si>
  <si>
    <t>0-415-08476-8</t>
  </si>
  <si>
    <t>JFUJPZGI</t>
  </si>
  <si>
    <t>Binswanger, Hans P.; Khandker, Shahidur R.; Rosenzweig, Mark R.</t>
  </si>
  <si>
    <t>How infrastructure and financial institutions affect agricultural output and investment in India</t>
  </si>
  <si>
    <t>10.1016/0304-3878(93)90062-R</t>
  </si>
  <si>
    <t>This paper has sought to quantify the inter-relationships among the investment decisions of government, financial institutions and farmers and their joint effects on agricultural investment and output. Empirical results using district-level time-series data from India confirm the importance of input and output prices in the determination of aggregate crop output, but also confirm that aggregate outout supply elasticities are low. Education infrastructure availability and the rural banks play an overwhelming role in determining investment, input and output decisions. Availability of banks is a more important determinant of fertilizer demand and aggregate crop output than interest rates. While farmers respond to infrastructure, the governments in turn allocate their infrastructure investments in response to the agroclimatic potential of the districts and banks locate their branches where the agroclimate and the infrastructure are favorable to their operation. Agricultural output is therefore determined in a complex interactive process where farmers, government and intermediaries respond to the same factors. This sharply affects the econometric techniques which have to be used to analyze output supply. ?? 1993.</t>
  </si>
  <si>
    <t>1993-08</t>
  </si>
  <si>
    <t>337-366</t>
  </si>
  <si>
    <t>FEK2X7XV</t>
  </si>
  <si>
    <t>Adger, W. Neil</t>
  </si>
  <si>
    <t>Social Capital, Collective Action, and Adaptation to Climate Change</t>
  </si>
  <si>
    <t>Economic Geography</t>
  </si>
  <si>
    <t>10.1111/j.1944-8287.2003.tb00220.x</t>
  </si>
  <si>
    <t>https://www.jstor.org/stable/pdf/30032945.pdf</t>
  </si>
  <si>
    <t>2022-09-23 09:11:14</t>
  </si>
  <si>
    <t>2022-09-23T09:11:14Z</t>
  </si>
  <si>
    <t>387-404</t>
  </si>
  <si>
    <t>FC2TYJ8X</t>
  </si>
  <si>
    <t>Abila, Richard O.</t>
  </si>
  <si>
    <t>Fish trade and food security: are they reconcilable in Lake Victoria</t>
  </si>
  <si>
    <t>Kenya Marine and Fisheries</t>
  </si>
  <si>
    <t>http://www.fao.org/docrep/006/y4961e/y4961e0d.htm</t>
  </si>
  <si>
    <t>The Lake Victoria fishery has come under increasing pressure in the last two decades. Fish production peaked in the early 1990s and currently catches of most species are showing downward trends. Despite this, there is greater demand for fish of Lake Victoria, chiefly Nile perch (Lates niloticus) and ‘dagaa' (Rastrineobola argentea), in the export market and for fishmeal respectively, as well as for domestic consumption. The present situation is the consequence of the tremendous commercial transformation that the fishery of Lake Victoria has undergone in those 20 years. From a local-based subsistence fishery before 1980, it is presently dominated by fish processing factories funded from international sources, which aim at enhancing fish exports from East Africa to the developed world, so as to earn more foreign exchange. This takes place against a backdrop of a protein-starved local community whose livelihood depends on the lake. In the past, international trade on fisheries was taken for granted as the means to tackle poverty and food insecurity for fisheries-dependent communities. That idea has, however, been challenged in the last few years as researches look critically at the benefits of global fish trade vis-à-vis the costs, particularly in relation to food insecurity and environmental implications. This report is a further contribution to this debate. It tries to establish a link between the increased liberalization of trade in the fisheries of Lake Victoria and the food insecurity indicators. The paper is based on primary and secondary data collected at various times, published and unpublished documents as well as the author's own observations over several years working as a researcher on socio-economic aspects of the Lake Victoria fishery. Because of the large investment already made in industrial fish processing, it would be in order to allow some amount of exports to continue. However, the quantities of exportable fish must be limited to ensure sustainable fisheries and reconciliation with the food security needs. Recommendations are made in four broad directions to make Lake Victoria fisheries more relevant to the food security needs of the local population. They include specific policy interventions, interventions in fisheries management, steps to enhance fish supply and refocusing the fish marketing strategies. There is also need for more incisive studies on the fish industry and at household level to understand in greater depth how the various factors raised in this study relate to each other and the magnitude of their contribution to food insecurity.</t>
  </si>
  <si>
    <t>2022-09-23 09:05:04</t>
  </si>
  <si>
    <t>2022-09-23T09:05:04Z</t>
  </si>
  <si>
    <t>UZAPAK7S</t>
  </si>
  <si>
    <t>Adler, Emanuel; Haas, Peter M.</t>
  </si>
  <si>
    <t>Conclusion: epistemic communities, world order, and the creation of a reflective research program</t>
  </si>
  <si>
    <t>International organization</t>
  </si>
  <si>
    <t>10.1017/S0020818300001533</t>
  </si>
  <si>
    <t>2022-09-23 09:03:49</t>
  </si>
  <si>
    <t>2022-09-23T09:03:49Z</t>
  </si>
  <si>
    <t>367-390</t>
  </si>
  <si>
    <t>9DVJP2FM</t>
  </si>
  <si>
    <t>Abbott, J. K.; Garber-Yonts, Brian; Wilen, James E.</t>
  </si>
  <si>
    <t>Employment and remuneration effects of IFQs in the Bering Sea/Aleutian Islands crab fisheries</t>
  </si>
  <si>
    <t>Marine Resource Economics</t>
  </si>
  <si>
    <t>10.5950/0738-1360-25.4.333</t>
  </si>
  <si>
    <t>2022-09-23 09:01:33</t>
  </si>
  <si>
    <t>2022-09-23T09:01:33Z</t>
  </si>
  <si>
    <t>333-354</t>
  </si>
  <si>
    <t>J248AWVV</t>
  </si>
  <si>
    <t>Abramczyk, Marshall; Campbell, Martha; Chitkara, Aman; Diawara, Mia; Lerch, Aileen; Newcomb, James</t>
  </si>
  <si>
    <t>Positive Disruption: Limiting Global Temperature Rise to Well Below 2 Cº</t>
  </si>
  <si>
    <t>http://www.rmi.org/insights/reports/positive_ disruption_limiting_global_temperature_rise</t>
  </si>
  <si>
    <t>Rocky Mountain Institute</t>
  </si>
  <si>
    <t>74BMYVLX</t>
  </si>
  <si>
    <t>Acheson, James M.</t>
  </si>
  <si>
    <t>The Lobster Gangs of Maine</t>
  </si>
  <si>
    <t>978-0-87451-451-3</t>
  </si>
  <si>
    <t>https://www.upne.com/8740506.html</t>
  </si>
  <si>
    <t>James Acheson's detailed account of lobstering in Maine quickly dispels notions that the lobstermen is the eastern version of the cowboy, struggling alone for survival against the elements. In reality, he writes, “the lobster fisherman is caught up in a thick and complex web of social relationships. Survival in the industry depends as much on the ability to manipulate social relationships as on technical skills.” Acheson replaces our romantic image of the lobsterman with descriptions of the highly territorial and hierarchical “harbor gangs,” daily and annual cycles of lobstering, intricacies of marketing the catch, and the challenge of managing a communal resource.</t>
  </si>
  <si>
    <t>University Press of New England</t>
  </si>
  <si>
    <t>KQYC28MK</t>
  </si>
  <si>
    <t>Abernethy, K.; Ndong Obiang, A. M.</t>
  </si>
  <si>
    <t>Bushmeat in Gabon</t>
  </si>
  <si>
    <t>https://www.stir.ac.uk/research/hub/publication/15062</t>
  </si>
  <si>
    <t>Technical Report to the Directeur Général des Eaux et Forets, Président du Comité Inter-ministériel de la Stratégie Nationale de Gestion de la Viande de Brousse.</t>
  </si>
  <si>
    <t>204</t>
  </si>
  <si>
    <t>Ministère des Eaux et Forêts</t>
  </si>
  <si>
    <t>Gabon</t>
  </si>
  <si>
    <t>PLU493A2</t>
  </si>
  <si>
    <t>Acemoglu, Daron; Johnson, Simon; Robinson, James A.</t>
  </si>
  <si>
    <t>Institutions as a Fundamental Cause of Long-Run Growth</t>
  </si>
  <si>
    <t>Handbook of Economic Growth, vol.1</t>
  </si>
  <si>
    <t>Elsevier</t>
  </si>
  <si>
    <t>Aghion, Philippe; Durlauf, Steven</t>
  </si>
  <si>
    <t>XGSF5BIE</t>
  </si>
  <si>
    <t>Adamo, Susana B.; Curran, Sara R.</t>
  </si>
  <si>
    <t>Alliances, Conflicts, and Mediations: The Role of Population Mobility in the Integration of Ecology into Poverty Reduction</t>
  </si>
  <si>
    <t>Integrating Ecology and Poverty Reduction</t>
  </si>
  <si>
    <t>79-99</t>
  </si>
  <si>
    <t>Springer New York</t>
  </si>
  <si>
    <t>New York</t>
  </si>
  <si>
    <t>IN75J4JQ</t>
  </si>
  <si>
    <t>Acemoglu, Daron; Johnson, Simon; Robinson, J. A. James A.</t>
  </si>
  <si>
    <t>The Colonial Origins of Comparative Development: An Empirical Investigation</t>
  </si>
  <si>
    <t>10.2139/ssrn.244582</t>
  </si>
  <si>
    <t>We exploit differences in European mortality rates to estimate the effect of institutions on economic performance. Europeans adopted very different colonization policies in different colonies, with different associated institutions. In places where Europeans faced high mortality rates, they could not settle and were more likely to set up extractive institutions. These institutions persisted to the present. Exploiting differences in European mortality rates as an instrument for current institutions, we estimate large effects of institutions on income per capita. Once the effect of institutions is controlled for, countries in Africa or those closer to the equator do not have lower incomes.</t>
  </si>
  <si>
    <t>CGD3ACPD</t>
  </si>
  <si>
    <t>Bernauer, Thomas; Koubi, Vally</t>
  </si>
  <si>
    <t>Effects of political institutions on air quality</t>
  </si>
  <si>
    <t>10.1016/j.ecolecon.2008.09.003</t>
  </si>
  <si>
    <t>2022-09-23 09:12:38</t>
  </si>
  <si>
    <t>2022-09-23T09:12:38Z</t>
  </si>
  <si>
    <t>1355-1365</t>
  </si>
  <si>
    <t>WQ7KTRNW</t>
  </si>
  <si>
    <t>Betsill, Michele M.; Corell, Elisabeth</t>
  </si>
  <si>
    <t>NGO influence in international environmental negotiations: a framework for analysis</t>
  </si>
  <si>
    <t>Global environmental politics</t>
  </si>
  <si>
    <t>10.1162/152638001317146372</t>
  </si>
  <si>
    <t>2022-09-23 09:07:27</t>
  </si>
  <si>
    <t>2022-09-23T09:07:27Z</t>
  </si>
  <si>
    <t>65-85</t>
  </si>
  <si>
    <t>5EJGPGU7</t>
  </si>
  <si>
    <t>Bernauer, Thomas; Böhmelt, Tobias; Koubi, Vally</t>
  </si>
  <si>
    <t>Environmental changes and violent conflict</t>
  </si>
  <si>
    <t>10.1088/1748-9326/7/1/015601</t>
  </si>
  <si>
    <t>http://stacks.iop.org/1748-9326/7/i=1/a=015601</t>
  </si>
  <si>
    <t>This letter reviews the scientific literature on whether and how environmental changes affect the risk of violent conflict. The available evidence from qualitative case studies indicates that environmental stress can contribute to violent conflict in some specific cases. Results from quantitative large-N studies, however, strongly suggest that we should be careful in drawing general conclusions. Those large-N studies that we regard as the most sophisticated ones obtain results that are not robust to alternative model specifications and, thus, have been debated. This suggests that environmental changes may, under specific circumstances, increase the risk of violent conflict, but not necessarily in a systematic way and unconditionally. Hence there is, to date, no scientific consensus on the impact of environmental changes on violent conflict. This letter also highlights the most important challenges for further research on the subject. One of the key issues is that the effects of environmental changes on violent conflict are likely to be contingent on a set of economic and political conditions that determine adaptation capacity. In the authors' view, the most important indirect effects are likely to lead from environmental changes via economic performance and migration to violent conflict.</t>
  </si>
  <si>
    <t>2022-09-23 09:04:39</t>
  </si>
  <si>
    <t>2022-09-23T09:04:39Z</t>
  </si>
  <si>
    <t>15601</t>
  </si>
  <si>
    <t>JPAKRFGN</t>
  </si>
  <si>
    <t>Berkes, Fikret</t>
  </si>
  <si>
    <t>Commons in a multi-level world</t>
  </si>
  <si>
    <t>International journal of the commons</t>
  </si>
  <si>
    <t>2022-09-23 09:03:43</t>
  </si>
  <si>
    <t>2022-09-23T09:03:43Z</t>
  </si>
  <si>
    <t>1-6</t>
  </si>
  <si>
    <t>298I82NS</t>
  </si>
  <si>
    <t>Berkes, Fikret; Kislalioglu, Mina</t>
  </si>
  <si>
    <t>A comparative study of yield, investment and energy use in small-scale fisheries: some considerations for resource planning</t>
  </si>
  <si>
    <t>Fisheries research</t>
  </si>
  <si>
    <t>10.1016/0165-7836(89)90055-6</t>
  </si>
  <si>
    <t>2022-09-23 09:02:29</t>
  </si>
  <si>
    <t>2022-09-23T09:02:29Z</t>
  </si>
  <si>
    <t>207-224</t>
  </si>
  <si>
    <t>RBELKQ2L</t>
  </si>
  <si>
    <t>Devolution of environment and resources governance: trends and future</t>
  </si>
  <si>
    <t>0376-8929</t>
  </si>
  <si>
    <t>10.1017/S037689291000072X</t>
  </si>
  <si>
    <t>http://www.journals.cambridge.org/abstract_S037689291000072X</t>
  </si>
  <si>
    <t>2010-12</t>
  </si>
  <si>
    <t>489-500</t>
  </si>
  <si>
    <t>04</t>
  </si>
  <si>
    <t>NDLZ5I6X</t>
  </si>
  <si>
    <t>Bhagwat, Shonil A.; Rutte, Claudia</t>
  </si>
  <si>
    <t>Sacred groves : potential for biodiversity management</t>
  </si>
  <si>
    <t>15409295</t>
  </si>
  <si>
    <t>10.1890/1540-9295(2006)4</t>
  </si>
  <si>
    <t>https://doi.org/10.1890/1540-9295(2006)4[519:SGPFBM]2.0.CO;2</t>
  </si>
  <si>
    <t>519-524</t>
  </si>
  <si>
    <t>Y4F9RL9D</t>
  </si>
  <si>
    <t>Berkes, Fikret; Folke, Carl; Colding, Johan</t>
  </si>
  <si>
    <t>Linking social and ecological systems : management practices and social mechanisms for building resilience</t>
  </si>
  <si>
    <t>0-521-78562-6</t>
  </si>
  <si>
    <t>https://www.researchgate.net/publication/208573509_Linking_Social_and_Ecological_Systems_Management_Practices_and_Social_Mechanisms_for_Building_Resilience</t>
  </si>
  <si>
    <t>People, refugia, and resilience / Madhav Gadgil, Natabar Shyam Hemam, and B. Mohan Reddy – Learning by fishing: practical engagement and environmental concerns / Gísli Pálsson – Dalecarlia in central Sweden before 1800: a society of social stability and ecological resilience / Ulf Sporrong – Indigenous knowledge and resource management systems in the Canadian subarctic / Fikret Berkes – Resilience and neo-traditional populations: the caiçaras (Atlantic Forest) and the caboclos (Amazon, Brazil) / Alpina Begossi – Indigenous African resource management of a tropical rainforest ecosystem: a case study of the Yoruba of Ara, Nigeria / D. Michael Warren and Jennifer Pinkston – Managing for human and ecological context in the Maine soft-shell clam industry / Susan S. Hanna – Resilient resource management in Mexico's forest ecosystems: the contribution of property rights / Janis B. Alcorn and Victor M. Toledo – The resilience of pastoral herding in Sahelian Africa / Maryam Niamir-Fuller – Reviving the social system-ecosystem links in the Himalayas / Narpat S. Jodha – Crossing the threshold of ecosystem resilience: the commercial extinction of northern cod / A. Christopher Finlayson and Bonnie J. McCay – Science, sustainability, and resource management / C.S. Holling, Fikret Berkes, and Carl Folke – Integrated management of a temperate montane forest ecosystem through wholistic forestry: a British Columbia example / Evelyn Pinkerton – Managing chaotic fisheries / James A. Acheson, James A. Wilson, and Robert S. Steneck – Ecological practices and social mechanisms for building resilience and sustainability / Carl Folke, Fikret Berkes, and Johan Colding.</t>
  </si>
  <si>
    <t>ipbes-global_chapter2.1_drivers; ipbes-global_chapter2.2_nature; ipbes-global_chapter2.3_ncp; ipbes-global_chapter5</t>
  </si>
  <si>
    <t>Q8AFCBFX</t>
  </si>
  <si>
    <t>Berlanga, Héctor Robles</t>
  </si>
  <si>
    <t>La pequeña agricultura campesina y familiar: construyendo una propuesta desde la sociedad</t>
  </si>
  <si>
    <t>EntreDiversidades</t>
  </si>
  <si>
    <t>10.31644/ED.7.2016.a02</t>
  </si>
  <si>
    <t>http://entrediversidades.unach.mx/index.php/entrediversidades/article/view/32</t>
  </si>
  <si>
    <t>El texto aborda la importancia de los pequeños productores y tiene como propósito contribuir a que las y los campesinos sean revalorizados por la sociedad y fortalecidos por las políticas públicas, reconociéndoles el papel central que juegan en la economía, la producción de alimentos saludables y la conservación del medio ambiente en el país.A lo largo del escrito se explican los motivos para poner en el centro de atención a la agricultura de pequeña escala: 1) la importancia que tienen estos productores para el país; 2) los signos de agotamiento que presenta el campo mexicano, reflejados en un estancamiento de la productividad, competitividad y rentabilidad; 3) la ineficiencia en el gasto publico dirigido al sector rural, y 4) los programas en favor de la agricultura a pequeña escala se han implementado en varios países de América Latina y el mundo.Finalmente, se incluyen líneas generales para el diseño de un programa dirigido a los pequeños productores en localidades de alta y muy alta marginación para que aumenten sus ingresos obtenidos a través de sus actividades económicas agropecuarias.</t>
  </si>
  <si>
    <t>2017-12</t>
  </si>
  <si>
    <t>7 SE - Artículos</t>
  </si>
  <si>
    <t>SIN6SVQ8</t>
  </si>
  <si>
    <t>Berkes, Fikret; Hughes, T. P.; Steneck, R. S.; Wilson, J. A.; Bellwood, D. R.; Crona, B.; Folke, C.; Gunderson, L. H.; Leslie, H. M.; Norberg, J.; Nyström, M.; Olsson, P.; Österblom, H.; Scheffer, M.; Worm, B.</t>
  </si>
  <si>
    <t>Globalization, roving bandits, and marine resources</t>
  </si>
  <si>
    <t>10.1126/science.1122804</t>
  </si>
  <si>
    <t>Marine resource exploitation can deplete stocks faster than regulatory agencies can respond. Institutions with broad authority and a global perspective are needed to create a system with incentives for conservation.</t>
  </si>
  <si>
    <t>1557-1558</t>
  </si>
  <si>
    <t>5767</t>
  </si>
  <si>
    <t>LJVBGKQZ</t>
  </si>
  <si>
    <t>Yiridoe, Emmanuel K.; Bonti-Ankomah, Samuel; Martin, Ralph C.</t>
  </si>
  <si>
    <t>Comparison of consumer perceptions and preference toward organic versus conventionally produced foods: A review and update of the literature</t>
  </si>
  <si>
    <t>Renewable Agriculture and Food Systems</t>
  </si>
  <si>
    <t>10.1079/RAF2005113</t>
  </si>
  <si>
    <t>2022-09-23 09:12:52</t>
  </si>
  <si>
    <t>2022-09-23T09:12:52Z</t>
  </si>
  <si>
    <t>193-205</t>
  </si>
  <si>
    <t>4QNKV3BW</t>
  </si>
  <si>
    <t>Wunder, Sven; Albán, Montserrat</t>
  </si>
  <si>
    <t>Decentralized payments for environmental services: The cases of Pimampiro and PROFAFOR in Ecuador</t>
  </si>
  <si>
    <t>10.1016/j.ecolecon.2007.11.004</t>
  </si>
  <si>
    <t>2022-09-23 09:12:51</t>
  </si>
  <si>
    <t>2022-09-23T09:12:51Z</t>
  </si>
  <si>
    <t>685-698</t>
  </si>
  <si>
    <t>WBCWNLYM</t>
  </si>
  <si>
    <t>Zhang, Xiaobo; Fan, Shenggen</t>
  </si>
  <si>
    <t>How Productive Is Infrastructure? A New Approach and Evidence from Rural India</t>
  </si>
  <si>
    <t>00029092, 14678276</t>
  </si>
  <si>
    <t>10.1111/j.0092-5853.2004.00594.x</t>
  </si>
  <si>
    <t>There have been competing arguments about the effect of public infrastructure on productivity. Level-based and debate-based regressions often lead to different estimates. To help reconcile this difference, this article applies the GMM method to first test for causality to check for length of lagged relationships and the existence of reverse causality before specifying a final model and deciding the estimation procedure. This approach is illustrated using a panel data set for India. The results show that infrastructure development in India is productive, providing supporting evidence to reverse the trend of declining investment in rural infrastructure.</t>
  </si>
  <si>
    <t>2022-09-23 09:12:08</t>
  </si>
  <si>
    <t>2022-09-23T09:12:08Z</t>
  </si>
  <si>
    <t>492-501</t>
  </si>
  <si>
    <t>WN5ADEED</t>
  </si>
  <si>
    <t>Zhu, Tong; Melamed, Megan L.; Parrish, David; Gauss, Michael; Laura, Gallardo Klenner; Lawrence, Mark; Konare, Abdourahamane; Liousse, Cathy</t>
  </si>
  <si>
    <t>WMO/IGAC impacts of megacities on air pollution and climate</t>
  </si>
  <si>
    <t>Urban Climate</t>
  </si>
  <si>
    <t>10.1016/j.uclim.2012.10.004</t>
  </si>
  <si>
    <t>2022-09-23 09:10:42</t>
  </si>
  <si>
    <t>2022-09-23T09:10:42Z</t>
  </si>
  <si>
    <t>67-68</t>
  </si>
  <si>
    <t>I8HIPISR</t>
  </si>
  <si>
    <t>Young, Malea Hoepf; Mogelgaard, Kathleen; Hardee, Karen</t>
  </si>
  <si>
    <t>Projecting Population, Projecting Climate Change Population in IPCC Scenarios</t>
  </si>
  <si>
    <t>2022-09-23 09:08:12</t>
  </si>
  <si>
    <t>2022-09-23T09:08:12Z</t>
  </si>
  <si>
    <t>UPF2VPKV</t>
  </si>
  <si>
    <t>Yemefack, Martin; Rossiter, David G.; Njomgang, Rosaline</t>
  </si>
  <si>
    <t>Multi-scale characterization of soil variability within an agricultural landscape mosaic system in southern Cameroon</t>
  </si>
  <si>
    <t>Geoderma</t>
  </si>
  <si>
    <t>10.1016/j.geoderma.2004.07.007</t>
  </si>
  <si>
    <t>2022-09-23 09:07:15</t>
  </si>
  <si>
    <t>2022-09-23T09:07:15Z</t>
  </si>
  <si>
    <t>117-143</t>
  </si>
  <si>
    <t>1-2</t>
  </si>
  <si>
    <t>U4LCHHKX</t>
  </si>
  <si>
    <t>Global tracking framework 2017: Progress towards sustainable energy</t>
  </si>
  <si>
    <t>International Bank for Reconstruction and Development, The World Bank and the International Energy Agency, Washington DC</t>
  </si>
  <si>
    <t>18766102</t>
  </si>
  <si>
    <t>http://www.se4all.org/sites/default/files/GTF Executive Summary 2017.pdf</t>
  </si>
  <si>
    <t>2022-09-23 09:05:34</t>
  </si>
  <si>
    <t>2022-09-23T09:05:34Z</t>
  </si>
  <si>
    <t>1-40</t>
  </si>
  <si>
    <t>YJ5BS3TM</t>
  </si>
  <si>
    <t>Xepapadeas, A. P.</t>
  </si>
  <si>
    <t>Environmental policy under imperfect information: Incentives and moral hazard</t>
  </si>
  <si>
    <t>10.1016/0095-0696(91)90045-K</t>
  </si>
  <si>
    <t>When net emissions of individual polluters cannot be efficiently monitored, then emissions charges, controls on emissions levels, or subsidies for emissions reduction are not effective as environmental policy instruments. This paper proposes instruments that can be applied in such limited information situations. These instruments take the form of contracts between a pollution control agency and individual polluters. The contracts include a combination of fines and subsidies that induces dischargers to follow optimal environmental policies in the absence of individual monitoring. © 1991.</t>
  </si>
  <si>
    <t>2022-09-23 09:04:47</t>
  </si>
  <si>
    <t>2022-09-23T09:04:47Z</t>
  </si>
  <si>
    <t>113-126</t>
  </si>
  <si>
    <t>74L2FK5X</t>
  </si>
  <si>
    <t>Zhou, Shijie; Smith, Anthony D. M.; Punt, André E.; Richardson, Anthony J.; Gibbs, Mark; Fulton, Elizabeth A.; Pascoe, Sean; Bulman, Catherine; Bayliss, Peter; Sainsbury, Keith</t>
  </si>
  <si>
    <t>Ecosystem-based fisheries management requires a change to the selective fishing philosophy</t>
  </si>
  <si>
    <t>2022-09-23 09:04:33</t>
  </si>
  <si>
    <t>2022-09-23T09:04:33Z</t>
  </si>
  <si>
    <t>200912771</t>
  </si>
  <si>
    <t>DUVAAHXJ</t>
  </si>
  <si>
    <t>Young, Emily</t>
  </si>
  <si>
    <t>Balancing conservation with development in small-scale fisheries: is ecotourism an empty promise?</t>
  </si>
  <si>
    <t>10.1023/A:1018744011286</t>
  </si>
  <si>
    <t>2022-09-23 09:03:09</t>
  </si>
  <si>
    <t>2022-09-23T09:03:09Z</t>
  </si>
  <si>
    <t>581-620</t>
  </si>
  <si>
    <t>CTWZFPB6</t>
  </si>
  <si>
    <t>Youn, So-Jung; Taylor, William W.; Lynch, Abigail J.; Cowx, Ian G.; Beard, T. Douglas; Bartley, Devin; Wu, Felicia</t>
  </si>
  <si>
    <t>Inland capture fishery contributions to global food security and threats to their future</t>
  </si>
  <si>
    <t>10.1016/j.gfs.2014.09.005</t>
  </si>
  <si>
    <t>2022-09-23 09:01:00</t>
  </si>
  <si>
    <t>2022-09-23T09:01:00Z</t>
  </si>
  <si>
    <t>142-148</t>
  </si>
  <si>
    <t>3-4</t>
  </si>
  <si>
    <t>G3GVJPCI</t>
  </si>
  <si>
    <t>State intervention and abuse of the commons: Fisheries development in Baja California Sur, Mexico</t>
  </si>
  <si>
    <t>10.1111/0004-5608.00244</t>
  </si>
  <si>
    <t>2022-09-23 09:00:00</t>
  </si>
  <si>
    <t>2022-09-23T09:00:00Z</t>
  </si>
  <si>
    <t>283-306</t>
  </si>
  <si>
    <t>8RNN9TYH</t>
  </si>
  <si>
    <t>Yohe, Gary W.</t>
  </si>
  <si>
    <t>Towards a general comparison of price controls and quantity controls under uncertainty</t>
  </si>
  <si>
    <t>The Review of Economic Studies</t>
  </si>
  <si>
    <t>10.2307/2297337</t>
  </si>
  <si>
    <t>1978</t>
  </si>
  <si>
    <t>2022-09-23 08:59:40</t>
  </si>
  <si>
    <t>2022-09-23T08:59:40Z</t>
  </si>
  <si>
    <t>229-238</t>
  </si>
  <si>
    <t>FT29VLZK</t>
  </si>
  <si>
    <t>Worm, Boris; Hilborn, Ray; Baum, Julia K.; Branch, Trevor A.; Collie, Jeremy S.; Costello, Christopher; Fogarty, Michael J.; Fulton, Elizabeth A.; Hutchings, Jeffrey A.; Jennings, Simon; Jensen, Olaf P.; Lotze, Heike K.; Mace, Pamela M.; McClanahan, Tim R.; Minto, Cóilín; Palumbi, Stephen R.; Parma, Ana M.; Ricard, Daniel; Rosenberg, Andrew A.; Watson, Reg; Zeller, Dirk</t>
  </si>
  <si>
    <t>http://www.ncbi.nlm.nih.gov/pubmed/19644114 http://www.sciencemag.org/cgi/doi/10.1126/science.1173146</t>
  </si>
  <si>
    <t>2009-07</t>
  </si>
  <si>
    <t>578-585</t>
  </si>
  <si>
    <t>5940</t>
  </si>
  <si>
    <t>RS5EK4R8</t>
  </si>
  <si>
    <t>Zomer, Robert J.; Neufeldt, Henry; Xu, Jianchu; Ahrends, Antje; Bossio, Deborah; Trabucco, Antonio; van Noordwijk, Meine; Wang, Mingcheng</t>
  </si>
  <si>
    <t>Global Tree Cover and Biomass Carbon on Agricultural Land: The contribution of agroforestry to global and national carbon budgets</t>
  </si>
  <si>
    <t>10.1038/srep29987</t>
  </si>
  <si>
    <t>http://dx.doi.org/10.1038/srep29987 http://www.nature.com/articles/srep29987</t>
  </si>
  <si>
    <t>Agroforestry systems and tree cover on agricultural land make an important contribution to climate change mitigation, but are not systematically accounted for in either global carbon budgets or national carbon accounting. This paper assesses the role of trees on agricultural land and their significance for carbon sequestration at a global level, along with recent change trends. Remote sensing data show that in 2010, 43% of all agricultural land globally had at least 10% tree cover and that this has increased by 2% over the previous ten years. Combining geographically and bioclimatically stratified Intergovernmental Panel on Climate Change (IPCC) Tier 1 default estimates of carbon storage with this tree cover analysis, we estimated 45.3 PgC on agricultural land globally, with trees contributing \textgreater75%. Between 2000 and 2010 tree cover increased by 3.7%, resulting in an increase of \textgreater2 PgC (or 4.6%) of biomass carbon. On average, globally, biomass carbon increased from 20.4 to 21.4 tC ha −1 . Regional and country-level variation in stocks and trends were mapped and tabulated globally, and for all countries. Brazil, Indonesia, China and India had the largest increases in biomass carbon stored on agricultural land, while Argentina, Myanmar, and Sierra Leone had the largest decreases. Global carbon, water and nutrient cycles have all been profoundly impacted by the historical and ongoing increase of agricultural production worldwide 1–4 . Both land use change to agriculture and agricultural production have contributed, and continue to contribute, significantly to the projected impacts of global climatic warming 5 , with notable implications for food security 6–8 . Within this context, tree cover on agricultural land has the poten-tial to make an important contribution to climate change mitigation 9–12 . The global role of tree-based carbon sequestration on agricultural land is thus far poorly understood and possibly has been significantly underesti-mated. Agricultural production and ongoing land use change contribute significantly to greenhouse gas (GHG) emissions, accounting for 24% globally 13 . Almost 50% of all potentially vegetated land surface globally has been converted to croplands, pastures and rangelands 1,3,4 , and these continue to expand to feed the planet's growing population 8 . Today most of this expansion is taking place in the tropics where an estimated 80% of this expan-sion is replacing forests 14 . Within this context, there is an increasing global recognition of the need for incen-tives for agricultural practices that reduce carbon emissions from both crop and livestock production 12 . Recent negotiations within UN Framework Convention on Climate Change (UNFCCC) have considered a broader land use agreement, combining the proposed mechanisms for 'Reducing Emissions from Deforestation and Forest Degradation in Developing Countries' (REDD+) with incentives to reduce GHG emissions from agriculture 15 . Agroforestry -a diversified set of agricultural production systems that integrate trees in the agricultural land-scape -is often discussed in this regard as a strategy that can be used both for adaptation and mitigation. It is extensively practiced throughout tropical and developing countries, with an estimated 1.2 billion people around the world dependent upon agroforestry farming systems 16</t>
  </si>
  <si>
    <t>2016-09</t>
  </si>
  <si>
    <t>29987</t>
  </si>
  <si>
    <t>8WXSQLBJ</t>
  </si>
  <si>
    <t>WRI; IUCN; UNEP</t>
  </si>
  <si>
    <t>Global biodiversity strategy: Guidelines for action to save, study, and use earth's biotic wealth sustainably and equitably</t>
  </si>
  <si>
    <t>0-915825-74-0</t>
  </si>
  <si>
    <t>https://portals.iucn.org/library/node/5998</t>
  </si>
  <si>
    <t>World Resources Institute</t>
  </si>
  <si>
    <t>ipbes-global_chapter2.1_drivers; ipbes-global_chapter4; ipbes-global_glossary</t>
  </si>
  <si>
    <t>K4YRF9BX</t>
  </si>
  <si>
    <t>WWF</t>
  </si>
  <si>
    <t>Living Planet Report 2016. Risk and resilience in a new era</t>
  </si>
  <si>
    <t>978-3-946211-06-8</t>
  </si>
  <si>
    <t>http://awsassets.panda.org/downloads/lpr_living_planet_report_2016.pdf%0Ahttp://www.footprintnetwork.org/documents/2016_Living_Planet_Report_Lo.pdf</t>
  </si>
  <si>
    <t>Gland, Switzerland</t>
  </si>
  <si>
    <t>ipbes-global_chapter2.1_drivers; ipbes-global_chapter2.2_nature; ipbes-global_chapter4</t>
  </si>
  <si>
    <t>TBM5A3UP</t>
  </si>
  <si>
    <t>World Economic Forum</t>
  </si>
  <si>
    <t>The Global Risks Report 2018, 13th Edition</t>
  </si>
  <si>
    <t>80</t>
  </si>
  <si>
    <t>ET267APZ</t>
  </si>
  <si>
    <t>WWAP</t>
  </si>
  <si>
    <t>The United Nations World Water Development Report 4: Managing Water under Uncertainty and Risk</t>
  </si>
  <si>
    <t>https://unesdoc.unesco.org/ark:/48223/pf0000215644</t>
  </si>
  <si>
    <t>8SXT5MBU</t>
  </si>
  <si>
    <t>Wright, Glen; Ardron, Jeff; Gjerde, Kristina; Currie, Duncan; Rochette, Julien</t>
  </si>
  <si>
    <t>Advancing marine biodiversity protection through regional fisheries management: A review of bottom fisheries closures in areas beyond national jurisdiction</t>
  </si>
  <si>
    <t>10.1016/j.marpol.2015.06.030</t>
  </si>
  <si>
    <t>Fishing is a significant threat to marine biodiversity in areas beyond national jurisdiction (ABNJ). Bottom fishing in particular can impact deep-sea ecosystems, and the UN General Assembly has called on regional fisheries management organisations and arrangements (RFMO/As) to take actions to regulate bottom fisheries, including to close areas to bottom fishing activities where there is likely to be significant adverse impacts to vulnerable marine ecosystems (VMEs). This paper provides an update on the current status of closures, suggesting that RFMO/A biodiversity conservation efforts continue to advance slowly. RFMO/As have been slow to implement additional closures and to act in a precautionary manner based on available scientific evidence. Existing powers are not being fully utilised and best practice is not always followed. Closures have often been temporary or representative, or have not in fact restricted ongoing fishing activity. Some positive outcomes provide examples of good practice, though RFMO/As will need to fully utilise their powers and follow best practice before authorising bottom fishing to proceed in ABNJ.</t>
  </si>
  <si>
    <t>134-148</t>
  </si>
  <si>
    <t>TRUJ2YBC</t>
  </si>
  <si>
    <t>CO2 emissions (metric tons per capita)</t>
  </si>
  <si>
    <t>https://data.worldbank.org/indicator/EN.ATM.CO2E.PC</t>
  </si>
  <si>
    <t>UWQE4SZF</t>
  </si>
  <si>
    <t>Agriculture, value added (% of GDP)</t>
  </si>
  <si>
    <t>https://data.worldbank.org/indicator/NV.AGR.TOTL.ZS</t>
  </si>
  <si>
    <t>EHDAA44G</t>
  </si>
  <si>
    <t>The World Bank Environmental and Social Framework</t>
  </si>
  <si>
    <t>https://www.worldbank.org/en/projects-operations/environmental-and-social-framework</t>
  </si>
  <si>
    <t>2KIJG94F</t>
  </si>
  <si>
    <t>Employment in agriculture (% of total employment) (modeled ILO estimate)</t>
  </si>
  <si>
    <t>https://datacatalog.worldbank.org/employment-agriculture-total-employment-modeled-ilo-estimate-0</t>
  </si>
  <si>
    <t>DT2KGM6S</t>
  </si>
  <si>
    <t>World Bank Open Data</t>
  </si>
  <si>
    <t>https://data.worldbank.org/</t>
  </si>
  <si>
    <t>STQXZGDL</t>
  </si>
  <si>
    <t>The Africa Competitiveness Report 2015</t>
  </si>
  <si>
    <t>http://reports.weforum.org/africa-competitiveness-report-2015/?doing_wp_cron=1574353099.4172480106353759765625</t>
  </si>
  <si>
    <t>UVK48KN5</t>
  </si>
  <si>
    <t>GDP per capita (current US$)</t>
  </si>
  <si>
    <t>https://data.worldbank.org/indicator/ny.gdp.pcap.cd</t>
  </si>
  <si>
    <t>2ELY64TL</t>
  </si>
  <si>
    <t>Employment in services (% of total employment) (modeled ILO estimate)</t>
  </si>
  <si>
    <t>https://data.worldbank.org/indicator/SL.SRV.EMPL.ZS</t>
  </si>
  <si>
    <t>U2APWS65</t>
  </si>
  <si>
    <t>Mortality rate, under-5 (per 1,000 live births)</t>
  </si>
  <si>
    <t>https://data.worldbank.org/indicator/SH.DYN.MORT</t>
  </si>
  <si>
    <t>82K87783</t>
  </si>
  <si>
    <t>The Global Risks Report 2017 12th Edition</t>
  </si>
  <si>
    <t>080116</t>
  </si>
  <si>
    <t>Now in its 11th edition, The Global Risks Report 2016 draws attention to ways that global risks could evolve and interact in the next decade. The year 2016 marks a forceful departure from past findings, as the risks about which the Report has been warning over the past decade are starting to manifest themselves in new, sometimes unexpected ways and harm people, institutions and economies. Warming climate is likely to raise this year's temperature to 1° Celsius above the pre-industrial era, 60 million people, equivalent to the world's 24th largest country and largest number in recent history, are forcibly displaced, and crimes in cyberspace cost the global economy an estimated US$445 billion,1 higher than many economies' national incomes. In this context, the Report calls for action to build resilience – the “resilience imperative” – and identifies practical examples of how it could be done.</t>
  </si>
  <si>
    <t>735BUI36</t>
  </si>
  <si>
    <t>Worldfish Center</t>
  </si>
  <si>
    <t>WorldFish Report 2009/10</t>
  </si>
  <si>
    <t>1-10</t>
  </si>
  <si>
    <t>K6Z4YMV7</t>
  </si>
  <si>
    <t>Thirsting for Justice. Transparency and Poor People's Struggle for Clean Water in Indonesia, Mongolia, and Thailand</t>
  </si>
  <si>
    <t>DL8UXIB7</t>
  </si>
  <si>
    <t>Žganec, Krešimir</t>
  </si>
  <si>
    <t>The effects of water diversion and climate change on hydrological alteration and temperature regime of karst rivers in central Croatia</t>
  </si>
  <si>
    <t>Environmental Monitoring and Assessment</t>
  </si>
  <si>
    <t>01676369</t>
  </si>
  <si>
    <t>10.1007/s10661-011-2375-1</t>
  </si>
  <si>
    <t>Karst rivers in Croatia have been heavily dammed in the past. However, long-term impacts of dams, water diversion and climate change on karst rivers in Croatia have rarely been examined. This study analyzes long-term trends of hydrological and temperature conditions, prior to closure of new large dam, in five connected karst rivers of central Croatia: the sinking rivers Gornja Dobra and Zagorska Mrežnica that have underground connections with the Gojačka Dobra, Tounjčica and Mrežnica Rivers. It was established that hydrological conditions of these rivers have been greatly changed after the Gojak HPP, located at spring of Gojačka Dobra, became operational in 1959. Water diversion from the reservoirs on Zagorska Mrežnica and Gornja Dobra to the Gojak HPP has increased mean annual discharge (52-106%), causing great subdaily fluctuations and overall modification of natural flow regime along the whole course of Gojačka Dobra. By cutting the connection between Zagorska Mrežnica and Tounjčica, water diversion has caused a reduction of mean annual discharges of the Tounjčica (-60%) and Mrežnica (-29%) Rivers. Analyses of long-term trends in water temperature over the last 50 years have revealed significant positive trends in average annual temperature at three gauging stations on three rivers with increase of 0.17, 0.44 and 0.48°C per decade and climate change as the primary cause. The highest significant increasing trend was established at the lower course of Mrežnica where discharge was reduced by water diversion. Mitigation measures for the improvement of hydrological conditions of affected rivers and underground systems are proposed and discussed.</t>
  </si>
  <si>
    <t>MNIKCWZW</t>
  </si>
  <si>
    <t>Zambrano, P.; Fonseca, L. A.; Cardona, I.; Magalhaes, E.</t>
  </si>
  <si>
    <t>The socio-economic impact of transgenic cotton in Colombia</t>
  </si>
  <si>
    <t>Biotechnology and agricultural development: transgenic cotton, rural institutions and resource-poor farmers</t>
  </si>
  <si>
    <t>168-199</t>
  </si>
  <si>
    <t>Tripp, Rob</t>
  </si>
  <si>
    <t>DGWHMV56</t>
  </si>
  <si>
    <t>Zaller, John</t>
  </si>
  <si>
    <t>The nature and origins of mass opinion</t>
  </si>
  <si>
    <t>Cambridge university press</t>
  </si>
  <si>
    <t>7A2LI9CI</t>
  </si>
  <si>
    <t>Youn, Yeo Chang</t>
  </si>
  <si>
    <t>Use of forest resources, traditional forest-related knowledge and livelihood of forest dependent communities: Cases in South Korea</t>
  </si>
  <si>
    <t>Forest Ecology and Management</t>
  </si>
  <si>
    <t>03781127</t>
  </si>
  <si>
    <t>10.1016/j.foreco.2009.01.054</t>
  </si>
  <si>
    <t>The patterns of forest resource use in South Korea have been overviewed along with the forest resource availability to the forest users and in relation to the socio-economic conditions of local people. In South Korea, forest income arises more from non-timber forest products (NTFPs) and forest ecosystems services than from timber. The relationship between availability of forest resources and income of residents in mountainous villages was addressed with statistical analysis of results of household surveys conducted in Gangwon-do Province. The result indicates that the mere existence of forest resources and related cultural heritages is not enough for local communities to obtain income from forest land. Proper arrangements for local communities in accessing the forest resources and knowledge of making use of the resources is required to make the relationship constructive for people's livelihood. Joint management agreement between forest communities and the forest owner serves both parties for sustainable forest management in Korea as seen in the case of maple sap collection within Seoul National University Forests. The traditional knowledge held by local residents is of value for income generation for forest dependent communities and is considered as an integral part of sustainable forest management as seen in the case of native honey bee keeping near protected forest areas managed by the national forest authority. However, traditional cultural values may be positive or negative for ecologically sound forest management as seen in the pest management policy of the Korean government formulated based on cultural value rather than considerations of ecosystem health. ?? 2009 Elsevier B.V. All rights reserved.</t>
  </si>
  <si>
    <t>CGJLS2F9</t>
  </si>
  <si>
    <t>Zhang, Quanfa</t>
  </si>
  <si>
    <t>The South-to-North Water Transfer Project of China: Environmental implications and monitoring strategy</t>
  </si>
  <si>
    <t>Journal of the American Water Resources Association</t>
  </si>
  <si>
    <t>1093474X</t>
  </si>
  <si>
    <t>10.1111/j.1752-1688.2009.00357.x</t>
  </si>
  <si>
    <t>In 2002, China launched the South-to-North Water Transfer Project after completing a 50-year feasibility study. By 2050, the three-route (i.e., East, Middle, and West) project will be capable of transferring 44.8 billion m3/year of water from the water rich Yangtze River to the arid north to alleviate water shortage and help secure a balanced social and economic development across the nation. However, diversion of such a large quantity of water could profoundly change the riverine environment of the upper Yellow River and the lower reach of the Han River, a tributary of the Yangtze River and the water supplying area of the project's Middle Route, because of changes in the annual discharge. Secondary salinization seems inevitable in the water receiving areas of the North China Plain, and decrease in the discharge of the Yangtze River will result in seawater intrusion into the Yangtze Delta. This paper describes the project and discusses its environmental implications. Additionally, a long-term monitoring strategy under the umbrella of the Chinese Ecological Research Network is proposed for environmental monitoring.</t>
  </si>
  <si>
    <t>ICGLZMXU</t>
  </si>
  <si>
    <t>Yun, Seong Do; Hutniczak, Barbara; Abbott, Joshua K.; Fenichel, Eli P.</t>
  </si>
  <si>
    <t>Ecosystem-based management and the wealth of ecosystems</t>
  </si>
  <si>
    <t>10.1073/pnas.1617666114</t>
  </si>
  <si>
    <t>We merge inclusive wealth theory with ecosystem-based management (EBM) to address two challenges in the science of sustainable management of ecosystems. First, we generalize natural capital theory to approximate realized shadow prices for multiple interacting natural capital stocks (species) making up an ecosystem. These prices enable ecosystem components to be better included in wealth-based sustainability measures. We show that ecosystems are best envisioned as portfolios of assets, where the portfolio's performance depends on the performance of the underlying assets influenced by their interactions. Second, changes in ecosystem wealth provide an attractive headline index for EBM, regardless of whether ecosystem wealth is ultimately included in a broader wealth index. We apply our approach to the Baltic Sea ecosystem, focusing on the interacting community of three commercially important fish species: cod, herring, and sprat. Our results incorporate supporting services embodied in the shadow price of a species through its trophic interactions. Prey fish have greater shadow prices than expected based on market value, and predatory fish have lower shadow prices than expected based on market value. These results are because correctly measured shadow prices reflect interdependence and limits to substitution. We project that ecosystem wealth in the Baltic Sea fishery ecosystem generally increases conditional on the EBM-inspired multispecies maximum sustainable yield management beginning in 2017, whereas continuing the current single-species management generally results in declining wealth</t>
  </si>
  <si>
    <t>6539-6544</t>
  </si>
  <si>
    <t>AVTJ7D5A</t>
  </si>
  <si>
    <t>Zimmerer, Karl S.; Carney, Judith A.; Vanek, Steven J.</t>
  </si>
  <si>
    <t>Sustainable smallholder intensification in global change? Pivotal spatial interactions, gendered livelihoods, and agrobiodiversity</t>
  </si>
  <si>
    <t>Current Opinion in Environmental Sustainability</t>
  </si>
  <si>
    <t>18773435</t>
  </si>
  <si>
    <t>10.1016/j.cosust.2015.03.004</t>
  </si>
  <si>
    <t>Sustainable intensification (SI) and ecological intensification (EI) are promoted globally to strengthen food security and ensure environmental sustainability. Recent focus on land and agri-food systems of smallholders urges we address SI and EI through rethinking crucial social-ecological processes and spatial patterns. Principal findings underscore: firstly, the dynamics of differentiated, relational spaces of smallholder intensification/disintensification at region and landscape scales that include a polarization trend; secondly, gendered livelihood strategies across spatially differentiated landscapes influenced by smallholder migration and expanded gendering of land and agri-food systems; and finally, complex interactions of agrobiodiversity and agroecosystems mediated by smallholder and gendered knowledge systems across peri-urban to remote rural landscapes. The conclusion discusses policy implications of the spatial, gender, and agrobiodiversity dynamics of smallholder SI/EI.</t>
  </si>
  <si>
    <t>2015-06</t>
  </si>
  <si>
    <t>49-60</t>
  </si>
  <si>
    <t>DPE7GHQ4</t>
  </si>
  <si>
    <t>Zhu, C.; Feng, G.</t>
  </si>
  <si>
    <t>Case studies of policies and management of the Green for Grain programme in China</t>
  </si>
  <si>
    <t>Science Press</t>
  </si>
  <si>
    <t>Beijing</t>
  </si>
  <si>
    <t>QH3BWZ3X</t>
  </si>
  <si>
    <t>Zhao, H. Y.; Zhang, Q.; Guan, D.; Davis, S. J.; Liu, Z.; Huo, H.; Lin, J. T.; Liu, W. D.; He, K. B.</t>
  </si>
  <si>
    <t>Corrigendum to "Assessment of China's virtual air pollution transport embodied in trade by using a consumption-based emission inventory" published in Atmos. Chem. Phys., 15, 5443–5456, 2015</t>
  </si>
  <si>
    <t>Atmospheric Chemistry and Physics</t>
  </si>
  <si>
    <t>1680-7324</t>
  </si>
  <si>
    <t>10.5194/acp-15-6815-2015</t>
  </si>
  <si>
    <t>http://www.atmos-chem-phys.net/15/6815/2015/</t>
  </si>
  <si>
    <t>No abstract available.</t>
  </si>
  <si>
    <t>6815-6815</t>
  </si>
  <si>
    <t>MKPIHR5P</t>
  </si>
  <si>
    <t>Zhang, Qiang; Jiang, Xujia; Tong, Dan; Davis, Steven J.; Zhao, Hongyan; Geng, Guannan; Feng, Tong; Zheng, Bo; Lu, Zifeng; Streets, David G.; Ni, Ruijing; Brauer, Michael; van Donkelaar, Aaron; Martin, Randall V.; Huo, Hong; Liu, Zhu; Pan, Da; Kan, Haidong; Yan, Yingying; Lin, Jintai; He, Kebin; Guan, Dabo</t>
  </si>
  <si>
    <t>Transboundary health impacts of transported global air pollution and international trade</t>
  </si>
  <si>
    <t>10.1038/nature21712</t>
  </si>
  <si>
    <t>2017-03</t>
  </si>
  <si>
    <t>705-709</t>
  </si>
  <si>
    <t>7647</t>
  </si>
  <si>
    <t>FKECYXFW</t>
  </si>
  <si>
    <t>Zimmerman, Barbara</t>
  </si>
  <si>
    <t>Beauty, Power, and Conservation in the Southeast Amazon: How Traditional Social Organization of the Kayapo Leads to Forest Protection</t>
  </si>
  <si>
    <t>Indigenous Peoples and Conservation: From Rights to Resource Management</t>
  </si>
  <si>
    <t>Conservation International</t>
  </si>
  <si>
    <t>Arlington</t>
  </si>
  <si>
    <t>Walker Painemilla, K.; Rylands, A. B.; Woofter, A.; Hughes, C.</t>
  </si>
  <si>
    <t>2648X5FP</t>
  </si>
  <si>
    <t>WU</t>
  </si>
  <si>
    <t>Global Material Flow Database</t>
  </si>
  <si>
    <t>http://www.materialflows.net</t>
  </si>
  <si>
    <t>March</t>
  </si>
  <si>
    <t>GCASAEXG</t>
  </si>
  <si>
    <t>A Guide to World Resources 2000–2001: People and Ecosystems: The Fraying Web of Life</t>
  </si>
  <si>
    <t>UNDP-UNEP-World Bank</t>
  </si>
  <si>
    <t>L5CCYHVU</t>
  </si>
  <si>
    <t>WU; Dittrich</t>
  </si>
  <si>
    <t>Global Material Flows Database</t>
  </si>
  <si>
    <t>http://www.materialflows.net/</t>
  </si>
  <si>
    <t>MK52NW8G</t>
  </si>
  <si>
    <t>X4V7AVDT</t>
  </si>
  <si>
    <t>Potere, David; Schneider, Annemarie</t>
  </si>
  <si>
    <t>A critical look at representations of urban areas in global maps</t>
  </si>
  <si>
    <t>GeoJournal</t>
  </si>
  <si>
    <t>10.1007/s10708-007-9102-z</t>
  </si>
  <si>
    <t>2022-09-23 09:13:25</t>
  </si>
  <si>
    <t>2022-09-23T09:13:25Z</t>
  </si>
  <si>
    <t>55-80</t>
  </si>
  <si>
    <t>3IH7F6JC</t>
  </si>
  <si>
    <t>Platteau, Jean-Philippe</t>
  </si>
  <si>
    <t>Allocating and enforcing property rights in land: informal versus formal mechanisms in Subsaharan Africa</t>
  </si>
  <si>
    <t>Nordic Journal of Political Economy</t>
  </si>
  <si>
    <t>2022-09-23 09:13:19</t>
  </si>
  <si>
    <t>2022-09-23T09:13:19Z</t>
  </si>
  <si>
    <t>55-81</t>
  </si>
  <si>
    <t>26</t>
  </si>
  <si>
    <t>NCA8VJ2J</t>
  </si>
  <si>
    <t>Ostrom, Elinor</t>
  </si>
  <si>
    <t>Crafting institutions for self-governing irrigation systems</t>
  </si>
  <si>
    <t>2022-09-23 09:12:50</t>
  </si>
  <si>
    <t>2022-09-23T09:12:50Z</t>
  </si>
  <si>
    <t>TNAFIPVL</t>
  </si>
  <si>
    <t>Paul, G. L.</t>
  </si>
  <si>
    <t>Dietary protein requirements of physically active individuals</t>
  </si>
  <si>
    <t>Sports Medicine</t>
  </si>
  <si>
    <t>01121642 (ISSN)</t>
  </si>
  <si>
    <t>10.2165/00007256-198908030-00003</t>
  </si>
  <si>
    <t>The dietary protein requirement of physically active individuals has received considerable scrutiny in recent years. Because the current United States Recommended Daily Allowance (USRDA) for protein (0.8 g/kg/day) already contains a safety margin (0.35 g/kg/day) to assure adequate protein intake, no increment in the USRDA was thought necessary to meet the demands of physical activity. Recently, collective evidence from research techniques utilising nitrogen balance, labelled amino acid isotopes, urea production and 3-methylhistidine excretion indicates that exercise (endurance and weightlifting) can significantly alter protein metabolism and that the dietary protein needs of physically active individuals may exceed the current USRDA. During endurance exercise, protein synthesis is depressed and protein degradation increases. Thus, amino acids become available for oxidation in energy-yielding processes. Amino acid catabolism has been estimated to contribute between 5 and 15% of the energy required during endurance exercise. Definitive conclusions regarding the changes that occur in protein synthesis and protein degradation during weightlifting exercise must await further research. The net contribution of amino acids to the energy required during weightlifting exercise is unknown but, due to the anaerobic nature of the event, it is most likely less than during endurance exercise. However, following both endurance and weightlifting exercise, protein synthesis increases. Based on current research, it is not yet possible to make recommendations for the daily protein needs of exercising individuals. It does appear that physically active individuals require more dietary protein per kilogram of bodyweight than sedentary individuals. However, when protein intake is expressed as a percentage of daily energy intake, physically active and sedentary individuals have similar requirements (≃ 12 to 15% of total energy as protein). Therefore, to cover the protein requirements of both physically active individuals and sedentary individuals it is suggested that future protein allowances be based on a percentage of the daily energy requirements. Protein consumption in excess of the current USRDA may minimise changes in body nitrogen stores, particularly during the first few weeks of training. However, further research is needed before a definitive conclusion can be made regarding protein ingestion and athletic performance.</t>
  </si>
  <si>
    <t>2022-09-23 09:12:42</t>
  </si>
  <si>
    <t>2022-09-23T09:12:42Z</t>
  </si>
  <si>
    <t>MLRCETEQ</t>
  </si>
  <si>
    <t>Poe, Gregory L.; Schulze, William D.; Segerson, Kathleen; Suter, Jordan F.; Vossler, Christian A.</t>
  </si>
  <si>
    <t>Exploring the performance of ambient-based policy instruments when nonpoint source polluters can cooperate</t>
  </si>
  <si>
    <t>10.1111/j.0002-9092.2004.00665.x</t>
  </si>
  <si>
    <t>Nonpoint source pollution, particularly from agriculture, is the largest reason that the United States is not meeting the “fishable/ swimmable” objectives of the 1972 CleanWa- ter Act (USEPA). Whereas regulatory and incentive-based approaches to address point source pollution are well established in the the- oretical environmental economics literature and in actual policy initiatives, extending these ideas to nonpoint source pollution is prob- lematic: firm-specific emissions are difficult to measure, the relationship between emissions andambientwater pollution levels is stochastic anddifficult tomodel,andthere are adverse se- lection and moral hazard problems. Neverthe- less, recent efforts to develop Total Maximum Daily Load (TMDL) approaches that cap the combined contributions of point and nonpoint source pollution on a watershed-by-watershed basis underscores the immediate need to ad- dress these theoretical and practical problems. The critical economic policy issue remainshow to create incentives for nonpoint sources to cost effectively meet water quality standards.</t>
  </si>
  <si>
    <t>2022-09-23 09:12:25</t>
  </si>
  <si>
    <t>2022-09-23T09:12:25Z</t>
  </si>
  <si>
    <t>1203-1210</t>
  </si>
  <si>
    <t>86</t>
  </si>
  <si>
    <t>8YBTT7XB</t>
  </si>
  <si>
    <t>Parry, Ian W. H.; Sigman, Hilary; Walls, Margaret; Williams Iii, Roberton C.</t>
  </si>
  <si>
    <t>The incidence of pollution control policies</t>
  </si>
  <si>
    <t>The International Yearbook of Environmental and Resource Economics 2006/2007</t>
  </si>
  <si>
    <t>2022-09-23 09:11:01</t>
  </si>
  <si>
    <t>2022-09-23T09:11:01Z</t>
  </si>
  <si>
    <t>1-42</t>
  </si>
  <si>
    <t>9KX5AW99</t>
  </si>
  <si>
    <t>Pfaff, A. S. P.</t>
  </si>
  <si>
    <t>What drives deforestation in the Brazilian Amazon?: evidence from satellite and socioeconomic data</t>
  </si>
  <si>
    <t>10.1006/jeem.1998.1056</t>
  </si>
  <si>
    <t>26-43</t>
  </si>
  <si>
    <t>JN225G6N</t>
  </si>
  <si>
    <t>Ola-Adams, B. A.</t>
  </si>
  <si>
    <t>Traditional African Knowledge and Strategies for the Conservation of Biodiversity-Prospects and Constraints</t>
  </si>
  <si>
    <t>Proceedings Of The Third UNESCO MAB Regional Seminar On Biodiversity Conservation And Sustainable Development In Anglophone Africa (BRAAF), Cape Coast</t>
  </si>
  <si>
    <t>2022-09-23 09:10:00</t>
  </si>
  <si>
    <t>2022-09-23T09:10:00Z</t>
  </si>
  <si>
    <t>FMJCWAZ3</t>
  </si>
  <si>
    <t>Pengue, Walter A.</t>
  </si>
  <si>
    <t>Transgenic crops in Argentina: the ecological and social debt</t>
  </si>
  <si>
    <t>Bulletin of Science, Technology &amp; Society</t>
  </si>
  <si>
    <t>10.1177/0270467605277290</t>
  </si>
  <si>
    <t>2022-09-23 09:09:48</t>
  </si>
  <si>
    <t>2022-09-23T09:09:48Z</t>
  </si>
  <si>
    <t>314-322</t>
  </si>
  <si>
    <t>UVTSR8AM</t>
  </si>
  <si>
    <t>Pérez-Ramírez, Mónica; Ponce-Díaz, Germán; Lluch-Cota, Salvador</t>
  </si>
  <si>
    <t>The role of MSC certification in the empowerment of fishing cooperatives in Mexico: The case of red rock lobster co-managed fishery</t>
  </si>
  <si>
    <t>Ocean &amp; coastal management</t>
  </si>
  <si>
    <t>10.1016/j.ocecoaman.2012.03.009</t>
  </si>
  <si>
    <t>2022-09-23 09:09:30</t>
  </si>
  <si>
    <t>2022-09-23T09:09:30Z</t>
  </si>
  <si>
    <t>24-29</t>
  </si>
  <si>
    <t>63</t>
  </si>
  <si>
    <t>JALAN8SI</t>
  </si>
  <si>
    <t>Pálsson, Gisli</t>
  </si>
  <si>
    <t>The art of fishing</t>
  </si>
  <si>
    <t>2022-09-23 09:08:59</t>
  </si>
  <si>
    <t>2022-09-23T09:08:59Z</t>
  </si>
  <si>
    <t>1-20</t>
  </si>
  <si>
    <t>7L89P2YB</t>
  </si>
  <si>
    <t>Pfaff, Alexander; Robalino, Juan</t>
  </si>
  <si>
    <t>Spillovers from Conservation Programs</t>
  </si>
  <si>
    <t>10.1146/annurev-resource-100516-053543</t>
  </si>
  <si>
    <t>2022-09-23 09:08:44</t>
  </si>
  <si>
    <t>2022-09-23T09:08:44Z</t>
  </si>
  <si>
    <t>299-315</t>
  </si>
  <si>
    <t>Y9JXIPDH</t>
  </si>
  <si>
    <t>Pfaff, Alexander; Robalino, Juan; Walker, Robert</t>
  </si>
  <si>
    <t>Road Investments, Spatial Spillovers, and Deforestation in the Brazilian Amazon</t>
  </si>
  <si>
    <t>Journal of Regional Science</t>
  </si>
  <si>
    <t>10.1111/j.1467-9787.2007.00502.x</t>
  </si>
  <si>
    <t>2022-09-23 09:08:24</t>
  </si>
  <si>
    <t>2022-09-23T09:08:24Z</t>
  </si>
  <si>
    <t>109-123</t>
  </si>
  <si>
    <t>47</t>
  </si>
  <si>
    <t>HJBBH72J</t>
  </si>
  <si>
    <t>Parry, Ian W. H.</t>
  </si>
  <si>
    <t>Pollution taxes and revenue recycling</t>
  </si>
  <si>
    <t>Journal of Environmental Economics and management</t>
  </si>
  <si>
    <t>10.1006/jeem.1995.1061</t>
  </si>
  <si>
    <t>2022-09-23 09:07:54</t>
  </si>
  <si>
    <t>2022-09-23T09:07:54Z</t>
  </si>
  <si>
    <t>S64-S77</t>
  </si>
  <si>
    <t>ZX8MISJ9</t>
  </si>
  <si>
    <t>Pfaff, Alexander; Robalino, Juan; Sanchez-Azofeifa, G. Arturo; Andam, Kwaw S.; Ferraro, Paul J.</t>
  </si>
  <si>
    <t>Park location affects forest protection: Land characteristics cause differences in park impacts across Costa Rica</t>
  </si>
  <si>
    <t>The BE Journal of Economic Analysis &amp; Policy</t>
  </si>
  <si>
    <t>2022-09-23 09:07:40</t>
  </si>
  <si>
    <t>2022-09-23T09:07:40Z</t>
  </si>
  <si>
    <t>TLXL3G2R</t>
  </si>
  <si>
    <t>Okali, C.; Holvoet, K.</t>
  </si>
  <si>
    <t>Negotiating changes within fisheries development</t>
  </si>
  <si>
    <t>Sustainable Fisheries Livelihoods Programme</t>
  </si>
  <si>
    <t>2022-09-23 09:07:23</t>
  </si>
  <si>
    <t>2022-09-23T09:07:23Z</t>
  </si>
  <si>
    <t>EPTHMESP</t>
  </si>
  <si>
    <t>Plumwood, Val</t>
  </si>
  <si>
    <t>Nature, self, and gender: Feminism, environmental philosophy, and the critique of rationalism</t>
  </si>
  <si>
    <t>Hypatia</t>
  </si>
  <si>
    <t>10.1111/j.1527-2001.1991.tb00206.x</t>
  </si>
  <si>
    <t>2022-09-23 09:07:17</t>
  </si>
  <si>
    <t>2022-09-23T09:07:17Z</t>
  </si>
  <si>
    <t>3-27</t>
  </si>
  <si>
    <t>XKGU2JYG</t>
  </si>
  <si>
    <t>Poterba, James M.</t>
  </si>
  <si>
    <t>Is the Gasoline Tax Regressive?</t>
  </si>
  <si>
    <t>Tax Policy and the Economy</t>
  </si>
  <si>
    <t>0892-8649</t>
  </si>
  <si>
    <t>10.1086/tpe.5.20061803</t>
  </si>
  <si>
    <t>Claims of the regressivity of gasoline taxes typically rely on annual surveys of consumer income and expenditures, which show that gasoline expenditures are a larger fraction of income for very low-income households than for middle- or high-income households. This paper argues that annual expenditure provides a more reliable indicator of household well-being than annual income. It uses data from the Consumer Expenditure Survey to reassess the claim that gasoline taxes are regressive by computing the share of total expenditures that high-spending and low-spending households devote to retail gasoline purchases. This alternative approach shows that low-expenditure households devote a smaller share of their budget to gasoline than do their counterparts in the middle of the expenditure distribution. Although households in the top 5% of the total spending distribution spend less on gasoline than those who are less well off, the share of expenditure devoted to gasoline is much more stable across the population than the ratio of gasoline outlays to current income. The gasoline tax thus appears far less regressive than conventional analyses suggest.</t>
  </si>
  <si>
    <t>2022-09-23 09:06:18</t>
  </si>
  <si>
    <t>2022-09-23T09:06:18Z</t>
  </si>
  <si>
    <t>145-164</t>
  </si>
  <si>
    <t>T4MBRX2J</t>
  </si>
  <si>
    <t>Oosterveer, Peter; Adjei, Betty E.; Vellema, Sietze; Slingerland, Maja</t>
  </si>
  <si>
    <t>Global sustainability standards and food security: Exploring unintended effects of voluntary certification in palm oil</t>
  </si>
  <si>
    <t>10.1016/j.gfs.2014.09.006</t>
  </si>
  <si>
    <t>2022-09-23 09:05:33</t>
  </si>
  <si>
    <t>2022-09-23T09:05:33Z</t>
  </si>
  <si>
    <t>220-226</t>
  </si>
  <si>
    <t>2SN3CVDC</t>
  </si>
  <si>
    <t>Porter, M.</t>
  </si>
  <si>
    <t>Gender and fisheries: A global perspective</t>
  </si>
  <si>
    <t>Global Coasts: Gender, Fisheries and Contemporary Issues, International Symposium, University of Tromso, Norway</t>
  </si>
  <si>
    <t>2022-09-23 09:05:25</t>
  </si>
  <si>
    <t>2022-09-23T09:05:25Z</t>
  </si>
  <si>
    <t>69GHWA8H</t>
  </si>
  <si>
    <t>Pauly, Daniel</t>
  </si>
  <si>
    <t>Global fisheries: a brief review</t>
  </si>
  <si>
    <t>Journal of Biological Research-Thessaloniki</t>
  </si>
  <si>
    <t>2022-09-23 09:05:23</t>
  </si>
  <si>
    <t>2022-09-23T09:05:23Z</t>
  </si>
  <si>
    <t>3-9</t>
  </si>
  <si>
    <t>EIDZN362</t>
  </si>
  <si>
    <t>Payne, Rodger A.</t>
  </si>
  <si>
    <t>Freedom and the environment</t>
  </si>
  <si>
    <t>Journal of democracy</t>
  </si>
  <si>
    <t>10.1353/jod.1995.0053</t>
  </si>
  <si>
    <t>2022-09-23 09:05:08</t>
  </si>
  <si>
    <t>2022-09-23T09:05:08Z</t>
  </si>
  <si>
    <t>C5JKEU9E</t>
  </si>
  <si>
    <t>Pavlínek, Petr; Pickles, John</t>
  </si>
  <si>
    <t>Environmental pasts/environmental futures in post-socialist Europe</t>
  </si>
  <si>
    <t>Environmental Politics</t>
  </si>
  <si>
    <t>10.1080/09644010410001685227</t>
  </si>
  <si>
    <t>2022-09-23 09:04:51</t>
  </si>
  <si>
    <t>2022-09-23T09:04:51Z</t>
  </si>
  <si>
    <t>237-265</t>
  </si>
  <si>
    <t>SBK7V9VJ</t>
  </si>
  <si>
    <t>Panayotou, Theodore</t>
  </si>
  <si>
    <t>Economic conditions and prospects of small-scale fishermen in Thailand</t>
  </si>
  <si>
    <t>10.1016/0308-597X(80)90041-X</t>
  </si>
  <si>
    <t>1980</t>
  </si>
  <si>
    <t>2022-09-23 09:04:27</t>
  </si>
  <si>
    <t>2022-09-23T09:04:27Z</t>
  </si>
  <si>
    <t>142-146</t>
  </si>
  <si>
    <t>Q5YV73KM</t>
  </si>
  <si>
    <t>Parajuli, Pramod</t>
  </si>
  <si>
    <t>Ecological ethnicity in the making: Developmentalist hegemonies and emergent identities in India</t>
  </si>
  <si>
    <t>Identities Global Studies in Culture and Power</t>
  </si>
  <si>
    <t>2022-09-23 09:04:23</t>
  </si>
  <si>
    <t>2022-09-23T09:04:23Z</t>
  </si>
  <si>
    <t>14-59</t>
  </si>
  <si>
    <t>H5USNGC7</t>
  </si>
  <si>
    <t>Pellegrini, Lorenzo; Gerlagh, Reyer</t>
  </si>
  <si>
    <t>Corruption, democracy, and environmental policy: an empirical contribution to the debate</t>
  </si>
  <si>
    <t>The Journal of Environment &amp; Development</t>
  </si>
  <si>
    <t>10.1177/1070496506290960</t>
  </si>
  <si>
    <t>2022-09-23 09:04:00</t>
  </si>
  <si>
    <t>2022-09-23T09:04:00Z</t>
  </si>
  <si>
    <t>332-354</t>
  </si>
  <si>
    <t>CB6JHJIT</t>
  </si>
  <si>
    <t>Olson, David M.</t>
  </si>
  <si>
    <t>Compartmentalized competition: the managed transitional election system of Poland</t>
  </si>
  <si>
    <t>The Journal of Politics</t>
  </si>
  <si>
    <t>10.2307/2132273</t>
  </si>
  <si>
    <t>2022-09-23 09:03:47</t>
  </si>
  <si>
    <t>2022-09-23T09:03:47Z</t>
  </si>
  <si>
    <t>415-441</t>
  </si>
  <si>
    <t>55</t>
  </si>
  <si>
    <t>7VRDXBIE</t>
  </si>
  <si>
    <t>Pfaff, Alexander; Barelli, Paulo; Chaudhuri, Shubham</t>
  </si>
  <si>
    <t>Aid, economic growth and environmental sustainability: rich-poor interactions and environmental choices in developing countries</t>
  </si>
  <si>
    <t>International journal of global environmental issues</t>
  </si>
  <si>
    <t>10.1504/IJGENVI.2004.005288</t>
  </si>
  <si>
    <t>2022-09-23 09:02:57</t>
  </si>
  <si>
    <t>2022-09-23T09:02:57Z</t>
  </si>
  <si>
    <t>139-159</t>
  </si>
  <si>
    <t>1-3</t>
  </si>
  <si>
    <t>Y4BWT6KU</t>
  </si>
  <si>
    <t>Pfaff, Alexander; Chaudhuri, Shubham; Nye, Howard L. M.</t>
  </si>
  <si>
    <t>Endowments, preferences, technologies and abatement: growth-environment microfoundations</t>
  </si>
  <si>
    <t>International Journal of Global Environmental Issues</t>
  </si>
  <si>
    <t>10.1504/IJGENVI.2004.006051</t>
  </si>
  <si>
    <t>2022-09-23 09:01:35</t>
  </si>
  <si>
    <t>2022-09-23T09:01:35Z</t>
  </si>
  <si>
    <t>209-228</t>
  </si>
  <si>
    <t>U25CGQB3</t>
  </si>
  <si>
    <t>Polasky, Stephen; Bryant, Benjamin; Hawthorne, Peter; Johnson, Justin; Keeler, Bonnie; Pennington, Derric</t>
  </si>
  <si>
    <t>Inclusive wealth as a metric of sustainable development</t>
  </si>
  <si>
    <t>10.1146/annurev-environ-101813-013253</t>
  </si>
  <si>
    <t>2022-09-23 09:01:04</t>
  </si>
  <si>
    <t>2022-09-23T09:01:04Z</t>
  </si>
  <si>
    <t>445-466</t>
  </si>
  <si>
    <t>UZMKV7UW</t>
  </si>
  <si>
    <t>Small-scale fisheries in the tropics: marginality, marginalization, and some implications for fisheries management</t>
  </si>
  <si>
    <t>Global trends: fisheries management</t>
  </si>
  <si>
    <t>2022-09-23 09:00:04</t>
  </si>
  <si>
    <t>2022-09-23T09:00:04Z</t>
  </si>
  <si>
    <t>40-49</t>
  </si>
  <si>
    <t>TIKN7EIB</t>
  </si>
  <si>
    <t>Pascual, Unai; Palomo, Ignacio; Adams, William M; Chan, Kai M A; Daw, Tim M; Garmendia, Eneko; Gómez-Baggethun, Erik; de Groot, Rudolf S; Mace, Georgina M; Martín-López, Berta; Phelps, Jacob</t>
  </si>
  <si>
    <t>Off-stage ecosystem service burdens: A blind spot for global sustainability</t>
  </si>
  <si>
    <t>1748-9326</t>
  </si>
  <si>
    <t>10.1088/1748-9326/aa7392</t>
  </si>
  <si>
    <t>https://iopscience.iop.org/article/10.1088/1748-9326/aa7392</t>
  </si>
  <si>
    <t>2017-07-01</t>
  </si>
  <si>
    <t>2022-09-23 06:35:40</t>
  </si>
  <si>
    <t>2022-09-23T06:35:40Z</t>
  </si>
  <si>
    <t>2022-09-22 07:27:46</t>
  </si>
  <si>
    <t>075001</t>
  </si>
  <si>
    <t>Environ. Res. Lett.</t>
  </si>
  <si>
    <t>Off-stage ecosystem service burdens</t>
  </si>
  <si>
    <t>ipbes-global_chapter2.1_drivers; ipbes-global_chapter4; ipbes-global_chapter5; ipbes-global_chapter6</t>
  </si>
  <si>
    <t>8JT75H7N</t>
  </si>
  <si>
    <t>Pascual, Unai; Balvanera, Patricia; Díaz, Sandra; Pataki, György; Roth, Eva; Stenseke, Marie; Watson, Robert T; Başak Dessane, Esra; Islar, Mine; Kelemen, Eszter; Maris, Virginie; Quaas, Martin; Subramanian, Suneetha M; Wittmer, Heidi; Adlan, Asia; Ahn, SoEun; Al-Hafedh, Yousef S; Amankwah, Edward; Asah, Stanley T; Berry, Pam; Bilgin, Adem; Breslow, Sara J; Bullock, Craig; Cáceres, Daniel; Daly-Hassen, Hamed; Figueroa, Eugenio; Golden, Christopher D; Gómez-Baggethun, Erik; González-Jiménez, David; Houdet, Joël; Keune, Hans; Kumar, Ritesh; Ma, Keping; May, Peter H; Mead, Aroha; O’Farrell, Patrick; Pandit, Ram; Pengue, Walter; Pichis-Madruga, Ramón; Popa, Florin; Preston, Susan; Pacheco-Balanza, Diego; Saarikoski, Heli; Strassburg, Bernardo B; van den Belt, Marjan; Verma, Madhu; Wickson, Fern; Yagi, Noboyuki</t>
  </si>
  <si>
    <t>Valuing nature’s contributions to people: the IPBES approach</t>
  </si>
  <si>
    <t>10.1016/j.cosust.2016.12.006</t>
  </si>
  <si>
    <t>https://linkinghub.elsevier.com/retrieve/pii/S1877343517300040</t>
  </si>
  <si>
    <t>Nature is perceived and valued in starkly different and often conflicting ways. This paper presents the rationale for the inclusive valuation of nature's contributions to people (NCP) in decision making, as well as broad methodological steps for doing so. While developed within the context of the Intergovernmental Platform on Biodiversity and Ecosystem Services (IPBES), this approach is more widely applicable to initiatives at the knowledge–policy interface, which require a pluralistic approach to recognizing the diversity of values. We argue that transformative practices aiming at sustainable futures would benefit from embracing such diversity, which require recognizing and addressing power relationships across stakeholder groups that hold different values on human nature-relations and NCP.</t>
  </si>
  <si>
    <t>2022-09-23 06:35:33</t>
  </si>
  <si>
    <t>2022-09-23T06:35:33Z</t>
  </si>
  <si>
    <t>2022-09-22 07:26:52</t>
  </si>
  <si>
    <t>7-16</t>
  </si>
  <si>
    <t>26-27</t>
  </si>
  <si>
    <t>Valuing nature’s contributions to people</t>
  </si>
  <si>
    <t>ipbes-global_chapter1; ipbes-global_chapter2.1_drivers; ipbes-global_chapter2.3_ncp; ipbes-global_chapter3; ipbes-global_chapter5; ipbes-global_chapter6; ipbes-global_glossary</t>
  </si>
  <si>
    <t>JM3QWIZJ</t>
  </si>
  <si>
    <t>Page, Susan E.; Rieley, John O.; Banks, Christopher J.</t>
  </si>
  <si>
    <t>Global Change Biology</t>
  </si>
  <si>
    <t>2022-09-23 06:35:00</t>
  </si>
  <si>
    <t>2022-09-23T06:35:00Z</t>
  </si>
  <si>
    <t>798-818</t>
  </si>
  <si>
    <t>2PQGJJBC</t>
  </si>
  <si>
    <t>Pagdee, Adcharaporn; Kim, Yeon-su; Daugherty, P. J.</t>
  </si>
  <si>
    <t>What Makes Community Forest Management Successful: A Meta-Study From Community Forests Throughout the World</t>
  </si>
  <si>
    <t>Society &amp; Natural Resources</t>
  </si>
  <si>
    <t>0894-1920, 1521-0723</t>
  </si>
  <si>
    <t>10.1080/08941920500323260</t>
  </si>
  <si>
    <t>http://www.tandfonline.com/doi/abs/10.1080/08941920500323260</t>
  </si>
  <si>
    <t>2006-01</t>
  </si>
  <si>
    <t>2022-09-23 06:34:56</t>
  </si>
  <si>
    <t>2022-09-23T06:34:56Z</t>
  </si>
  <si>
    <t>2022-09-22 07:27:40</t>
  </si>
  <si>
    <t>33-52</t>
  </si>
  <si>
    <t>What Makes Community Forest Management Successful</t>
  </si>
  <si>
    <t>582NBDY9</t>
  </si>
  <si>
    <t>Ostrom, Elinor; Burger, Joanna; Field, Christopher B.; Norgaard, Richard B.; Policansky, David</t>
  </si>
  <si>
    <t>Revisiting the Commons: Local Lessons, Global Challenges</t>
  </si>
  <si>
    <t>10.1126/science.284.5412.278</t>
  </si>
  <si>
    <t>https://www.science.org/doi/10.1126/science.284.5412.278</t>
  </si>
  <si>
    <t>In a seminal paper, Garrett Hardin argued in 1968 that users of a commons are caught in an inevitable process that leads to the destruction of the resources on which they depend. This article discusses new insights about such problems and the conditions most likely to favor sustainable uses of common-pool resources. Some of the most difficult challenges concern the management of large-scale resources that depend on international cooperation, such as fresh water in international basins or large marine ecosystems. Institutional diversity may be as important as biological diversity for our long-term survival.</t>
  </si>
  <si>
    <t>1999-04-09</t>
  </si>
  <si>
    <t>2022-09-23 06:34:44</t>
  </si>
  <si>
    <t>2022-09-23T06:34:44Z</t>
  </si>
  <si>
    <t>278-282</t>
  </si>
  <si>
    <t>5412</t>
  </si>
  <si>
    <t>284</t>
  </si>
  <si>
    <t>Revisiting the Commons</t>
  </si>
  <si>
    <t>LZBAI5V6</t>
  </si>
  <si>
    <t>Österblom, Henrik; Jouffray, Jean-Baptiste; Folke, Carl; Crona, Beatrice; Troell, Max; Merrie, Andrew; Rockström, Johan</t>
  </si>
  <si>
    <t>Transnational Corporations as ‘Keystone Actors’ in Marine Ecosystems</t>
  </si>
  <si>
    <t>https://dx.plos.org/10.1371/journal.pone.0127533</t>
  </si>
  <si>
    <t>2015-05-27</t>
  </si>
  <si>
    <t>2022-09-23 06:34:39</t>
  </si>
  <si>
    <t>2022-09-23T06:34:39Z</t>
  </si>
  <si>
    <t>2022-09-19 21:16:53</t>
  </si>
  <si>
    <t>e0127533</t>
  </si>
  <si>
    <t>Tsikliras, Athanassios C.</t>
  </si>
  <si>
    <t>49MEMWB2</t>
  </si>
  <si>
    <t>Poteete, Amy R.; Ostrom, Elinor</t>
  </si>
  <si>
    <t>Heterogeneity, Group Size and Collective Action: The Role of Institutions in Forest Management</t>
  </si>
  <si>
    <t>0012-155X, 1467-7660</t>
  </si>
  <si>
    <t>10.1111/j.1467-7660.2004.00360.x</t>
  </si>
  <si>
    <t>https://onlinelibrary.wiley.com/doi/10.1111/j.1467-7660.2004.00360.x</t>
  </si>
  <si>
    <t>2004-06</t>
  </si>
  <si>
    <t>2022-09-23 06:32:22</t>
  </si>
  <si>
    <t>2022-09-23T06:32:22Z</t>
  </si>
  <si>
    <t>2022-09-19 21:16:39</t>
  </si>
  <si>
    <t>435-461</t>
  </si>
  <si>
    <t>35</t>
  </si>
  <si>
    <t>Development &amp; Change</t>
  </si>
  <si>
    <t>Heterogeneity, Group Size and Collective Action</t>
  </si>
  <si>
    <t>MSBSNAKW</t>
  </si>
  <si>
    <t>Potapov, Peter; Hansen, Matthew C.; Laestadius, Lars; Turubanova, Svetlana; Yaroshenko, Alexey; Thies, Christoph; Smith, Wynet; Zhuravleva, Ilona; Komarova, Anna; Minnemeyer, Susan; Esipova, Elena</t>
  </si>
  <si>
    <t>https://www.science.org/doi/10.1126/sciadv.1600821</t>
  </si>
  <si>
    <t>Intact forest landscapes have the greatest conservation value but are shrinking due to industrial logging and fragmentation.           ,                             An intact forest landscape (IFL) is a seamless mosaic of forest and naturally treeless ecosystems with no remotely detected signs of human activity and a minimum area of 500 km               2               . IFLs are critical for stabilizing terrestrial carbon storage, harboring biodiversity, regulating hydrological regimes, and providing other ecosystem functions. Although the remaining IFLs comprise only 20% of tropical forest area, they account for 40% of the total aboveground tropical forest carbon. We show that global IFL extent has been reduced by 7.2% since the year 2000. An increasing rate of global IFL area reduction was found, largely driven by the tripling of IFL tropical forest loss in 2011–2013 compared to that in 2001–2003. Industrial logging, agricultural expansion, fire, and mining/resource extraction were the primary causes of IFL area reduction. Protected areas (International Union for Conservation of Nature categories I to III) were found to have a positive effect in slowing the reduction of IFL area from timber harvesting but were less effective in limiting agricultural expansion. The certification of logging concessions under responsible management had a negligible impact on slowing IFL fragmentation in the Congo Basin. Fragmentation of IFLs by logging and establishment of roads and other infrastructure initiates a cascade of changes that lead to landscape transformation and loss of conservation values. Given that only 12% of the global IFL area is protected, our results illustrate the need for planning and investment in carbon sequestration and biodiversity conservation efforts that target the most valuable remaining forests, as identified using the IFL approach.</t>
  </si>
  <si>
    <t>2017-01-06</t>
  </si>
  <si>
    <t>2022-09-23 06:32:17</t>
  </si>
  <si>
    <t>2022-09-23T06:32:17Z</t>
  </si>
  <si>
    <t>e1600821</t>
  </si>
  <si>
    <t>Sci. Adv.</t>
  </si>
  <si>
    <t>The last frontiers of wilderness</t>
  </si>
  <si>
    <t>ipbes-global_chapter2.1_drivers; ipbes-global_chapter2.2_nature; ipbes-global_chapter3; ipbes-global_glossary</t>
  </si>
  <si>
    <t>HJC8U5HT</t>
  </si>
  <si>
    <t>Possingham, Hugh P.; Bode, Michael; Klein, Carissa J.</t>
  </si>
  <si>
    <t>Optimal Conservation Outcomes Require Both Restoration and Protection</t>
  </si>
  <si>
    <t>PLOS Biology</t>
  </si>
  <si>
    <t>10.1371/journal.pbio.1002052</t>
  </si>
  <si>
    <t>http://dx.plos.org/10.1371/journal.pbio.1002052</t>
  </si>
  <si>
    <t>Conservation outcomes are principally achieved through the protection of intact habitat or the restoration of degraded habitat. Restoration is generally considered a lower priority action than protection because protection is thought to provide superior outcomes, at lower costs, without the time delay required for restoration. Yet while it is broadly accepted that protected intact habitat safeguards more biodiversity and generates greater ecosystem services per unit area than restored habitat, conservation lacks a theory that can coherently compare the relative outcomes of the two actions. We use a dynamic landscape model to integrate these two actions into a unified conservation theory of protection and restoration. Using nonlinear benefit functions, we show that both actions are crucial components of a conservation strategy that seeks to optimise either biodiversity conservation or ecosystem services provision. In contrast to conservation orthodoxy, in some circumstances, restoration should be strongly preferred to protection. The relative priority of protection and restoration depends on their costs and also on the different time lags that are inherent to both protection and restoration. We derive a simple and easy-to-interpret heuristic that integrates these factors into a single equation that applies equally to biodiversity conservation and ecosystem service objectives. We use two examples to illustrate the theory: bird conservation in tropical rainforests and coastal defence provided by mangrove forests.</t>
  </si>
  <si>
    <t>2015-01</t>
  </si>
  <si>
    <t>2022-09-23 06:32:10</t>
  </si>
  <si>
    <t>2022-09-23T06:32:10Z</t>
  </si>
  <si>
    <t>e1002052</t>
  </si>
  <si>
    <t>A6MATZVB</t>
  </si>
  <si>
    <t>Porter-Bolland, Luciana; Ellis, Edward A.; Guariguata, Manuel R.; Ruiz-Mallén, Isabel; Negrete-Yankelevich, Simoneta; Reyes-García, Victoria</t>
  </si>
  <si>
    <t>Community managed forests and forest protected areas: An assessment of their conservation effectiveness across the tropics</t>
  </si>
  <si>
    <t>10.1016/j.foreco.2011.05.034</t>
  </si>
  <si>
    <t>https://linkinghub.elsevier.com/retrieve/pii/S0378112711003215</t>
  </si>
  <si>
    <t>2022-09-23 06:32:05</t>
  </si>
  <si>
    <t>2022-09-23T06:32:05Z</t>
  </si>
  <si>
    <t>2022-09-22 07:27:02</t>
  </si>
  <si>
    <t>6-17</t>
  </si>
  <si>
    <t>268</t>
  </si>
  <si>
    <t>Community managed forests and forest protected areas</t>
  </si>
  <si>
    <t>ipbes-global_chapter2.1_drivers; ipbes-global_chapter2.2_nature; ipbes-global_chapter3; ipbes-global_chapter6</t>
  </si>
  <si>
    <t>W5A26QAW</t>
  </si>
  <si>
    <t>Perfecto, Ivette; Vandermeer, John</t>
  </si>
  <si>
    <t>The agroecological matrix as alternative to the land-sparing/agriculture intensification model</t>
  </si>
  <si>
    <t>10.1073/pnas.0905455107</t>
  </si>
  <si>
    <t>https://pnas.org/doi/full/10.1073/pnas.0905455107</t>
  </si>
  <si>
    <t>Among the myriad complications involved in the current food crisis, the relationship between agriculture and the rest of nature is one of the most important yet remains only incompletely analyzed. Particularly in tropical areas, agriculture is frequently seen as the antithesis of the natural world, where the problem is framed as one of minimizing land devoted to agriculture so as to devote more to conservation of biodiversity and other ecosystem services. In particular, the “forest transition model” projects an overly optimistic vision of a future where increased agricultural intensification (to produce more per hectare) and/or increased rural-to-urban migration (to reduce the rural population that cuts forest for agriculture) suggests a near future of much tropical aforestation and higher agricultural production. Reviewing recent developments in ecological theory (showing the importance of migration between fragments and local extinction rates) coupled with empirical evidence, we argue that there is little to suggest that the forest transition model is useful for tropical areas, at least under current sociopolitical structures. A model that incorporates the agricultural matrix as an integral component of conservation programs is proposed. Furthermore, we suggest that this model will be most successful within a framework of small-scale agroecological production.</t>
  </si>
  <si>
    <t>2010-03-30</t>
  </si>
  <si>
    <t>2022-09-23 06:31:30</t>
  </si>
  <si>
    <t>2022-09-23T06:31:30Z</t>
  </si>
  <si>
    <t>5786-5791</t>
  </si>
  <si>
    <t>KGA65E38</t>
  </si>
  <si>
    <t>Pauly, Daniel; Christensen, Villy; Guénette, Sylvie; Pitcher, Tony J.; Sumaila, U. Rashid; Walters, Carl J.; Watson, R.; Zeller, Dirk</t>
  </si>
  <si>
    <t>2022-09-23 06:30:15</t>
  </si>
  <si>
    <t>2022-09-23T06:30:15Z</t>
  </si>
  <si>
    <t>N3PKG225</t>
  </si>
  <si>
    <t>Governing the commons. The evolution of institutions for collective action</t>
  </si>
  <si>
    <t>978-91-981195-9-6</t>
  </si>
  <si>
    <t>ipbes-global_chapter1; ipbes-global_chapter2.1_drivers; ipbes-global_chapter2.3_ncp; ipbes-global_chapter5</t>
  </si>
  <si>
    <t>APII8IKX</t>
  </si>
  <si>
    <t>Payn, Tim; Carnus, Jean-Michel; Freer-Smith, Peter; Kimberley, Mark; Kollert, Walter; Liu, Shirong; Orazio, Christophe; Rodriguez, Luiz; Silva, Luis Neves; Wingfield, Michael J.</t>
  </si>
  <si>
    <t>Changes in planted forests and future global implications</t>
  </si>
  <si>
    <t>0378-1127</t>
  </si>
  <si>
    <t>10.1016/j.foreco.2015.06.021</t>
  </si>
  <si>
    <t>http://www.sciencedirect.com/science/article/pii/S0378112715003473</t>
  </si>
  <si>
    <t>This paper focuses on an analysis of planted forests data from the 2015 Forests Resources Assessment of the U.N. Food and Agriculture Organisation (FRA 2015). It forms one of a series of papers in the FRA 2015 special issue of this journal. While total forest area decreased from 4.28 billion hectares to 3.99 billion hectares from 1990 to 2015, with percent global forest cover dropping from 31.85% to 30.85%, the area of planted forests increased from 167.5 to 277.9 million hectares or 4.06% to 6.95% of total forest area. Increase was most rapid in the temperate zone, and regionally in East Asia, followed by Europe, North America, and Southern and Southeast Asia. However the annualised rate of increase in area of planted forests slowed in the 2010–2015 period to 1.2%, below the 2.4% rate suggested is needed to supply all of the world's timber and fibre needs. The majority of planted forests comprised native species with only 18–19% of the total area being of introduced species. Introduced species were dominant in the southern hemisphere countries of South America, Oceania and Eastern and Southern Africa where industrial forestry is dominant. Twenty countries accounted for 85% of planted forest area and a different 20 countries for 87% of planted forest roundwood supply. As with forest area, roundwood supply from planted forests also showed an increasing trend although this was based on minimal data. There was a mismatch in composition and rankings of the top 20 countries with top forest area and roundwood production suggesting that there are substantial opportunities to increase roundwood production in the future, especially in China which has the largest area but is currently ranked 3rd in roundwood production. Outlook statements were developed for the FAO sub regions based on past changes in planted forest area, population growth, and climate and forest health risks to identify key issues for the future. The overall view from this study suggests that climate impacts, especially from extreme climatic events will affect planted forests in the future and that forest health impacts can also be expected to increase. Outlooks vary regionally. Europe and North America are likely to be most concerned with climate and health risks; Asia will experience population pressure that will impact on land availability for new forests and risks from extreme weather events, and will need to make the most of its existing forests; Africa will need to increase planted forest area to offset continuing deforestation and rapid population growth; and Oceania, the Caribbean, Central and South America are likely to be most concerned with climate impacts. To ensure the continued contribution of planted forests, a number of responses will be required to both maintain existing and also to develop new forests. Intensification of production in existing forests will lessen the need for greater forest areas and offset any land use conflicts related to food security; climate adaptation strategies will need to be developed as a matter of urgency, and forest health focus must remain a priority for research. Establishment of new forests will be eased through greater community and stakeholder engagement. Application of models such as WWF's New Generation Plantations, which recognises the importance of society and the need to consider the full range of forest products and services within the wider landscape and spectrum of land uses, will be important. We recommend that to enable deeper analysis related to planted forests future FRA Assessments consider ways to better gather data specific to planted forests such as productivity so that this important component of global forests can be better understood.</t>
  </si>
  <si>
    <t>57-67</t>
  </si>
  <si>
    <t>352</t>
  </si>
  <si>
    <t>8S5H775B</t>
  </si>
  <si>
    <t>Pfaff, Alexander; Robalino, Juan; Lima, Eirivelthon; Sandoval, Catalina; Herrera, Luis Diego</t>
  </si>
  <si>
    <t>Governance, Location and Avoided Deforestation from Protected Areas: Greater Restrictions Can Have Lower Impact, Due to Differences in Location</t>
  </si>
  <si>
    <t>10.1016/j.worlddev.2013.01.011</t>
  </si>
  <si>
    <t>http://dx.doi.org/10.1016/j.worlddev.2013.01.011</t>
  </si>
  <si>
    <t>For Acre, in the Brazilian Amazon, we find that protection types with differences in governance, including different constraints on local economic development, also differ in their locations. Taking this into account, we estimate the deforestation impacts of these protection types that feature different levels of restrictions. To avoid bias, we compare these protected locations with unprotected locations that are similar in their characteristics relevant for deforestation. We find that sustainable use protection, whose governance permits some local deforestation, is found on sites with high clearing threat. That allows more avoided deforestation than from integral protection, which bans clearing but seems feasible only further from deforestation threats. Based on our results, it seems that the political economy involved in siting such restrictions on production is likely to affect the ability of protected areas to reduce emissions from deforestation and degradation. ?? 2013 Elsevier Ltd.</t>
  </si>
  <si>
    <t>7-20</t>
  </si>
  <si>
    <t>Y66P8YWK</t>
  </si>
  <si>
    <t>Pörtner, Hans-Otto; Karl, David M.; Boyd, Philip W.; Cheung, William; Lluch-Cota, Salvador E.; Nojiri, Yukihiro; Schmidt, Daniela N.; Zavialov, Peter O.; Alheit, Jürgen; Aristegui, Javier; Others</t>
  </si>
  <si>
    <t>Ocean systems</t>
  </si>
  <si>
    <t>Climate change 2014: impacts, adaptation, and vulnerability. Part A: global and sectoral aspects. contribution of working group II to the fifth assessment report of the intergovernmental panel on climate change</t>
  </si>
  <si>
    <t>411-484</t>
  </si>
  <si>
    <t>2P6FW454</t>
  </si>
  <si>
    <t>Peters, Glen P.; Minx, Jan C.; Weber, Christopher L.; Edenhofer, Ottmar</t>
  </si>
  <si>
    <t>Growth in emission transfers via international trade from 1990 to 2008</t>
  </si>
  <si>
    <t>10.1073/pnas.1006388108</t>
  </si>
  <si>
    <t>http://www.pnas.org/content/108/21/8903.abstract</t>
  </si>
  <si>
    <t>Despite the emergence of regional climate policies, growth in global CO2 emissions has remained strong. From 1990 to 2008 CO2 emissions in developed countries (defined as countries with emission-reduction commitments in the Kyoto Protocol, Annex B) have stabilized, but emissions in developing countries (non-Annex B) have doubled. Some studies suggest that the stabilization of emissions in developed countries was partially because of growing imports from developing countries. To quantify the growth in emission transfers via international trade, we developed a trade-linked global database for CO2 emissions covering 113 countries and 57 economic sectors from 1990 to 2008. We find that the emissions from the production of traded goods and services have increased from 4.3 Gt CO2 in 1990 (20% of global emissions) to 7.8 Gt CO2 in 2008 (26%). Most developed countries have increased their consumption-based emissions faster than their territorial emissions, and non–energy-intensive manufacturing had a key role in the emission transfers. The net emission transfers via international trade from developing to developed countries increased from 0.4 Gt CO2 in 1990 to 1.6 Gt CO2 in 2008, which exceeds the Kyoto Protocol emission reductions. Our results indicate that international trade is a significant factor in explaining the change in emissions in many countries, from both a production and consumption perspective. We suggest that countries monitor emission transfers via international trade, in addition to territorial emissions, to ensure progress toward stabilization of global greenhouse gas emissions.</t>
  </si>
  <si>
    <t>2011-05-24</t>
  </si>
  <si>
    <t>8903</t>
  </si>
  <si>
    <t>108</t>
  </si>
  <si>
    <t>Proc Natl Acad Sci USA</t>
  </si>
  <si>
    <t>55GHTDQS</t>
  </si>
  <si>
    <t>Oxfam; Coalition International Land; Rights and Resources Initiative</t>
  </si>
  <si>
    <t>Common Ground. Securing land rights and safeguarding the earth</t>
  </si>
  <si>
    <t>https://www.oxfamamerica.org/static/media/files/GCA_REPORT_EN_FINAL.pdf</t>
  </si>
  <si>
    <t>Oxfam</t>
  </si>
  <si>
    <t>Oxford</t>
  </si>
  <si>
    <t>6SJ79L4Y</t>
  </si>
  <si>
    <t>Posey, Darrell Addison</t>
  </si>
  <si>
    <t>1. Introduction: Culture and Nature - The inextricable link</t>
  </si>
  <si>
    <t>Cultural and Spiritual Values of Biodiversity</t>
  </si>
  <si>
    <t>1-18</t>
  </si>
  <si>
    <t>Practical Action Publishing</t>
  </si>
  <si>
    <t>Rugby</t>
  </si>
  <si>
    <t>F6H7V9BS</t>
  </si>
  <si>
    <t>Poore, J.; Nemecek, T.</t>
  </si>
  <si>
    <t>Reducing food's environmental impacts through producers and consumers</t>
  </si>
  <si>
    <t>10.1126/science.aaq0216</t>
  </si>
  <si>
    <t>http://www.ncbi.nlm.nih.gov/pubmed/29853680</t>
  </si>
  <si>
    <t>Food's environmental impacts are created by millions of diverse producers. To identify solutions that are effective under this heterogeneity, we consolidated data covering five environmental indicators; 38,700 farms; and 1600 processors, packaging types, and retailers. Impact can vary 50-fold among producers of the same product, creating substantial mitigation opportunities. However, mitigation is complicated by trade-offs, multiple ways for producers to achieve low impacts, and interactions throughout the supply chain. Producers have limits on how far they can reduce impacts. Most strikingly, impacts of the lowest-impact animal products typically exceed those of vegetable substitutes, providing new evidence for the importance of dietary change. Cumulatively, our findings support an approach where producers monitor their own impacts, flexibly meet environmental targets by choosing from multiple practices, and communicate their impacts to consumers.</t>
  </si>
  <si>
    <t>2018-06</t>
  </si>
  <si>
    <t>987-992</t>
  </si>
  <si>
    <t>6392</t>
  </si>
  <si>
    <t>360</t>
  </si>
  <si>
    <t>Q5F82K4S</t>
  </si>
  <si>
    <t>Pfaff, Alexander; Robalino, Juan; Sandoval, Catalina; Herrera, Diego</t>
  </si>
  <si>
    <t>Protected area types, strategies and impacts in Brazil's Amazon: public protected area strategies do not yield a consistent ranking of protected area types by impact</t>
  </si>
  <si>
    <t>10.1098/rstb.2014.0273</t>
  </si>
  <si>
    <t>http://rstb.royalsocietypublishing.org/lookup/doi/10.1098/rstb.2014.0273</t>
  </si>
  <si>
    <t>20140273</t>
  </si>
  <si>
    <t>B2R6D3J3</t>
  </si>
  <si>
    <t>Pachauri, S.; Brew-Hammond, A.; Barnes, D. F.; Bouille, D. H.; Gitonga, S.; Modi, V.; Prasad, G.; Rath, A.; Zerriffi, H.</t>
  </si>
  <si>
    <t>Energy Access for Development</t>
  </si>
  <si>
    <t>Global Energy Assessment - Toward a Sustainable Future</t>
  </si>
  <si>
    <t>Chapter 19 builds strongly on the concerns raised in Chapter 2 (“Energy and Society”), Chapter 3 (“Energy and Environment”), and Chapter 4 (“Energy and Health”). The Chapter is structured as follows (see Figure 19.1 ). Section 19.1 presents a brief overview of the linkages between energy access, human wellbeing, and the environment. It also lays the foundation for understanding why energy access is essential for poverty reduction and development. Section 19.2 assesses the historical efforts and trends and the current global status of access to electricity, clean cooking/ heating fuels and stoves, and modern energy carriers for income generating activities. The following section, 19.3, provides a more differentiated and nuanced analysis of regional efforts and strategies to improve energy access in households and the status of access in each region. Finally, Section 19.4 concludes with lessons learnt and implications for the way forward. The role of policy and institutional issues is also discussed briefly in this chapter; however, a deeper discussion of this is left to Chapter 23 , which focuses specifically on policies and measures for expanding energy access.</t>
  </si>
  <si>
    <t>1401-1458</t>
  </si>
  <si>
    <t>Cambridge University Press and IIASA</t>
  </si>
  <si>
    <t>GEA Writing Team</t>
  </si>
  <si>
    <t>WNZMKD9B</t>
  </si>
  <si>
    <t>Pastor, Jr Manuel; Sadd, James L.; Morello-Frosch, Rachel</t>
  </si>
  <si>
    <t>Who's Minding the Kids? Pollucion, Public Schools, and Environmental Justice in Los Angeles</t>
  </si>
  <si>
    <t>Social Science Quarterly</t>
  </si>
  <si>
    <t>0038-4941</t>
  </si>
  <si>
    <t>10.1111/1540-6237.00082</t>
  </si>
  <si>
    <t>http://doi.wiley.com/10.1111/1540-6237.00082</t>
  </si>
  <si>
    <t>Although previous environmental justice research has focused on analysis of the disproportionate burden of environmental hazards on minority residents, few studies have examined demographic inequities in health risks among children. This article evaluates the demographic distribution of potentially hazardous facilities and health risks associated with ambient air toxics exposures among public schoolchildren in the Los Angeles Unified School District. . We combine Geographic Information System analysis with multivariate statistics to compare enrollment and demographic information for students who attend district schools with the spatial pattern of land use, locations of toxic emissions and facilities, and calculated indices of estimated lifetime cancer risk and respiratory hazards associated with exposures to toxic air emissions. . District schools are more likely to be located in census tracts containing potentially hazardous facilities; however, these tracts actually have slightly lower cancer and respiratory health risks associated with air toxics when compared to other tracts in the district. Demographic comparisons among school sites indicate that minority students, especially Latinos, are more likely to attend schools near hazardous facilities and face higher health risks associated with outdoor air toxics exposure. . These patterns of hazard exposure and health risk should be considered both in the process of siting new schools to house the rapidly growing regional student population and in remediation efforts at existing schools.</t>
  </si>
  <si>
    <t>2002-03</t>
  </si>
  <si>
    <t>263-280</t>
  </si>
  <si>
    <t>83</t>
  </si>
  <si>
    <t>LTAS5AYI</t>
  </si>
  <si>
    <t>Pimentel, D.; Stachow, U.; Takacs, D. A.; Brubaker, H. W.; Dumas, A. R.; Meaney, J. J.; O'Neil, J. A. S.; Onsi, D. E.; Corzilius, D. B.</t>
  </si>
  <si>
    <t>Conserving Biological Diversity In Agricultural Forestry Systems - Most Biological Diversity Exists In Human-managed Ecosystems</t>
  </si>
  <si>
    <t>Bioscience</t>
  </si>
  <si>
    <t>0006-3568 ER</t>
  </si>
  <si>
    <t>10.2307/1311782</t>
  </si>
  <si>
    <t>354-362</t>
  </si>
  <si>
    <t>42</t>
  </si>
  <si>
    <t>NE6Q5NTX</t>
  </si>
  <si>
    <t>PEFC</t>
  </si>
  <si>
    <t>About PEFC</t>
  </si>
  <si>
    <t>https://www.pefc.org/about-pefc/overview</t>
  </si>
  <si>
    <t>2018-08-11 00:00:00</t>
  </si>
  <si>
    <t>IIY8X823</t>
  </si>
  <si>
    <t>Pokorny, Benno; Pacheco, Pablo; Cerutti, Paolo Omar; Boekhout Van Solinge, Tim; Kissinger, Gabrielle; Tacconi, Luca; van Solinge, T. B.; Kissinger, Gabrielle; Tacconi, Luca</t>
  </si>
  <si>
    <t>Drivers of Illegal and Destructive Forest Use</t>
  </si>
  <si>
    <t>International Union of Forest Research Organizations (IUFRO), Vienna, Austria</t>
  </si>
  <si>
    <t>83E459M7</t>
  </si>
  <si>
    <t>Perrot-Maître, D.</t>
  </si>
  <si>
    <t>The Vittel payments for ecosystem services: a “perfect” PES case?</t>
  </si>
  <si>
    <t>https://pubs.iied.org/pdfs/G00388.pdf</t>
  </si>
  <si>
    <t>International Institute for Environment and Development</t>
  </si>
  <si>
    <t>London, UK</t>
  </si>
  <si>
    <t>ZYTXZTWC</t>
  </si>
  <si>
    <t>Pope Francis</t>
  </si>
  <si>
    <t>Encyclical on climate change and inequality: On care for our common home</t>
  </si>
  <si>
    <t>Melville House</t>
  </si>
  <si>
    <t>WTEH3ESD</t>
  </si>
  <si>
    <t>Ole Kaunga, Johnson M.</t>
  </si>
  <si>
    <t>The use of Indigenous traditional knowledge for ecological and bio-diverse resource management by the Laikipia Maasai and the Samburu</t>
  </si>
  <si>
    <t>Knowing our lands and resources: indigenous and local knowledge of biodiversity and ecosystem services in Africa</t>
  </si>
  <si>
    <t>http://unesdoc.unesco.org/images/0024/002474/247461m.pdf</t>
  </si>
  <si>
    <t>8PRJ58VJ</t>
  </si>
  <si>
    <t>Panlasigui, Stephanie; Rico-Straffon, Jimena; Pfaff, Alexander; Swenson, Jennifer; Loucks, Colby</t>
  </si>
  <si>
    <t>Impacts of certification, uncertified concessions, and protected areas on forest loss in Cameroon, 2000 to 2013</t>
  </si>
  <si>
    <t>0006-3207</t>
  </si>
  <si>
    <t>10.1016/j.biocon.2018.09.013</t>
  </si>
  <si>
    <t>Deforestation and forest fragmentation are leading drivers of biodiversity loss. Protected areas have been the leading conservation policy response, yet their scale and scope remain inadequate to meet biodiversity conservation targets. Managed forest concessions increasingly have been recognized as a complement to protected areas in meeting conservation targets. Similarly, programs for voluntary third-party certification of concession management aim to create incentives for logging companies to manage forests more sustainably. Rigorous evidence on the impacts from large-scale certification programs is thereby critical, yet detailed field observations are limited, temporally and spatially. Remotely-sensed data, in contrast, can provide repeated observations over time and at a fine spatial scale, albeit with less detail. Using the Global Forest Change dataset, we examine annual forest loss in Cameroon during 2000–2013 to assess the impact of Forest Stewardship Council certification, as well as uncertified logging concessions and national parks. We use panel regressions that control for the effects of unobserved factors that vary across space or time. We find low forest loss inside the boundaries of each management intervention, with \textless1% lost over the study period. Yet those low levels of loss appear to be influenced more by a site's proximity to drivers of deforestation, such as distances to population centers or roads, than by national parks, uncertified concessions, or certification. The exception is that if a site faces high deforestation pressure, uncertified logging concessions appear to reduce forest loss. This may reflect private companies' incentives to protect rights to forest use. Such an influence of private logging companies could provide a foundation for future impacts from certification upon rates of forest loss, at least within areas that are facing elevated deforestation pressures.</t>
  </si>
  <si>
    <t>160-166</t>
  </si>
  <si>
    <t>227</t>
  </si>
  <si>
    <t>4WJ9MYET</t>
  </si>
  <si>
    <t>Palmer, M. A.; Bernhardt, E. S.; Schlesinger, W. H.; Eshleman, K. N.; Foufoula-Georgiou, E.; Hendryx, M. S.; Lemly, A. D.; Likens, G. E.; Loucks, O. L.; Power, M. E.; White, P. S.; Wilcock, P. R.</t>
  </si>
  <si>
    <t>Mountaintop Mining Consequences</t>
  </si>
  <si>
    <t>10.1126/science.1180543</t>
  </si>
  <si>
    <t>There has been a global, 30-year increase in surface mining (1), which is now the dominant driver of land-use change in the central Appalachian ecoregion of the United States (2). One major form of such mining, mountaintop mining with valley fills (MTM/VF) (3), is widespread throughout eastern Kentucky, West Virginia (WV), and southwestern Virginia. Upper elevation forests are cleared and stripped of topsoil, and explosives are used to break up rocks to access buried coal (fig. S1). Excess rock (mine “spoil”) is pushed into adjacent valleys, where it buries existing streams.</t>
  </si>
  <si>
    <t>148-149</t>
  </si>
  <si>
    <t>5962</t>
  </si>
  <si>
    <t>327</t>
  </si>
  <si>
    <t>Z2S94DSF</t>
  </si>
  <si>
    <t>Palma, Jose Gabriel</t>
  </si>
  <si>
    <t>Globalizing Inequality: 'Centrifugal' and 'Centripetal' Forces at Work</t>
  </si>
  <si>
    <t>SK4J5VT9</t>
  </si>
  <si>
    <t>Pal, Amrita; Gin, Karina Yew-Hoong; Lin, Angela Yu-Chen; Reinhard, Martin</t>
  </si>
  <si>
    <t>Science of The Total Environment</t>
  </si>
  <si>
    <t>0048-9697</t>
  </si>
  <si>
    <t>6062-6069</t>
  </si>
  <si>
    <t>408</t>
  </si>
  <si>
    <t>WD85EF3X</t>
  </si>
  <si>
    <t>Pattanayak, Subhrendu K.; Pfaff, Alexander</t>
  </si>
  <si>
    <t>Behavior, Environment, and Health in Developing Countries: Evaluation and Valuation</t>
  </si>
  <si>
    <t>10.1146/annurev.resource.050708.144053</t>
  </si>
  <si>
    <t>2009-10</t>
  </si>
  <si>
    <t>183-217</t>
  </si>
  <si>
    <t>D73PG597</t>
  </si>
  <si>
    <t>Pagiola, Stefano; Honey-Rosés, Jordi; Freire-González, Jaume</t>
  </si>
  <si>
    <t>Evaluation of the Permanence of Land Use Change Induced by Payments for Environmental Services in Quindío, Colombia</t>
  </si>
  <si>
    <t>10.1371/journal.pone.0147829</t>
  </si>
  <si>
    <t>https://dx.plos.org/10.1371/journal.pone.0147829</t>
  </si>
  <si>
    <t>2016-03</t>
  </si>
  <si>
    <t>e0147829</t>
  </si>
  <si>
    <t>5URPXIXV</t>
  </si>
  <si>
    <t>Pearce, Tristan; Wright, Harold; Notaina, Roland; Kudlak, Adam; Smit, Barry; Ford, James; Furgal, Christopher</t>
  </si>
  <si>
    <t>Transmission of Environmental Knowledge and Land Skills among Inuit Men in Ulukhaktok, Northwest Territories, Canada</t>
  </si>
  <si>
    <t>03007839</t>
  </si>
  <si>
    <t>10.1007/s10745-011-9403-1</t>
  </si>
  <si>
    <t>The transmission of environmental knowledge and land skills was studied among Inuit men in Ulukhaktok, Northwest Territories, Canada. A list of 83 skills important for safe and successful harvesting was generated with 14 active hunters and elders, and examined with a sample of 47 men. This research found that land skills continue to be transmitted most often from older to younger generations through observation and apprenticeship in the environment. However there is a difference in the rate of skills transmission among generations, with average transmission rates lowest among younger respondents. Some skills were transmitted well among younger respondents including general hunting and camp-related skills, but others such as traveling on the sea ice and traditional navigation skills were not. Loss of certain skills and incomplete transmission of others were related to the absence of skills teachers, loss of native language, and changes in the educational environment.</t>
  </si>
  <si>
    <t>S2LEIXTT</t>
  </si>
  <si>
    <t>Pavcnik, Nina</t>
  </si>
  <si>
    <t>Trade Liberalization, Exit, and Productivity Improvements: Evidence from Chilean Plants</t>
  </si>
  <si>
    <t>1467-937X</t>
  </si>
  <si>
    <t>10.1111/1467-937X.00205</t>
  </si>
  <si>
    <t>245-276</t>
  </si>
  <si>
    <t>N94HZQSH</t>
  </si>
  <si>
    <t>Pellow, David Naguib</t>
  </si>
  <si>
    <t>Garbage wars: The struggle for environmental justice in Chicago</t>
  </si>
  <si>
    <t>Mit Press</t>
  </si>
  <si>
    <t>FZSU44TK</t>
  </si>
  <si>
    <t>Pellegrini, Lorenzo</t>
  </si>
  <si>
    <t>Corruption, development and the environment</t>
  </si>
  <si>
    <t>ABARN6QR</t>
  </si>
  <si>
    <t>Pereira, Laura M.; Hichert, T.; Hamann, M.; Preiser, Rika; Biggs, Reinette</t>
  </si>
  <si>
    <t>Using futures methods to create transformative spaces: visions of a good Anthropocene in Southern Africa</t>
  </si>
  <si>
    <t>10.5751/ES-09907-230119</t>
  </si>
  <si>
    <t>The unique challenges posed by the Anthropocene require creative ways of engaging with the future and bringing about transformative change. Envisioning positive futures is a first step in creating a shared understanding and commitment that enables radical transformations toward sustainability in a world defined by complexity, diversity, and uncertainty. However, to create a transformative space in which truly unknowable futures can be explored, new experimental approaches are needed that go beyond merely extrapolating from the present into archetypal scenarios of the future. Here, we present a process of creative visioning where participatory methods and tools from the field of futures studies were combined in a novel way to create and facilitate a transformative space, with the aim of generating positive narrative visions for southern Africa. We convened a diverse group of participants in a workshop designed to develop radically different scenarios of good Anthropocenes, based on existing “seeds” of the future in the present. These seeds are innovative initiatives, practices, and ideas that are present in the world today, but are not currently widespread or dominant. As a result of a carefully facilitated process that encouraged a multiplicity of perspectives, creative immersion, and grappling with deeply held assumptions, four radical visions for southern Africa were produced. Although these futures are highly innovative and exploratory, they still link back to current real-world initiatives and contexts. The key learning that arose from this experience was the importance of the imagination for transformative thinking, the need to capitalize on diversity to push boundaries, and finally, the importance of creating a space that enables participants to engage with emotions, beliefs, and complexity. This method of engagement with the future has the potential to create transformative spaces that inspire and empower people to act toward positive Anthropocene visions despite the complexity of the sustainability challenge.</t>
  </si>
  <si>
    <t>23</t>
  </si>
  <si>
    <t>9LRY6HA3</t>
  </si>
  <si>
    <t>Pepper, David</t>
  </si>
  <si>
    <t>Modern environmentalism: an introduction</t>
  </si>
  <si>
    <t>Psychology Press</t>
  </si>
  <si>
    <t>43EWZBU4</t>
  </si>
  <si>
    <t>Greening Africana Studies: Linking Environmental Studies with Transforming Black Experiences</t>
  </si>
  <si>
    <t>SAGE Publications Sage CA: Los Angeles, CA</t>
  </si>
  <si>
    <t>Z25AUP89</t>
  </si>
  <si>
    <t>Petrie, Bruce; Barden, Ruth; Kasprzyk-Hordern, Barbara</t>
  </si>
  <si>
    <t>Water Research</t>
  </si>
  <si>
    <t>0043-1354</t>
  </si>
  <si>
    <t>72</t>
  </si>
  <si>
    <t>TWJNJCYS</t>
  </si>
  <si>
    <t>Peterson, G.; Rocha, J.</t>
  </si>
  <si>
    <t>Arctic regime shifts and resilience</t>
  </si>
  <si>
    <t>Arctic Resilience Report</t>
  </si>
  <si>
    <t>64-95</t>
  </si>
  <si>
    <t>Arctic Council</t>
  </si>
  <si>
    <t>Carson, M.; Peterson, G.</t>
  </si>
  <si>
    <t>KIHELI5N</t>
  </si>
  <si>
    <t>Petersen, Lyle R.; Jamieson, Denise J.; Powers, Ann M.; Honein, Margaret A.</t>
  </si>
  <si>
    <t>Zika Virus</t>
  </si>
  <si>
    <t>New England Journal of Medicine</t>
  </si>
  <si>
    <t>0028-4793</t>
  </si>
  <si>
    <t>10.1056/NEJMra1602113</t>
  </si>
  <si>
    <t>Zika virus is rapidly spreading throughout the Americas and the Caribbean. The association with microcephaly has led the WHO to declare a public health emergency. This review describes our current understanding of the characteristics of Zika virus infection.</t>
  </si>
  <si>
    <t>1552-1563</t>
  </si>
  <si>
    <t>374</t>
  </si>
  <si>
    <t>9HS65YXB</t>
  </si>
  <si>
    <t>Peters, Glen P.; Andrew, Robbie M.; Solomon, Susan; Friedlingstein, Pierre</t>
  </si>
  <si>
    <t>Measuring a fair and ambitious climate agreement using cumulative emissions</t>
  </si>
  <si>
    <t>10.1088/1748-9326/10/10/105004</t>
  </si>
  <si>
    <t>Policy makers have called for a ‘fair and ambitious' global climate agreement. Scientific$\backslash$nconstraints, such as the allowable carbon emissions to avoid exceeding a 2 °C global warming limit$\backslash$nwith 66% probability, can help define ambitious approaches to climate targets. However, fairly$\backslash$nsharing the mitigation challenge to meet a global target involves human values rather than just$\backslash$nscientific facts. We develop a framework based on cumulative emissions of carbon dioxide to compare$\backslash$nthe consistency of countries' current emission pledges to the ambition of keeping global$\backslash$ntemperatures below 2 °C, and, further, compare two alternative methods of sharing the remaining$\backslash$nemission allowance. We focus on the recent pledges and other official statements of the EU, USA, and$\backslash$nChina. The EU and US pledges are close to a 2 °C level of ambition only if the remaining emission$\backslash$nallowance is distributed based on current emission shares, which is unlikely to be viewed as ‘fair$\backslash$nand ambitious' by others who presently emit less. China's stated emissions target also differs from$\backslash$nmeasures of global fairness, owing to emissions that continue to grow into the 2020s. We find that,$\backslash$ncombined, the EU, US, and Chinese pledges leave little room for other countries to emit CO 2 if a 2$\backslash$n°C limit is the objective, essentially requiring all other countries to move towards per capita$\backslash$nemissions 7 to 14 times lower than the EU, USA, or China by 2030. We argue that a fair and ambitious$\backslash$nagreement for a 2 °C limit that would be globally inclusive and effective in the long term will$\backslash$nrequire stronger mitigation than the goals currently proposed. Given such necessary and$\backslash$nunprecedented mitigation and the current lack of availability of some key technologies, we suggest a$\backslash$nnew diplomatic effort directed at ensuring that the necessary technologies become available in the$\backslash$nnear future.</t>
  </si>
  <si>
    <t>NKR8EBZ7</t>
  </si>
  <si>
    <t>Pfeiffer, Lisa; Gratz, Trevor</t>
  </si>
  <si>
    <t>The effect of rights-based fisheries management on risk taking and fishing safety</t>
  </si>
  <si>
    <t>10.1073/pnas.1509456113</t>
  </si>
  <si>
    <t>2615</t>
  </si>
  <si>
    <t>113</t>
  </si>
  <si>
    <t>VF567WAF</t>
  </si>
  <si>
    <t>Pfaff, Alexander S. P.; Robalino, Juan; Reis, Eustaquio J.; Walker, Robert; Perz, Stephen; Laurance, William; Bohrer, Claudio; Aldrich, Steven; Arima, Eugenio; Caldas, Marcellus; Kirby, Kathryn R.</t>
  </si>
  <si>
    <t>Roads &amp; SDGs, tradeoffs and synergies: Learning from Brazil's Amazon in distinguishing frontiers</t>
  </si>
  <si>
    <t>Economics: The Open-Access, Open-Assessment E-Journal</t>
  </si>
  <si>
    <t>1864-6042</t>
  </si>
  <si>
    <t>10.5018/economics-ejournal.ja.2018-11</t>
  </si>
  <si>
    <t>To reduce SDG tradeoffs in infrastructure provision, and to inform searches for SDG synergies, the authors show that roads' impacts on Brazilian Amazon forests varied significantly across frontiers. Impacts varied predictably with prior development - prior roads and prior deforestation - and, further, in a pattern that suggests a potential synergy for roads between forests and urban growth. For multiple periods of roads investments, the authors estimate forest impacts for high, medium and low prior roads and deforestation. For each setting, census-tract observations are numerous. Results confirm predictions for this kind of frontier of a pattern not consistent with endogeneity, i.e., short-run forest impacts of new roads are: small for relatively high prior development; larger for medium prior development; and small for low prior development (for the latter setting, impacts in such isolated areas could rise over time, depending on interactions with conservation policies). These Amazonian results suggest 'SDG strategic' locations for infrastructure, an idea the authors note for other frontiers while highlighting major differences across frontiers and their SDG opportunities.</t>
  </si>
  <si>
    <t>1-26</t>
  </si>
  <si>
    <t>TMC8QV2Z</t>
  </si>
  <si>
    <t>Pfaff, Alexander; Walker, Robert</t>
  </si>
  <si>
    <t>Regional interdependence and forest "transitions": Substitute deforestation limits the relevance of local reversals</t>
  </si>
  <si>
    <t>02648377</t>
  </si>
  <si>
    <t>10.1016/j.landusepol.2009.07.010</t>
  </si>
  <si>
    <t>Using case studies and concepts we suggest that constraints upon aggregate or global forest transition are significantly more severe than those upon local forest reversals. The basic reason is that one region's reversal can be facilitated by other regions that supply resources and goods, reducing the demands upon the region where forests rise. Many past forest reversals involve such interdependence. For 'facilitating regions' also to rise in forest requires other changes, since they will not be receiving such help. We start by discussing forest-transitions analysis within the context of Environmental Kuznets Curves (EKCs), for a useful typology of possible shifts underlying transitions. We then consider the historical Northeast US where a regional reversal was dramatic and impressive. Yet this depended upon agricultural price shocks, due to the Midwest US supplying food, and also upon the availability of timber from other US regions. Next we consider deforestation in Amaz??nia, whose history (like the Northeast US) suggests a potential local role for urbanization, i.e. spatial concentration of population. Yet inter-regional issues again are crucial. For cattle and soy, expansion of global demands may give to Amazonia a role more like the Midwest than the Northeast US. In addition, across-region interdependencies will help determine where reversal and facilitation occur. Finally we discuss the constraints upon very broad forest transition. ?? 2009 Elsevier Ltd. All rights reserved.</t>
  </si>
  <si>
    <t>S5G9YS9T</t>
  </si>
  <si>
    <t>Pizer, William A.; Sexton, Steven</t>
  </si>
  <si>
    <t>Distributional impacts of energy taxes</t>
  </si>
  <si>
    <t>7LV54IKV</t>
  </si>
  <si>
    <t>Polasky, S.; Lewis, D. J.; Plantinga, A. J.; Nelson, E.</t>
  </si>
  <si>
    <t>Implementing the optimal provision of ecosystem services</t>
  </si>
  <si>
    <t>10.1073/pnas.1404484111</t>
  </si>
  <si>
    <t>http://www.pnas.org/cgi/doi/10.1073/pnas.1404484111</t>
  </si>
  <si>
    <t>Many ecosystem services are public goods whose provision depends on the spatial pattern of land use. The pattern of land use is often determined by the decisions of multiple private landowners. Increasing the provision of ecosystem services, though beneficial for society as a whole, may be costly to private landowners. A regulator interested in providing incentives to landowners for increased provision of ecosystem services often lacks complete information on landowners' costs. The combination of spatially dependent benefits and asymmetric cost information means that the optimal provision of ecosystem services cannot be achieved using standard regulatory or payment for ecosystem services approaches. Here we show that an auction that sets payments between landowners and the regulator for the increased value of ecosystem services with conservation provides incentives for landowners to truthfully reveal cost information, and allows the regulator to implement the optimal provision of ecosystem services, even in the case with spatially dependent benefits and asymmetric information.</t>
  </si>
  <si>
    <t>6248-6253</t>
  </si>
  <si>
    <t>111</t>
  </si>
  <si>
    <t>VYUD55VZ</t>
  </si>
  <si>
    <t>Pokorny, Benno; Pacheco, Pablo</t>
  </si>
  <si>
    <t>Money from and for forests: A critical reflection on the feasibility of market approaches for the conservation of Amazonian forests</t>
  </si>
  <si>
    <t>10.1016/j.jrurstud.2014.09.004</t>
  </si>
  <si>
    <t>The preservation of Amazonian natural forests is of utmost national and international interest. The exploration of market opportunities for the commercialization of forest goods and services has become the prevailing conservation approach. It is likely that the generation of income from forests will motivate forest owners and users to appreciate and use their resources more sustainably. After more than 20 years of applying, adjusting and expanding this approach, this paper critically reflects on its main assumptions, successes and consequences with a special emphasis on the Amazon's natural forests. Over time, three major strategies have been outlined to translate the approach into practice: (1) the management of timber by logging companies in forest concessions, (2) the use of timber and non-timber forest products by smallholders and communities, and (3) the selling of environmental services that forests provide, in particular carbon. The analysis revealed that the commercialization of goods and services from natural forests has indeed the potential to generate income, yet their financial attractiveness is rather limited if compared with other land use options. This seriously affects the probability that forest-related uses at a wider scale will be successful. It also became evident that the legal-institutional framework set up to facilitate economic gains from the forests' commercial potential tended to discriminate against traditional forest users who, due to disparate reasons, would be willing to accept the modest financial returns from managing natural forests in commercial ways. It is discussed that the feasibility of market approaches, in contrast to the assumptions of free market environmentalism, depends on effective measures to strengthen the role and market position of local forest users and on initiatives from firms to invest in the establishment of more sustainable commodities even when a reduction in profits are a possibility.</t>
  </si>
  <si>
    <t>2014-10</t>
  </si>
  <si>
    <t>441-452</t>
  </si>
  <si>
    <t>BJNCZKNV</t>
  </si>
  <si>
    <t>Porras, Ina; Grieg-gran, Maryanne; Neves, Nanete</t>
  </si>
  <si>
    <t>All that glitters: A review of payments for watershed services in developing countries</t>
  </si>
  <si>
    <t>J2A275RL</t>
  </si>
  <si>
    <t>Popp, David; Newell, Richard G.; Jaffe, Adam B.</t>
  </si>
  <si>
    <t>Energy, the environment, and technological change</t>
  </si>
  <si>
    <t>Handbook of the Economics of Innovation</t>
  </si>
  <si>
    <t>22108807</t>
  </si>
  <si>
    <t>10.1016/S0169-7218(10)02005-8</t>
  </si>
  <si>
    <t>Within the field of environmental economics, the role of technological change has received much attention. The long-term nature of many environmental problems, such as climate change, makes understanding the evolution of technology an important part of projecting future impacts. Moreover, in many cases, environmental problems cannot be addressed, or can only be addressed at great cost, using existing technologies. Providing incentives to develop new environmentally friendly technologies then becomes a focus of environmental policy. This chapter reviews the literature on technological change and the environment. Our goals are to introduce technological change economists to how the lessons of the economics of technological change have been applied in the field of environmental economics, and suggest ways in which scholars of technological change could contribute to the field of environmental economics. ?? 2010 Elsevier B.V.</t>
  </si>
  <si>
    <t>QZJMHDPU</t>
  </si>
  <si>
    <t>Popkin, Barry M.; Adair, Linda S.; Ng, Shu Wen</t>
  </si>
  <si>
    <t>Global nutrition transition and the pandemic of obesity in developing countries</t>
  </si>
  <si>
    <t>Nutrition Reviews</t>
  </si>
  <si>
    <t>00296643</t>
  </si>
  <si>
    <t>10.1111/j.1753-4887.2011.00456.x</t>
  </si>
  <si>
    <t>Decades ago, discussion of an impending global pandemic of obesity was thought of as heresy. But in the 1970s, diets began to shift towards increased reliance upon processed foods, increased away-from-home food intake, and increased use of edible oils and sugar-sweetened beverages. Reductions in physical activity and increases in sedentary behavior began to be seen as well. The negative effects of these changes began to be recognized in the early 1990s, primarily in low- and middle-income populations, but they did not become clearly acknowledged until diabetes, hypertension, and obesity began to dominate the globe. Now, rapid increases in the rates of obesity and overweight are widely documented, from urban and rural areas in the poorest countries of sub-Saharan Africa and South Asia to populations in countries with higher income levels. Concurrent rapid shifts in diet and activity are well documented as well. An array of large-scale programmatic and policy measures are being explored in a few countries; however, few countries are engaged in serious efforts to prevent the serious dietary challenges being faced.</t>
  </si>
  <si>
    <t>GRLVUSCT</t>
  </si>
  <si>
    <t>Pokorny, Benno</t>
  </si>
  <si>
    <t>Smallholders, forest management and rural development in the Amazon</t>
  </si>
  <si>
    <t>GKMA8E6L</t>
  </si>
  <si>
    <t>Tax policy to combat global warming: on designing a carbon tax</t>
  </si>
  <si>
    <t>CSUSB9CS</t>
  </si>
  <si>
    <t>Olson, Julia</t>
  </si>
  <si>
    <t>Understanding and contextualizing social impacts from the privatization of fisheries: An overview</t>
  </si>
  <si>
    <t>Ocean and Coastal Management</t>
  </si>
  <si>
    <t>10.1016/j.ocecoaman.2011.02.002</t>
  </si>
  <si>
    <t>Fisheries management around the world has experimented with regulations to promote privatization, in order to reach such multifaceted goals as ending overfishing and reducing economic inefficiencies. This review surveys a wide range of empirical experiences in different contexts around the world to help provide a fuller picture of potential and sometimes disparate consequences from privatization in general and new ways of organizing around fishing that can follow in the wake of such measures. Looking at the many different participants in the fishing industry-from crew, small-boat owners, to households and communities-as well as the diverse sociocultural contexts in which fishing takes place, enables a better understanding of who and what is impacted, how they are impacted, why and with what further consequences, such that communities come to be seen less oppositional to economy, but rather constituted by multiple scalar processes and by economic relations comprising different motivations and behaviors. ?? 2011.</t>
  </si>
  <si>
    <t>353-363</t>
  </si>
  <si>
    <t>54</t>
  </si>
  <si>
    <t>DURNUWU4</t>
  </si>
  <si>
    <t>Olivier, Jos; Janssens-Maenhout, Greet; Muntean, Marilena; Peters, Jeroen</t>
  </si>
  <si>
    <t>Trends in global CO 2 emissions: 2015 Report</t>
  </si>
  <si>
    <t>8AH647FX</t>
  </si>
  <si>
    <t>Oliver, Melvin L.; Shapiro, Thomas M.</t>
  </si>
  <si>
    <t>Black wealth, white wealth : a new perspective on racial inequality</t>
  </si>
  <si>
    <t>0-415-95167-4</t>
  </si>
  <si>
    <t>10th anniversary ed. Race, wealth, and equality – A sociology of wealth and race inequality – Studying wealth – Wealth and inequality in America – A story of two nations : race and wealth – The structuring of racial inequality in American life – Getting along: renewing America's commitment to racial justice – Epilogue : Changing context of black wealth/white wealth : 1995 to 2005 – Wealth inequality trends – The emergence of asset-based policy.</t>
  </si>
  <si>
    <t>Taylor and Francis</t>
  </si>
  <si>
    <t>4TIGBVMA</t>
  </si>
  <si>
    <t>Ongondo, F. O.; Williams, I. D.; Cherrett, T. J.</t>
  </si>
  <si>
    <t>Waste Management</t>
  </si>
  <si>
    <t>0956053X</t>
  </si>
  <si>
    <t>This paper presents and critically analyses the current waste electrical and electronic equipment (WEEE) management practices in various countries and regions. Global trends in (i) the quantities and composition of WEEE; and (ii) the various strategies and practices adopted by selected countries to handle, regulate and prevent WEEE are comprehensively examined. The findings indicate that for (i), the quantities of WEEE generated are high and/or on the increase. IT and telecommunications equipment seem to be the dominant WEEE being generated, at least in terms of numbers, in Africa, in the poorer regions of Asia and in Latin/South America. However, the paper contends that the reported figures on quantities of WEEE generated may be grossly underestimated. For (ii), with the notable exception of Europe, many countries seem to be lacking or are slow in initiating, drafting and adopting WEEE regulations. Handling of WEEE in developing countries is typified by high rate of repair and reuse within a largely informal recycling sector. In both developed and developing nations, the landfilling of WEEE is still a concern. It has been established that stockpiling of unwanted electrical and electronic products is common in both the USA and less developed economies. The paper also identifies and discusses four common priority areas for WEEE across the globe, namely: (i) resource depletion; (ii) ethical concerns; (iii) health and environmental issues; and (iv) WEEE takeback strategies. Further, the paper discusses the future perspectives on WEEE generation, treatment, prevention and regulation. Four key conclusions are drawn from this review: global amounts of WEEE will continue unabated for some time due to emergence of new technologies and affordable electronics; informal recycling in developing nations has the potential of making a valuable contribution if their operations can be changed with strict safety standards as a priority; the pace of initiating and enacting WEEE specific legislation is very slow across the globe and in some cases non-existent; and globally, there is need for more accurate and current data on amounts and types of WEEE generated. © 2010 Elsevier Ltd.</t>
  </si>
  <si>
    <t>714-730</t>
  </si>
  <si>
    <t>BZL3SG29</t>
  </si>
  <si>
    <t>Padilla, Emilio</t>
  </si>
  <si>
    <t>Intergenerational equity and sustainability</t>
  </si>
  <si>
    <t>10.1016/S0921-8009(02)00026-5</t>
  </si>
  <si>
    <t>This paper explores the limitations of conventional economic analysis of intergenerational problems and examines some of the alternatives suggested in the literature. It is argued that proper consideration of future generations has at least three requirements. First, when future costs and benefits are considered, it should be taken into account that they are to be enjoyed by different generations. Second, the sustainability requirement should be adopted. This represents an equity commitment to the future and implies the recognition that future generations have the right to nondeteriorated ecological and economic capacity. The paper studies the ways in which the recognition of these rights might be incorporated into economic evaluation and management. Third, an appropriate institutional network to enforce the recognition of these rights in decision-making processes should be constituted. Its design and necessary functions are also analyzed. © 2002 Elsevier Science B.V. All rights reserved.</t>
  </si>
  <si>
    <t>69-83</t>
  </si>
  <si>
    <t>99S8LNA2</t>
  </si>
  <si>
    <t>Collective Action and the Evolution of Social Norms</t>
  </si>
  <si>
    <t>Journal of Economic Perspectives</t>
  </si>
  <si>
    <t>0895-3309</t>
  </si>
  <si>
    <t>10.1257/jep.14.3.137</t>
  </si>
  <si>
    <t>137-158</t>
  </si>
  <si>
    <t>14</t>
  </si>
  <si>
    <t>5A36GATC</t>
  </si>
  <si>
    <t>Ornes, Stephen</t>
  </si>
  <si>
    <t>Core Concept: How does climate change influence extreme weather? Impact attribution research seeks answers</t>
  </si>
  <si>
    <t>10.1073/pnas.1811393115</t>
  </si>
  <si>
    <t>8232-8235</t>
  </si>
  <si>
    <t>115</t>
  </si>
  <si>
    <t>SCCFY4E4</t>
  </si>
  <si>
    <t>Olson, Mancur</t>
  </si>
  <si>
    <t>The Logic of Collective Action: Public Goods and the Theory of Groups</t>
  </si>
  <si>
    <t>0-674-04166-6</t>
  </si>
  <si>
    <t>1965</t>
  </si>
  <si>
    <t>8N2DE44K</t>
  </si>
  <si>
    <t>Governing the commons : the evolution of institutions for collective action</t>
  </si>
  <si>
    <t>978-1-107-56978-2</t>
  </si>
  <si>
    <t>Awards: Nobel Prize, 2009. Nobel Prize, 2009. The governance of natural resources used by many individuals in common is an issue of increasing concern to policy analysts. Both state control and privatization of resources have been advocated, but neither the state nor the market have been uniformly successful in solving common pool resource problems. After critiquing the foundations of policy analysis as applied to natural resources, Elinor Ostrom here provides a unique body of empirical data to explore conditions under which common pool resource problems have been satisfactorily or unsatisfactorily solved. Dr Ostrom uses institutional analysis to explore different ways - both successful and unsuccessful - of governing the commons. In contrast to the proposition of the 'tragedy of the commons' argument, common pool problems sometimes are solved by voluntary organizations rather than by a coercive state. Among the cases considered are communal tenure in meadows and forests, irrigation communities and other water rights, and fisheries– Series editors' preface – Preface – Reflections on the commons – An institutional approach to the study of self-organization and self-governance in CPR situations – Analyzing long-enduring, self-organized, and self-governed CPRs – Analyzing institutional change – Analyzing institutional failures and fragilities – A framework for analysis of self-organizing and self-governing CPRs – Notes – References – Index.</t>
  </si>
  <si>
    <t>B3W9P3M9</t>
  </si>
  <si>
    <t>Orgill, Jennifer; Shaheed, Ameer; Brown, Joe; Jeuland, Marc</t>
  </si>
  <si>
    <t>Water quality perceptions and willingness to pay for clean water in peri-urban Cambodian communities</t>
  </si>
  <si>
    <t>Journal of water and health</t>
  </si>
  <si>
    <t>1477-8920</t>
  </si>
  <si>
    <t>10.2166/wh.2013.212</t>
  </si>
  <si>
    <t>This paper studies household demand for improved water quality in peri-urban Cambodia, with particular attention paid to the influence of water quality on willingness to pay (WTP). Utilizing data from 915 household surveys, we analyze responses to a contingent valuation scenario using multivariate logit regression techniques that account for subjective perceptions of water quality. We estimate a mean household WTP for improved water quality of US$3 (roughly 1.2% of mean income) per month for households in this sample. We also find that the majority of households believe that their in-house water after storage, handling, and treatment is safe to drink. Furthermore, beliefs about existing levels of water quality have a significant impact on WTP for improved water quality. However, while perceptions of quality (and thus WTP) are highly related to taste preferences, actual water quality is relatively uncorrelated with water quality perceptions. These findings suggest that interventions aiming to increase the adoption of water treatment should account for underlying perceptions of water quality.</t>
  </si>
  <si>
    <t>2013-09</t>
  </si>
  <si>
    <t>489-506</t>
  </si>
  <si>
    <t>2IUU4KB7</t>
  </si>
  <si>
    <t>Pfaff, Alexander; Robalino, Juan; Herrera, Diego; Sandoval, Catalina</t>
  </si>
  <si>
    <t>Protected Areas' Impacts on Brazilian Amazon Deforestation: Examining Conservation – Development Interactions to Inform Planning</t>
  </si>
  <si>
    <t>10.1371/journal.pone.0129460</t>
  </si>
  <si>
    <t>https://dx.plos.org/10.1371/journal.pone.0129460</t>
  </si>
  <si>
    <t>Protected areas are the leading forest conservation policy for species and ecoservices goals and they may feature in climate policy if countries with tropical forest rely on familiar tools. For Brazil's Legal Amazon, we estimate the average impact of protection upon deforestation and show how protected areas' forest impacts vary significantly with development pressure. We use matching, i.e., comparisons that are apples-to-apples in observed land characteristics, to address the fact that protected areas (PAs) tend to be located on lands facing less pressure. Correcting for that location bias lowers our estimates of PAs' forest impacts by roughly half. Further, it reveals significant variation in PA impacts along development-related dimensions: for example, the PAs that are closer to roads and the PAs closer to cities have higher impact. Planners have multiple conservation and development goals, and are constrained by cost, yet still conservation planning should reflect what our results imply about future impacts of PAs.</t>
  </si>
  <si>
    <t>2015-07</t>
  </si>
  <si>
    <t>e0129460</t>
  </si>
  <si>
    <t>NIY34EGE</t>
  </si>
  <si>
    <t>Pfaff, Alexander; Robalino, Juan; Reis, Eustaquio J.; Walker, Robert; Perz, Stephen; Laurance, W. F.; Bohrer, C.; Aldrich, Steven; Arima, Eugenio Y.; Caldas, Marcellus; Kirby, Katherine</t>
  </si>
  <si>
    <t>Can strategically locating roads 'clean' development? Roads' heterogeneous impacts on the Brazilian Amazon forest frontier</t>
  </si>
  <si>
    <t>EDFQVCYN</t>
  </si>
  <si>
    <t>Anthon, Signe; Garcia, Serge; Stenger, Anne</t>
  </si>
  <si>
    <t>Incentive contracts for Natura 2000 implementation in forest areas</t>
  </si>
  <si>
    <t>10.1007/s10640-009-9341-1</t>
  </si>
  <si>
    <t>2022-09-23 09:05:53</t>
  </si>
  <si>
    <t>2022-09-23T09:05:53Z</t>
  </si>
  <si>
    <t>281-302</t>
  </si>
  <si>
    <t>LM5WUFXH</t>
  </si>
  <si>
    <t>Arduino, Serena; Colombo, Giorgio; Ocampo, Ofelia Maria; Panzeri, Luca</t>
  </si>
  <si>
    <t>Contamination of community potable water from land grabbing: A case study from rural Tanzania</t>
  </si>
  <si>
    <t>Water Alternatives</t>
  </si>
  <si>
    <t>19650175</t>
  </si>
  <si>
    <t>This paper discusses a large-scale land deal which resulted in the contamination of water sources in the Iringa region of Tanzania, and the negotiation process which followed. An area of 1400 ha was rented to investors for agriculture and livestock-keeping. These activities caused contamination of the water sources which feed a water supply scheme managed by a downstream local community and serving a population of 45,000. While there are mechanisms within Tanzanian law to limit potentially polluting activities, establish protected zones around water sources and empower water user organisations to exercise control over activities that damage the quality of water, in practice, in the Iringa region, these were not effective as many procedures were not followed. This paper examines the cause of this, the effect that these failures had on downstream access to safe drinking water and the subsequent (largely successful) process of correcting the damage done. The paper discusses the direct causes of water contamination (the use of fertilisers and pesticides and the presence of cattle) and the indirect causes (unclear administrative boundaries, lack of participation and transparency, procedures not followed and limited resources). The negotiation process and its outcomes are described. From this study we conclude that stakeholder communication and transparency are key elements in anticipating and preventing the arising of such situations. Often, these are in short supply when large land deals occur. In this case, ex-post solutions were arrived at. Finally, the paper looks at the broader dimensions of land deals that pollute the water feeding a water supply scheme. Such situations are a clear violation of the human right to safe drinking water – an issue that has not yet been sufficiently documented in the literature and which merits further attention. KEYWORDS:</t>
  </si>
  <si>
    <t>344-359</t>
  </si>
  <si>
    <t>CIQYX7V9</t>
  </si>
  <si>
    <t>Armsworth, Paul R.; Acs, Szvetlana; Dallimer, Martin; Gaston, Kevin J.; Hanley, Nick; Wilson, Paul</t>
  </si>
  <si>
    <t>The cost of policy simplification in conservation incentive programs: The cost of policy simplification in AES</t>
  </si>
  <si>
    <t>Ecology Letters</t>
  </si>
  <si>
    <t>1461023X</t>
  </si>
  <si>
    <t>10.1111/j.1461-0248.2012.01747.x</t>
  </si>
  <si>
    <t>https://onlinelibrary.wiley.com/doi/10.1111/j.1461-0248.2012.01747.x</t>
  </si>
  <si>
    <t>2022-09-23 06:29:50</t>
  </si>
  <si>
    <t>2022-09-23T06:29:50Z</t>
  </si>
  <si>
    <t>406-414</t>
  </si>
  <si>
    <t>The cost of policy simplification in conservation incentive programs</t>
  </si>
  <si>
    <t>WZVH8V85</t>
  </si>
  <si>
    <t>Armitage, D.R.; Berkes, F.; Doubleday, N.C.</t>
  </si>
  <si>
    <t>Adaptive Co-Management: Collaboration, Learning, and Multi-Level Governance</t>
  </si>
  <si>
    <t>2022-09-23 06:29:46</t>
  </si>
  <si>
    <t>2022-09-23T06:29:46Z</t>
  </si>
  <si>
    <t>University of British Columbia Press</t>
  </si>
  <si>
    <t>88XCFL5I</t>
  </si>
  <si>
    <t>Ansell, Chris; Gash, Alison</t>
  </si>
  <si>
    <t>Collaborative Governance in Theory and Practice</t>
  </si>
  <si>
    <t>Journal of Public Administration Research and Theory</t>
  </si>
  <si>
    <t>1053-1858</t>
  </si>
  <si>
    <t>10.1093/jopart/mum032</t>
  </si>
  <si>
    <t>https://academic.oup.com/jpart/article-lookup/doi/10.1093/jopart/mum032</t>
  </si>
  <si>
    <t>Over the past few decades, a new form of governance has emerged to replace adversarial and managerial modes of policy making and implementation. Collaborative governance, as it has come to be known, brings public and private stakeholders together in collective forums with public agencies to engage in consensus-oriented decision making. In this article, we conduct a meta-analytical study of the existing literature on collaborative governance with the goal of elaborating a contingency model of collaborative governance. After reviewing 137 cases of collaborative governance across a range of policy sectors, we identify critical variables that will influence whether or not this mode of governance will produce successful collaboration. These variables include the prior history of conflict or cooperation, the incentives for stakeholders to participate, power and resources imbalances, leadership, and institutional design. We also identify a series of factors that are crucial within the collaborative process itself. These factors include face-to-face dialogue, trust building, and the development of commitment and shared understanding. We found that a virtuous cycle of collaboration tends to develop when collaborative forums focus on “small wins” that deepen trust, commitment, and shared understanding. The article concludes with a discussion of the implications of our contingency model for practitioners and for future research on collaborative governance.</t>
  </si>
  <si>
    <t>543-571</t>
  </si>
  <si>
    <t>VTGZUKED</t>
  </si>
  <si>
    <t>Anseeuw, W.; Boche, M.; Breu, T.; Giger, M.; Lay, J.; Messerli, P.; Nolte, K.</t>
  </si>
  <si>
    <t>Transnational Land Deals for Agriculture in the Global South Analytical Report based on the Land Matrix Database</t>
  </si>
  <si>
    <t>https://landmatrix.org/stay-informed/transnational-land-deals-agriculture-global-south-analytical-report-based-land-matrix-database/</t>
  </si>
  <si>
    <t>2019-11-06 11:03:07</t>
  </si>
  <si>
    <t>CDE/CIRAD/GIGA</t>
  </si>
  <si>
    <t>Bern/Montpellier/Hamburg</t>
  </si>
  <si>
    <t>X6MJQCCZ</t>
  </si>
  <si>
    <t>Arango, Joaquín</t>
  </si>
  <si>
    <t>Theories of international migration</t>
  </si>
  <si>
    <t>International migration in the new millennium</t>
  </si>
  <si>
    <t>25-45</t>
  </si>
  <si>
    <t>JQN42CLU</t>
  </si>
  <si>
    <t>Antweiler, Werner; Copeland, Brian R.; Taylor, M. Scott</t>
  </si>
  <si>
    <t>Is Free Trade Good for the Environment?</t>
  </si>
  <si>
    <t>0002-8282</t>
  </si>
  <si>
    <t>10.1257/aer.91.4.877</t>
  </si>
  <si>
    <t>http://pubs.aeaweb.org/doi/10.1257/aer.91.4.877</t>
  </si>
  <si>
    <t>2001-09</t>
  </si>
  <si>
    <t>877-908</t>
  </si>
  <si>
    <t>F9PR4FFJ</t>
  </si>
  <si>
    <t>Arnold, J. E. Michael; Köhlin, Gunnar; Persson, Reidar</t>
  </si>
  <si>
    <t>Woodfuels, livelihoods, and policy interventions: Changing Perspectives</t>
  </si>
  <si>
    <t>10.1016/j.worlddev.2005.08.008</t>
  </si>
  <si>
    <t>In the 1970s, it appeared that fuelwood use was growing rapidly, and this could have major adverse impacts on the resource and poor users. By the mid-1980s, revised assessments indicated that there was less of a problem than had been foreseen, and much less of a need for forestry interventions to maintain supplies. As a result many of the latter were sharply scaled back. Additional information and analysis that has become available since the 1980s support the view that there is no need for large scale interventions devoted just to provision of fuelwood. However, declining access to supplies or markets can raise significant problems in some areas, and for particular categories of user. Growing urban demand for charcoal can also cause local problems, in particular in Africa. The potentials for appropriate forms of intervention are discussed. ?? 2005 Elsevier Ltd. All rights reserved.</t>
  </si>
  <si>
    <t>JCGGCV2W</t>
  </si>
  <si>
    <t>Arezki, Rabah; Samama, Frederic; Peters, Sanjay; Stiglitz, Joseph; Bolton, Patrick</t>
  </si>
  <si>
    <t>From Global Savings Glut to Financing Infrastructure: The Advent of Investment Platforms</t>
  </si>
  <si>
    <t>This paper investigates the emerging global landscape for public-private co-investments in infrastructure. The creation of the Asian Infrastructure Investment Bank and other so-called “infrastructure investment platforms” are an attempt to tap into the pool of both public and private long-term savings in order to channel the latter into much needed infrastructure projects. This paper puts these new initiatives into perspective by critically reviewing the literature and experience with public private partnerships in infrastructure. It concludes by identifying the main challenges policy makers and other actors will need to confront going forward and to turn infrastructure into an asset class of its own.</t>
  </si>
  <si>
    <t>IWMYCBG3</t>
  </si>
  <si>
    <t>Bowles, Samuel; Gintis, Herbert</t>
  </si>
  <si>
    <t>Social capital and community governance</t>
  </si>
  <si>
    <t>The economic journal</t>
  </si>
  <si>
    <t>10.1111/1468-0297.00077</t>
  </si>
  <si>
    <t>2022-09-23 09:11:12</t>
  </si>
  <si>
    <t>2022-09-23T09:11:12Z</t>
  </si>
  <si>
    <t>S4WSEF74</t>
  </si>
  <si>
    <t>Breslow, Sara Jo; Holland, Dan; Levin, Phil; Norman, Karma; Poe, Melissa; Thomson, Cindy; Barnea, Raz; Dalton, Penny; Dolsak, Nives; Greene, Correigh; Hoelting, Kristin; Kasperski, Stephen; Kosaka, Rosemary; Ladd, Daniel; Mamula, Aaron; Miller, Stacey; Sojka, Brit; Speir, Cameron; Steinbeck, Scott; Tolimieri, Nick</t>
  </si>
  <si>
    <t>Human Dimensions of the CCIEA: A Summary of Concepts, Methods, Indicators, and Assessments</t>
  </si>
  <si>
    <t>https://swfsc.noaa.gov/publications/CR/2014/2014Breslow.pdf</t>
  </si>
  <si>
    <t>2022-09-23 09:05:47</t>
  </si>
  <si>
    <t>2022-09-23T09:05:47Z</t>
  </si>
  <si>
    <t>ADUFSFJZ</t>
  </si>
  <si>
    <t>Breton, Yvan; Benazera, Clara; Plante, Steve; Cavanagh, Julie</t>
  </si>
  <si>
    <t>Fisheries management and the Colonias in Brazil: A case study of a top-down producers' organization</t>
  </si>
  <si>
    <t>2022-09-23 09:05:18</t>
  </si>
  <si>
    <t>2022-09-23T09:05:18Z</t>
  </si>
  <si>
    <t>XGKUP6Z9</t>
  </si>
  <si>
    <t>Brancalion, Pedro H. S.; Cardozo, Ines Villarroel; Camatta, Allan; Aronson, James; Rodrigues, Ricardo R.</t>
  </si>
  <si>
    <t>Cultural ecosystem services and popular perceptions of the benefits of an ecological restoration project in the Brazilian Atlantic Forest</t>
  </si>
  <si>
    <t>Restoration ecology</t>
  </si>
  <si>
    <t>10.1111/rec.12025</t>
  </si>
  <si>
    <t>2022-09-23 09:04:02</t>
  </si>
  <si>
    <t>2022-09-23T09:04:02Z</t>
  </si>
  <si>
    <t>65-71</t>
  </si>
  <si>
    <t>X9MN64BZ</t>
  </si>
  <si>
    <t>Bradshaw, Corey J. A.; Sodhi, Nayjot S.; Brook, Barry W.</t>
  </si>
  <si>
    <t>Tropical turmoil: A biodiversity tragedy in progress</t>
  </si>
  <si>
    <t>79-87</t>
  </si>
  <si>
    <t>J3IW9N2R</t>
  </si>
  <si>
    <t>Bray, David B.; Merino-Pérez, Leticia</t>
  </si>
  <si>
    <t>La experiencia de las comunidades forestales en México: veinticinco años de silvicultura y constucción de empresas forestales comunitarias</t>
  </si>
  <si>
    <t>Instituto Nacional de Ecolog{$\backslash$'$\backslash$i}a</t>
  </si>
  <si>
    <t>58HK3RVK</t>
  </si>
  <si>
    <t>Brandt, Sylvia</t>
  </si>
  <si>
    <t>The equity debate: Distributional impacts of individual transferable quotas</t>
  </si>
  <si>
    <t>10.1016/j.ocecoaman.2004.12.012</t>
  </si>
  <si>
    <t>The twin goals of economic efficiency and social equity often seem at odds, particularly in the debate over two marine policy approaches: firm-level regulation of inputs and outputs ("command and control") and individual transferable quotas. This paper examines the debate over social equity in a US fishery that transitioned from command and control to individual transferable quotas - the mid-Atlantic clam fishery. The analysis draws on 17 years of data on fishing trips, vessel ownership, tradable property rights ownership, and output market shares. The results show that no segment of the industry was disproportionately adversely affected by the regulatory change; however, they also demonstrate the emergence of a new sector in the industry, which is predominantly made up of former small-scale harvesters. ?? 2005 Elsevier Ltd. All rights reserved.</t>
  </si>
  <si>
    <t>15-30</t>
  </si>
  <si>
    <t>CI6FETPE</t>
  </si>
  <si>
    <t>Brandon, Katrina</t>
  </si>
  <si>
    <t>Ecotourism and conservation: A review of key issues</t>
  </si>
  <si>
    <t>2JKQ5KQZ</t>
  </si>
  <si>
    <t>Brainerd, T. R.</t>
  </si>
  <si>
    <t>Artisanal Fisheries Development in Guinea Bissau</t>
  </si>
  <si>
    <t>Monitoring and Evaluating the Impacts of Small-Scale Fishery Projects</t>
  </si>
  <si>
    <t>112</t>
  </si>
  <si>
    <t>ICMRD</t>
  </si>
  <si>
    <t>Pollnac, Richard B.</t>
  </si>
  <si>
    <t>9AZT73E2</t>
  </si>
  <si>
    <t>Brack, D.; Hayman, G.</t>
  </si>
  <si>
    <t>Intergovernmental actions on illegal logging: options for intergovernmental action to help combat illegal logging and illegal trade in timber and forest products</t>
  </si>
  <si>
    <t>This report presents a brief overview of the range of options for intergovernmental action to help combat illegal logging and trade in illegal timber and forest products. Actions by individual producer and consumer governments could be complemented by international collaboration. Many of the options listed could be phased; and are also not mutually exclusive.Producer country measures - This section presents a range of options for dealing with illegal behaviour at source in producing and exporting countries. These include:Reform of legislation to include clear definition of illegal activities, effective deterrents, streamlined taxation and better economic intelligence to improve tax revenues.Improved industry regulation - open, transparent bidding for concessions, restricted allocation of processing licences to reduce over-capacity; clearly designated liability and performance incentives; the development of professional ethics, the reform of inward investment laws, and restrictions on export points.Enhanced enforcement - the establishment of specialised enforcement units, strengthening of resources, improved information and tracking, the use of novel enforcement methodologies such as markers and satellite imaging, and a more systematic approach to intelligence gathering including the use of NGOs.Investment in alternative employment opportunities and small-scale and community-based initiatives; improved planning for domestic requirements for timber and the use of positive incentives for compliance. Consumer country measures -Consumer/importer countries, either by themselves or in groups (such as the G8), can introduce a range of measures. These depend, however, on some system for identification of illegal products, which needs be developed with producer countries within a bilateral, regional or global framework. Options include:Enhanced border controls for illegal products, and legislation to allow the prohibition of illegally-sourced timber and products.Tariff reductions linked to timber production demonstrating compliance with particular standards.Government procurement policies to improve purchasing practices including requirements for chain-of-custody documentation.Encouragement for market-based instruments such as labelling and certification, particularly where they include requirements for chain-of-custody documentation; investigation of measures to avoid misleading ‘green claims'; and encouragement for investors to require enhanced information f\ldots</t>
  </si>
  <si>
    <t>Chatham House [Royal Institute of International Affairs], UK</t>
  </si>
  <si>
    <t>KG3NGWPZ</t>
  </si>
  <si>
    <t>Myers, Teresa A.; Nisbet, Matthew C.; Maibach, Edward W.; Leiserowitz, Anthony A.</t>
  </si>
  <si>
    <t>A public health frame arouses hopeful emotions about climate change</t>
  </si>
  <si>
    <t>Climatic change</t>
  </si>
  <si>
    <t>10.1007/s10584-012-0513-6</t>
  </si>
  <si>
    <t>2022-09-23 09:13:24</t>
  </si>
  <si>
    <t>2022-09-23T09:13:24Z</t>
  </si>
  <si>
    <t>1105-1112</t>
  </si>
  <si>
    <t>GI9I649W</t>
  </si>
  <si>
    <t>Midlarsky, Manus I.</t>
  </si>
  <si>
    <t>Democracy and the environment: an empirical assessment</t>
  </si>
  <si>
    <t>10.1177/0022343398035003005</t>
  </si>
  <si>
    <t>2022-09-23 09:12:45</t>
  </si>
  <si>
    <t>2022-09-23T09:12:45Z</t>
  </si>
  <si>
    <t>341-361</t>
  </si>
  <si>
    <t>XXDN59CF</t>
  </si>
  <si>
    <t>Nasi, R.; Taber, A.; Vliet, N. Van</t>
  </si>
  <si>
    <t>Empty forests, empty stomachs? Bushmeat and livelihoods in the Congo and Amazon Basins</t>
  </si>
  <si>
    <t>International Forestry Review</t>
  </si>
  <si>
    <t>10.1505/146554811798293872</t>
  </si>
  <si>
    <t>2022-09-23 09:12:36</t>
  </si>
  <si>
    <t>2022-09-23T09:12:36Z</t>
  </si>
  <si>
    <t>355-368</t>
  </si>
  <si>
    <t>I3M4YAX5</t>
  </si>
  <si>
    <t>Morello-Frosch, Rachel; Pastor, Manuel; Sadd, James</t>
  </si>
  <si>
    <t>Environmental justice and Southern California's “riskscape” the distribution of air toxics exposures and health risks among diverse communities</t>
  </si>
  <si>
    <t>10.1177/10780870122184993</t>
  </si>
  <si>
    <t>2022-09-23 09:12:34</t>
  </si>
  <si>
    <t>2022-09-23T09:12:34Z</t>
  </si>
  <si>
    <t>551-578</t>
  </si>
  <si>
    <t>HS8YC3KI</t>
  </si>
  <si>
    <t>Nyaga, J.; Barrios, E.; Muthuri, C. W.; Öborn, I.; Matiru, V.; Sinclair, F. L.</t>
  </si>
  <si>
    <t>Evaluating factors influencing heterogeneity in agroforestry adoption and practices within smallholder farms in Rift Valley, Kenya</t>
  </si>
  <si>
    <t>Agriculture, Ecosystems &amp; Environment</t>
  </si>
  <si>
    <t>10.1016/j.agee.2015.06.013</t>
  </si>
  <si>
    <t>2022-09-23 09:12:29</t>
  </si>
  <si>
    <t>2022-09-23T09:12:29Z</t>
  </si>
  <si>
    <t>106-118</t>
  </si>
  <si>
    <t>212</t>
  </si>
  <si>
    <t>56Z4YBGH</t>
  </si>
  <si>
    <t>Murguía, Diego I.; Bringezu, Stefan; Schaldach, Rüdiger</t>
  </si>
  <si>
    <t>Global direct pressures on biodiversity by large-scale metal mining: Spatial distribution and implications for conservation</t>
  </si>
  <si>
    <t>Journal of environmental management</t>
  </si>
  <si>
    <t>10.1016/j.jenvman.2016.05.040</t>
  </si>
  <si>
    <t>2022-09-23 09:12:17</t>
  </si>
  <si>
    <t>2022-09-23T09:12:17Z</t>
  </si>
  <si>
    <t>409-420</t>
  </si>
  <si>
    <t>180</t>
  </si>
  <si>
    <t>7SCFH77J</t>
  </si>
  <si>
    <t>Nietschmann, Bernard</t>
  </si>
  <si>
    <t>Hunting and fishing focus among the Miskito Indians, eastern Nicaragua</t>
  </si>
  <si>
    <t>10.1007/BF01791280</t>
  </si>
  <si>
    <t>1972</t>
  </si>
  <si>
    <t>2022-09-23 09:12:02</t>
  </si>
  <si>
    <t>2022-09-23T09:12:02Z</t>
  </si>
  <si>
    <t>41-67</t>
  </si>
  <si>
    <t>QKWAMMZ7</t>
  </si>
  <si>
    <t>Michie, M.</t>
  </si>
  <si>
    <t>Why Indigenous science should be included in the school science curriculum</t>
  </si>
  <si>
    <t>Australian Science Teachers Journal</t>
  </si>
  <si>
    <t>2022-09-23 09:10:25</t>
  </si>
  <si>
    <t>2022-09-23T09:10:25Z</t>
  </si>
  <si>
    <t>36-40</t>
  </si>
  <si>
    <t>48</t>
  </si>
  <si>
    <t>GIIFL5K3</t>
  </si>
  <si>
    <t>Monroe, Martha C.</t>
  </si>
  <si>
    <t>Two Avenues for Encouraging Conservation Behaviors</t>
  </si>
  <si>
    <t>Human Ecology Review</t>
  </si>
  <si>
    <t>10744827, 22040919</t>
  </si>
  <si>
    <t>Environmental organizations and natural resource agencies often seek education and communication strategies to encourage effective conservation behaviors. This paper extends the discussion from the Conservation Psychology Dialogue in May 2002 to define two broad avenues for activities that may nudge individuals and society toward more responsible environmental behaviors: the specific route of changing behavior with social marketing tools and the general route of cultivating environmental literacy through educational programs. A review of the research literature identifies some of the factors that encourage targeted behaviors and factors that contribute to environmental literacy. Strategies related to implementing programs in both areas are offered. Behavior change strategies include: ways of tailoring a message to the audience, types of information to provide, and methods for creating commitment. Ideas for how to promote environmental literacy can be found in research concerning significant life experiences and environment-based education.</t>
  </si>
  <si>
    <t>2022-09-23 09:10:04</t>
  </si>
  <si>
    <t>2022-09-23T09:10:04Z</t>
  </si>
  <si>
    <t>113-125</t>
  </si>
  <si>
    <t>VBISIH8C</t>
  </si>
  <si>
    <t>Naess, Arne</t>
  </si>
  <si>
    <t>The shallow and the deep, long-range ecology movement. A summary</t>
  </si>
  <si>
    <t>Inquiry</t>
  </si>
  <si>
    <t>10.1080/00201747308601682</t>
  </si>
  <si>
    <t>2022-09-23 09:09:35</t>
  </si>
  <si>
    <t>2022-09-23T09:09:35Z</t>
  </si>
  <si>
    <t>95-100</t>
  </si>
  <si>
    <t>1-4</t>
  </si>
  <si>
    <t>TL3CFHC2</t>
  </si>
  <si>
    <t>Mosha, R. Sambuli</t>
  </si>
  <si>
    <t>The inseparable link between intellectual and spiritual formation in indigenous knowledge and education: A case study in Tanzania</t>
  </si>
  <si>
    <t>What Is Indigenous Knowledge? Voices from the Academy</t>
  </si>
  <si>
    <t>2022-09-23 09:09:23</t>
  </si>
  <si>
    <t>2022-09-23T09:09:23Z</t>
  </si>
  <si>
    <t>209-225</t>
  </si>
  <si>
    <t>JXTJB6DM</t>
  </si>
  <si>
    <t>Molloy, Raven; Shan, Hui</t>
  </si>
  <si>
    <t>The effect of gasoline prices on household location</t>
  </si>
  <si>
    <t>10.1162/REST_a_00331</t>
  </si>
  <si>
    <t>2022-09-23 09:09:16</t>
  </si>
  <si>
    <t>2022-09-23T09:09:16Z</t>
  </si>
  <si>
    <t>1212-1221</t>
  </si>
  <si>
    <t>G44YI5B2</t>
  </si>
  <si>
    <t>Milich, Lenard</t>
  </si>
  <si>
    <t>Resource mismanagement versus sustainable livelihoods: the collapse of the Newfoundland cod fishery</t>
  </si>
  <si>
    <t>10.1080/089419299279353</t>
  </si>
  <si>
    <t>2022-09-23 09:08:26</t>
  </si>
  <si>
    <t>2022-09-23T09:08:26Z</t>
  </si>
  <si>
    <t>625-642</t>
  </si>
  <si>
    <t>YPN66JHV</t>
  </si>
  <si>
    <t>Nelson, Janai</t>
  </si>
  <si>
    <t>Residential Zoning Regulations and the Perpetuation of Apartheid</t>
  </si>
  <si>
    <t>Faculty Publications</t>
  </si>
  <si>
    <t>2022-09-23 09:08:25</t>
  </si>
  <si>
    <t>2022-09-23T09:08:25Z</t>
  </si>
  <si>
    <t>AD94QX6A</t>
  </si>
  <si>
    <t>Navarro, Laetitia M.; Marques, Alexandra; Proença, Vânia; Ceau$\backslash$csu, Silvia; Gonçalves, Bárbara; Capinha, César; Fernandez, Miguel; Geldmann, Jonas; Pereira, Henrique M.</t>
  </si>
  <si>
    <t>Restoring degraded land: contributing to Aichi Targets 14, 15, and beyond</t>
  </si>
  <si>
    <t>10.1016/j.cosust.2018.03.014</t>
  </si>
  <si>
    <t>2022-09-23 09:08:20</t>
  </si>
  <si>
    <t>2022-09-23T09:08:20Z</t>
  </si>
  <si>
    <t>207-214</t>
  </si>
  <si>
    <t>JXI3XLY7</t>
  </si>
  <si>
    <t>Mohammed, Yekini Suberu; Bashir, Nouruddeen; Mustafa, Mohd Wazir</t>
  </si>
  <si>
    <t>Overuse of wood-based bioenergy in selected sub-Saharan Africa countries: review of unconstructive challenges and suggestions</t>
  </si>
  <si>
    <t>Journal of Cleaner Production</t>
  </si>
  <si>
    <t>10.1016/j.jclepro.2014.04.014</t>
  </si>
  <si>
    <t>2022-09-23 09:07:33</t>
  </si>
  <si>
    <t>2022-09-23T09:07:33Z</t>
  </si>
  <si>
    <t>501-519</t>
  </si>
  <si>
    <t>96</t>
  </si>
  <si>
    <t>DE4DJTF9</t>
  </si>
  <si>
    <t>Morland, Kimberly; Wing, Steve; Diez Roux, Ana; Poole, Charles</t>
  </si>
  <si>
    <t>Neighborhood characteristics associated with the location of food stores and food service places</t>
  </si>
  <si>
    <t>American Journal of Preventive Medicine</t>
  </si>
  <si>
    <t>10.1016/S0749-3797(01)00403-2</t>
  </si>
  <si>
    <t>BACKGROUND Although the relationship between diet and disease is well established, sustainable dietary changes that would affect risk for disease have been difficult to achieve. Whereas individual factors are traditional explanations for the inability of some people to change dietary habits, little research has investigated how the physical availability of healthy foods affects individuals' diets. This study examines the distribution of food stores and food service places by neighborhood wealth and racial segregation. METHODS Names and addresses of places to buy food in Mississippi, North Carolina, Maryland, and Minnesota were obtained from respective departments of health and agriculture. Addresses were geocoded to census tracts. Median house values were used to estimate neighborhood wealth, while the proportion of black residents was used to measure neighborhood racial segregation. RESULTS Compared to the poorest neighborhoods, large numbers of supermarkets and gas stations with convenience stores are located in wealthier neighborhoods. There are 3 times fewer places to consume alcoholic beverages in the wealthiest compared to the poorest neighborhoods (prevalence ratio [PR]=0.3, 95% confidence interval [CI]=0.1-0.6). Regarding neighborhood segregation, there are 4 times more supermarkets located in white neighborhoods compared to black neighborhoods (PR=4.3, 95% CI=1.5-12.5). CONCLUSIONS Without access to supermarkets, which offer a wide variety of foods at lower prices, poor and minority communities may not have equal access to the variety of healthy food choices available to nonminority and wealthy communities.</t>
  </si>
  <si>
    <t>2022-09-23 09:07:22</t>
  </si>
  <si>
    <t>2022-09-23T09:07:22Z</t>
  </si>
  <si>
    <t>9-23</t>
  </si>
  <si>
    <t>N6F33UK8</t>
  </si>
  <si>
    <t>Mitchell, John F. B.; Lowe, Jason; Wood, Richard A.; Vellinga, Michael</t>
  </si>
  <si>
    <t>Philosophical Transactions of the Royal Society of London A: Mathematical, Physical and Engineering Sciences</t>
  </si>
  <si>
    <t>2022-09-23 09:04:56</t>
  </si>
  <si>
    <t>2022-09-23T09:04:56Z</t>
  </si>
  <si>
    <t>2117-2133</t>
  </si>
  <si>
    <t>1845</t>
  </si>
  <si>
    <t>364</t>
  </si>
  <si>
    <t>Y7ZIZT4V</t>
  </si>
  <si>
    <t>Nelson, Erik; Polasky, Stephen; Lewis, David J.; Plantinga, Andrew J.; Lonsdorf, Eric; White, Denis; Bael, David; Lawler, Joshua J.</t>
  </si>
  <si>
    <t>Efficiency of incentives to jointly increase carbon sequestration and species conservation on a landscape</t>
  </si>
  <si>
    <t>10.1073/pnas.0706178105</t>
  </si>
  <si>
    <t>2022-09-23 09:04:36</t>
  </si>
  <si>
    <t>2022-09-23T09:04:36Z</t>
  </si>
  <si>
    <t>9471-9476</t>
  </si>
  <si>
    <t>YXRRS2LS</t>
  </si>
  <si>
    <t>Morris, Adele C.; Neill, Helen R.</t>
  </si>
  <si>
    <t>Do Gasoline Prices Affect Residential Property Values?</t>
  </si>
  <si>
    <t>2022-09-23 09:04:21</t>
  </si>
  <si>
    <t>2022-09-23T09:04:21Z</t>
  </si>
  <si>
    <t>7JF93DI3</t>
  </si>
  <si>
    <t>Nelson, Gerald C.; Hellerstein, Daniel</t>
  </si>
  <si>
    <t>Do Roads Cause Deforestation ? Using Satellite Images in Econometric Analysis of Land Use</t>
  </si>
  <si>
    <t>10.2307/1243944</t>
  </si>
  <si>
    <t>2022-09-23 09:04:13</t>
  </si>
  <si>
    <t>2022-09-23T09:04:13Z</t>
  </si>
  <si>
    <t>80-88</t>
  </si>
  <si>
    <t>7PXW2CCP</t>
  </si>
  <si>
    <t>Mirza, M. Monirul Qader</t>
  </si>
  <si>
    <t>Climate change and extreme weather events: can developing countries adapt?</t>
  </si>
  <si>
    <t>Climate policy</t>
  </si>
  <si>
    <t>2022-09-23 09:03:36</t>
  </si>
  <si>
    <t>2022-09-23T09:03:36Z</t>
  </si>
  <si>
    <t>233-248</t>
  </si>
  <si>
    <t>PTT8GQT8</t>
  </si>
  <si>
    <t>Milner-Gulland, Eleanor J.; Leader-Williams, Nigel</t>
  </si>
  <si>
    <t>A model of incentives for the illegal exploitation of black rhinos and elephants: poaching pays in Luangwa Valley, Zambia</t>
  </si>
  <si>
    <t>Journal of Applied Ecology</t>
  </si>
  <si>
    <t>10.2307/2404508</t>
  </si>
  <si>
    <t>2022-09-23 09:02:32</t>
  </si>
  <si>
    <t>2022-09-23T09:02:32Z</t>
  </si>
  <si>
    <t>388-401</t>
  </si>
  <si>
    <t>RGCDWUMK</t>
  </si>
  <si>
    <t>Moran, Daniel D.; Lenzen, Manfred; Kanemoto, Keiichiro; Geschke, Arne</t>
  </si>
  <si>
    <t>Does ecologically unequal exchange occur?</t>
  </si>
  <si>
    <t>10.1016/j.ecolecon.2013.02.013</t>
  </si>
  <si>
    <t>2022-09-23 09:01:43</t>
  </si>
  <si>
    <t>2022-09-23T09:01:43Z</t>
  </si>
  <si>
    <t>177-186</t>
  </si>
  <si>
    <t>89</t>
  </si>
  <si>
    <t>XLNTVV7M</t>
  </si>
  <si>
    <t>Miettinen, Jukka; Hooijer, Aljosja; Shi, Chenghua; Tollenaar, Daniel; Vernimmen, Ronald; Liew, Soo Chin; Malins, Chris; Page, Susan E.</t>
  </si>
  <si>
    <t>Gcb Bioenergy</t>
  </si>
  <si>
    <t>2022-09-23 09:01:25</t>
  </si>
  <si>
    <t>2022-09-23T09:01:25Z</t>
  </si>
  <si>
    <t>908-918</t>
  </si>
  <si>
    <t>5MYVS82V</t>
  </si>
  <si>
    <t>Mutersbaugh, Tad</t>
  </si>
  <si>
    <t>Fighting standards with standards: harmonization, rents, and social accountability in certified agrofood networks</t>
  </si>
  <si>
    <t>10.1068/a37369</t>
  </si>
  <si>
    <t>2022-09-23 09:01:23</t>
  </si>
  <si>
    <t>2022-09-23T09:01:23Z</t>
  </si>
  <si>
    <t>2033-2051</t>
  </si>
  <si>
    <t>Z9TYKNFB</t>
  </si>
  <si>
    <t>Mikkelson, Gregory M.; Gonzalez, Andrew; Peterson, Garry D.</t>
  </si>
  <si>
    <t>Economic Inequality Predicts Biodiversity Loss</t>
  </si>
  <si>
    <t>10.1371/journal.pone.0000444</t>
  </si>
  <si>
    <t>https://dx.plos.org/10.1371/journal.pone.0000444</t>
  </si>
  <si>
    <t>2007-05-16</t>
  </si>
  <si>
    <t>2022-09-23 07:37:52</t>
  </si>
  <si>
    <t>2022-09-23T07:37:52Z</t>
  </si>
  <si>
    <t>2022-09-19 21:16:56</t>
  </si>
  <si>
    <t>e444</t>
  </si>
  <si>
    <t>Chave, Jerome</t>
  </si>
  <si>
    <t>5RAAS8C4</t>
  </si>
  <si>
    <t>Nolte, Christoph; Agrawal, Arun; Silvius, Kirsten M.; Soares-Filho, Britaldo S.</t>
  </si>
  <si>
    <t>Governance regime and location influence avoided deforestation success of protected areas in the Brazilian Amazon</t>
  </si>
  <si>
    <t>10.1073/pnas.1214786110</t>
  </si>
  <si>
    <t>https://pnas.org/doi/full/10.1073/pnas.1214786110</t>
  </si>
  <si>
    <t>Protected areas in tropical countries are managed under different governance regimes, the relative effectiveness of which in avoiding deforestation has been the subject of recent debates. Participants in these debates answer appeals for more strict protection with the argument that sustainable use areas and indigenous lands can balance deforestation pressures by leveraging local support to create and enforce protective regulations. Which protection strategy is more effective can also depend on (               i               ) the level of deforestation pressures to which an area is exposed and (               ii               ) the intensity of government enforcement. We examine this relationship empirically, using data from 292 protected areas in the Brazilian Amazon. We show that, for any given level of deforestation pressure, strictly protected areas consistently avoided more deforestation than sustainable use areas. Indigenous lands were particularly effective at avoiding deforestation in locations with high deforestation pressure. Findings were stable across two time periods featuring major shifts in the intensity of government enforcement. We also observed shifting trends in the location of protected areas, documenting that between 2000 and 2005 strictly protected areas were more likely to be established in high-pressure locations than in sustainable use areas and indigenous lands. Our findings confirm that all protection regimes helped reduce deforestation in the Brazilian Amazon.</t>
  </si>
  <si>
    <t>2013-03-26</t>
  </si>
  <si>
    <t>2022-09-23 06:34:12</t>
  </si>
  <si>
    <t>2022-09-23T06:34:12Z</t>
  </si>
  <si>
    <t>4956-4961</t>
  </si>
  <si>
    <t>110</t>
  </si>
  <si>
    <t>LU4R33SG</t>
  </si>
  <si>
    <t>Nepstad, Daniel; McGrath, David; Stickler, Claudia; Alencar, Ane; Azevedo, Andrea; Swette, Briana; Bezerra, Tathiana; DiGiano, Maria; Shimada, João; Seroa da Motta, Ronaldo; Armijo, Eric; Castello, Leandro; Brando, Paulo; Hansen, Matt C.; McGrath-Horn, Max; Carvalho, Oswaldo; Hess, Laura</t>
  </si>
  <si>
    <t>https://www.science.org/doi/10.1126/science.1248525</t>
  </si>
  <si>
    <t>2014-06-06</t>
  </si>
  <si>
    <t>2022-09-23 06:33:35</t>
  </si>
  <si>
    <t>2022-09-23T06:33:35Z</t>
  </si>
  <si>
    <t>2022-09-22 07:28:03</t>
  </si>
  <si>
    <t>1118-1123</t>
  </si>
  <si>
    <t>6188</t>
  </si>
  <si>
    <t>344</t>
  </si>
  <si>
    <t>ADFRXMSF</t>
  </si>
  <si>
    <t>Nelson, E.; Sander, H.; Hawthorne, P.; Conte, M.; Ennaanay, D.; Wolny, S.; Manson, S.; Polasky, S.</t>
  </si>
  <si>
    <t>Projecting global land-use change and its effect on ecosystem service provision and biodiversity with simple models</t>
  </si>
  <si>
    <t>19326203</t>
  </si>
  <si>
    <t>Background: As the global human population grows and its consumption patterns change, additional land will be needed for living space and agricultural production. A critical question facing global society is how to meet growing human demands for living space, food, fuel, and other materials while sustaining ecosystem services and biodiversity [1]. Methodology/Principal Findings: We spatially allocate two scenarios of 2000 to 2015 global areal change in urban land and cropland at the grid cell-level and measure the impact of this change on the provision of ecosystem services and biodiversity. The models and techniques used to spatially allocate land-use/land-cover (LULC) change and evaluate its impact on ecosystems are relatively simple and transparent [2] . The difference in the magnitude and pattern of cropland expansion across the two scenarios engenders different tradeoffs among crop production, provision of species habitat, and other important ecosystem services such as biomass carbon storage. For example, in one scenario, 5.2 grams of carbon stored in biomass is released for every additional calorie of crop produced across the globe; under the other scenario this tradeoff rate is 13.7. By comparing scenarios and their impacts we can begin to identify the global pattern of cropland and irrigation development that is significant enough to meet future food needs but has less of an impact on ecosystem service and habitat provision. Conclusions/Significance: Urban area and croplands will expand in the future to meet human needs for living space, livelihoods, and food. In order to jointly provide desired levels of urban land, food production, and ecosystem service and species habitat provision the global society will have to become much more strategic in its allocation of intensively managed land uses. Here we illustrate a method for quickly and transparently evaluating the performance of potential global futures.</t>
  </si>
  <si>
    <t>2022-09-23 06:33:26</t>
  </si>
  <si>
    <t>2022-09-23T06:33:26Z</t>
  </si>
  <si>
    <t>UVSMN5MZ</t>
  </si>
  <si>
    <t>Nelson, Andrew; Chomitz, Kenneth M.</t>
  </si>
  <si>
    <t>Effectiveness of Strict vs. Multiple Use Protected Areas in Reducing Tropical Forest Fires: A Global Analysis Using Matching Methods</t>
  </si>
  <si>
    <t>10.1371/journal.pone.0022722</t>
  </si>
  <si>
    <t>https://dx.plos.org/10.1371/journal.pone.0022722</t>
  </si>
  <si>
    <t>2011-08-16</t>
  </si>
  <si>
    <t>2022-09-23 06:33:13</t>
  </si>
  <si>
    <t>2022-09-23T06:33:13Z</t>
  </si>
  <si>
    <t>2022-09-19 21:16:57</t>
  </si>
  <si>
    <t>e22722</t>
  </si>
  <si>
    <t>Effectiveness of Strict vs. Multiple Use Protected Areas in Reducing Tropical Forest Fires</t>
  </si>
  <si>
    <t>Bruun, Hans Henrik</t>
  </si>
  <si>
    <t>9ERN94X5</t>
  </si>
  <si>
    <t>Nakashima, D.J.; Galloway McLean, K.; Thulstrup, H.D.; Ramos Castillo, A.; Rubis, J.T.</t>
  </si>
  <si>
    <t>Weathering Uncertainty: Traditional Knowledge for Climate Change Assessment and Adaptation</t>
  </si>
  <si>
    <t>http://unesdoc.unesco.org/</t>
  </si>
  <si>
    <t>2022-09-23 06:33:01</t>
  </si>
  <si>
    <t>2022-09-23T06:33:01Z</t>
  </si>
  <si>
    <t>Paris, France</t>
  </si>
  <si>
    <t>Q2R5I2EJ</t>
  </si>
  <si>
    <t>Nagendra, Harini</t>
  </si>
  <si>
    <t>Drivers of reforestation in human-dominated forests</t>
  </si>
  <si>
    <t>10.1073/pnas.0702319104</t>
  </si>
  <si>
    <t>https://pnas.org/doi/full/10.1073/pnas.0702319104</t>
  </si>
  <si>
    <t>Tropical forest habitat continues to decline globally, with serious negative consequences for environmental sustainability. The small mountain country of Nepal provides an excellent context in which to examine trajectories of forest-cover change. Despite having experienced large-scale forest clearing in the past, significant reforestation has taken place in recent years. The range of biophysical and ecological environments and diversity of tenure arrangements provide us with a context with sufficient variation to be able to derive insight into the impact of a range of hypothesized drivers of forest change. This article draws on a dataset of 55 forests from the middle hills and Terai plains of Nepal to examine the factors associated with forest clearing or regeneration. Results affirm the central importance of tenure regimes and local monitoring for forest regrowth. In addition, user group size per unit of forest area is an important, independent explanator of forest change. These variables also can be associated with specific practices that further influence forest change such as the management of social conflict, adoption of new technologies to reduce pressure on the forest, and involvement of users in forest maintenance activities. Such large-N, comparative studies are essential if we are to derive more complex, nuanced, yet actionable frameworks that help us to plan better policies for the management of natural resources.</t>
  </si>
  <si>
    <t>2007-09-25</t>
  </si>
  <si>
    <t>2022-09-23 06:32:57</t>
  </si>
  <si>
    <t>2022-09-23T06:32:57Z</t>
  </si>
  <si>
    <t>2022-09-19 21:15:52</t>
  </si>
  <si>
    <t>15218-15223</t>
  </si>
  <si>
    <t>104</t>
  </si>
  <si>
    <t>JLVDV2MG</t>
  </si>
  <si>
    <t>Motte-Florac, Elisabeth; Aumeeruddy-Thomas, Yildiz; Dounias, Edmond</t>
  </si>
  <si>
    <t>People and natures. Hommes et natures. Seres humanos y naturalezas</t>
  </si>
  <si>
    <t>978-2-7099-1724-7</t>
  </si>
  <si>
    <t>IRD Editions</t>
  </si>
  <si>
    <t>Marseille</t>
  </si>
  <si>
    <t>ipbes-global_chapter1; ipbes-global_chapter2.1_drivers; ipbes-global_chapter2.2_nature</t>
  </si>
  <si>
    <t>H6CZBBYM</t>
  </si>
  <si>
    <t>Mistry, Jayalaxshmi; Bilbao, Bibiana A.; Berardi, Andrea</t>
  </si>
  <si>
    <t>Community owned solutions for fire management in tropical ecosystems: case studies from Indigenous communities of South America</t>
  </si>
  <si>
    <t>10.1098/rstb.2015.0174</t>
  </si>
  <si>
    <t>http://rstb.royalsocietypublishing.org/lookup/doi/10.1098/rstb.2015.0174</t>
  </si>
  <si>
    <t>Fire plays an increasingly significant role in tropical forest and savanna ecosystems, contributing to greenhouse gas emissions and impacting on biodiversity. Emerging research shows the potential role of Indigenous land-use practices for controlling deforestation and reducing CO2 emissions. Analysis of satellite imagery suggests that Indigenous lands have the lowest incidence of wildfires, significantly contributing tomaintaining carbon stocks and enhancing biodiversity. Yet acknowledgement of Indigenous peoples' role in fire management and control is limited, and in many cases dismissed, especially in policy-making circles. In this paper, we review existing data on Indigenous fire management and impact, focusing on examples from tropical forest and savanna ecosystems in Venezuela, Brazil and Guyana. We highlight how the complexities of community owned solutions for fire management are being lost as well as undermined by continued efforts on fire suppression and firefighting, and emerging approaches to incorporate Indigenous fire management into market- and incentive-based mechanisms for climate change mitigation. Our aim is to build a case for supporting Indigenous fire practices within all scales of decision-making by strengthening Indigenous knowledge systems to ensure more effective and sustainable fire management. [ABSTRACT FROM AUTHOR]</t>
  </si>
  <si>
    <t>20150174</t>
  </si>
  <si>
    <t>1696</t>
  </si>
  <si>
    <t>371</t>
  </si>
  <si>
    <t>JJ5N8DQM</t>
  </si>
  <si>
    <t>Meyfroidt, Patrick; Lambin, Eric F.</t>
  </si>
  <si>
    <t>Global Forest Transition: Prospects for an End to Deforestation</t>
  </si>
  <si>
    <t>10.1146/annurev-environ-090710-143732</t>
  </si>
  <si>
    <t>http://www.annualreviews.org/doi/10.1146/annurev-environ-090710-143732</t>
  </si>
  <si>
    <t>2011-11</t>
  </si>
  <si>
    <t>343-371</t>
  </si>
  <si>
    <t>66Y3H8HS</t>
  </si>
  <si>
    <t>Nagendra, Harini; Bai, Xuemei; Brondizio, Eduardo S.; Lwasa, Shuaib</t>
  </si>
  <si>
    <t>The urban south and the predicament of global sustainability</t>
  </si>
  <si>
    <t>10.1038/s41893-018-0101-5</t>
  </si>
  <si>
    <t>http://www.nature.com/articles/s41893-018-0101-5</t>
  </si>
  <si>
    <t>Urbanization is a global phenomenon with strong sustainability implications across multiple scales. We argue that much of the associated challenges, and opportunities, are found in the global south. We show that urban issues in the global south are distinctly and statistically different from those in the global north, but our current urban knowledge is predominantly shaped by research on and from the global north. Cities in the global south have strong imperatives, and unique but often overlooked capacity, to innovate and experiment for sustainability. We call for a renewed research focus on urbanization in the south, and suggest targeted efforts to correct structural biases in the knowledge production system.</t>
  </si>
  <si>
    <t>341-349</t>
  </si>
  <si>
    <t>HDWK6NZB</t>
  </si>
  <si>
    <t>The global south is rich in sustainability lessons that students deserve to hear</t>
  </si>
  <si>
    <t>10.1038/d41586-018-05210-0</t>
  </si>
  <si>
    <t>http://www.nature.com/articles/d41586-018-05210-0</t>
  </si>
  <si>
    <t>A Western bias limits progress, so educators must share how communities in the developing world manage environmental change, argues Harini Nagendra. A Western bias limits progress, so educators must share how communities in the developing world manage environmental change, argues Harini Nagendra.</t>
  </si>
  <si>
    <t>2018-05</t>
  </si>
  <si>
    <t>485-488</t>
  </si>
  <si>
    <t>7706</t>
  </si>
  <si>
    <t>557</t>
  </si>
  <si>
    <t>43ID95YM</t>
  </si>
  <si>
    <t>Monfreda, Chad; Ramankutty, Navin; Foley, Jonathan A.</t>
  </si>
  <si>
    <t>Farming the planet: 2. Geographic distribution of crop areas, yields, physiological types, and net primary production in the year 2000</t>
  </si>
  <si>
    <t>10.1029/2007GB002947</t>
  </si>
  <si>
    <t>Croplands cover ∼15 million km2 of the planet and provide the bulk of the food and fiber essential to human well-being. Most global land cover data sets from satellites group croplands into just a few categories, thereby excluding information that is critical for answering key questions ranging from biodiversity conservation to food security to biogeochemical cycling. Information about agricultural land use practices like crop selection, yield, and fertilizer use is even more limited. Here we present land use data sets created by combining national, state, and county level census statistics with a recently updated global data set of croplands on a 5 min by 5 min (∼10 km by 10 km) latitude-longitude grid. The resulting land use data sets depict circa the year 2000 the area (harvested) and yield of 175 distinct crops of the world. We aggregate these individual crop maps to produce novel maps of 11 major crop groups, crop net primary production, and four physiologically based crop types: annuals/perennials, herbaceous/shrubs/trees, C3/C4, and leguminous/nonleguminous.</t>
  </si>
  <si>
    <t>2008-03</t>
  </si>
  <si>
    <t>n/a-n/a</t>
  </si>
  <si>
    <t>JVCRMGA4</t>
  </si>
  <si>
    <t>Nicholls, R. J.; Cazenave, A.</t>
  </si>
  <si>
    <t>http://dx.doi.org/10.1126/science.1185782</t>
  </si>
  <si>
    <t>1517-1520</t>
  </si>
  <si>
    <t>328</t>
  </si>
  <si>
    <t>2FK8WXEI</t>
  </si>
  <si>
    <t>Miteva, Daniela A.; Kramer, Randall A.; Brown, Zachary S.; Smith, Martin D.</t>
  </si>
  <si>
    <t>Spatial Patterns of Market Participation and Resource Extraction: Fuelwood Collection in Northern Uganda</t>
  </si>
  <si>
    <t>0002-9092</t>
  </si>
  <si>
    <t>10.1093/ajae/aax027</t>
  </si>
  <si>
    <t>https://doi.org/10.1093/ajae/aax027</t>
  </si>
  <si>
    <t>While distance to markets is a key determinant of market participation for households that are dependent on natural resources, the distance to the resource stock is also essential. Thus, a household’s location with respect to markets and the resource stock determines household market participation and associated resource degradation. Applying a discrete-choice framework for fuelwood collection in a developing country, we characterize the spatial pattern of market participation regimes and forest use. All else being equal, autarkic households are closest to the forest and furthest from the market, buyer households are closest to the market and furthest from the forest, and seller households are at intermediate distances. Empirical tests based on survey data from northern Uganda support the predictions from our theoretical model. Our findings have important implications for understanding the spatial patterns of forest degradation and determining the control group when designing impact evaluations of the effectiveness of development and conservation interventions.</t>
  </si>
  <si>
    <t>2017-05-15</t>
  </si>
  <si>
    <t>2019-11-20 00:00:00</t>
  </si>
  <si>
    <t>1008-1026</t>
  </si>
  <si>
    <t>6EZ32NBR</t>
  </si>
  <si>
    <t>Meyfroidt, Patrick; Rudel, T. K.; Lambin, E. F.</t>
  </si>
  <si>
    <t>Forest transitions, trade, and the global displacement of land use</t>
  </si>
  <si>
    <t>10.1073/pnas.1014773107</t>
  </si>
  <si>
    <t>Reducing tropical deforestation is an international priority, given its impacts on carbon emissions and biodiversity. We examined whether recent forest transitions—a shift from net deforestation to net reforestation—involved a geographic displacement of forest clearing across countries through trade in agricultural and forest products. In most of the seven developing countries that recently experienced a forest transition, displacement of land use abroad accompanied local reforestation. Additional global land-use change embodied in their net wood trade offset 74% of their total reforested area. Because the reforesting countries continued to export more agricultural goods than they imported, this net displacement offset 22% of their total reforested area when both agriculture and forestry sectors are included. However, this net displacement increased to 52% during the last 5 y. These countries thus have contributed to a net global reforestation and/or decrease in the pressure on forests, but this global environmental benefit has been shrinking during recent years. The net decrease in the pressure on forests does not account for differences in their ecological quality. Assessments of the impacts of international policies aimed at reducing global deforestation should integrate international trade in agricultural and forest commodities.</t>
  </si>
  <si>
    <t>20917-20922</t>
  </si>
  <si>
    <t>AWG3YBPM</t>
  </si>
  <si>
    <t>Meyfroidt, Patrick; Lambin, Eric F.; Erb, Karl-Heinz; Hertel, Thomas W.</t>
  </si>
  <si>
    <t>http://dx.doi.org/10.1016/j.cosust.2013.04.003 http://linkinghub.elsevier.com/retrieve/pii/S1877343513000353</t>
  </si>
  <si>
    <t>Several streams of research have recently converged to identify the growing importance of distant drivers of land change, interconnections between social-ecological systems that are separated geographically, and the indirect consequences of land use changes. Local to national-scale interventions to promote sustainable land use may have unintended effects owing to a displacement of land use within and across countries. Such leakage or 'indirect land use change' critically depends on international geographies of trade. Computing various material flows and environmental indicators embodied in international trade highlights the differences between producer and consumer-based biophysical accounting. Causal attribution of the links between material and monetary flows across countries, and actual land changes and environmental impacts at local level requires a combination of economic simulation models, statistical studies, place-based empirical studies, value chain analyses, and biophysical accounting. © 2013 Elsevier B.V.</t>
  </si>
  <si>
    <t>438-444</t>
  </si>
  <si>
    <t>8C4TQZJL</t>
  </si>
  <si>
    <t>Forest transition in Vietnam and displacement of deforestation abroad</t>
  </si>
  <si>
    <t>10.1073/pnas.0904942106</t>
  </si>
  <si>
    <t>In some countries across the globe, tropical forest cover is increasing. The national-scale reforestation of Vietnam since 1992 is assumed to contribute to this recovery. It is achieved, however, by the displacement of forest extraction to other countries on the order of 49 (34–70) M m3, or ≈39% of the regrowth of Vietnam's forests from 1987 to 2006. Approximately half of wood imports to Vietnam during this period were illegal. Leakage due to policies restricting forest exploitation and displacement due to growing domestic consumption and exports contributed respectively to an estimated 58% and 42% of total displacement. Exports of wood products from Vietnam also grew rapidly, amounting to 84% of the displacement, which is a remarkable feature of the forest transition in Vietnam. Attribution of the displacement and corresponding forest extraction to Vietnam, the source countries or the final consumers is thus debatable. Sixty-one percent of the regrowth in Vietnam was, thus, not associated with displacement abroad. Policies allocating credits to countries for reducing deforestation and forest degradation should monitor illegal timber trade and take into account the policy-induced leakage of wood extraction to other countries.</t>
  </si>
  <si>
    <t>VRVHHRTC</t>
  </si>
  <si>
    <t>Naylor, Rosamond L.; Goldburg, Rebecca J.; Primavera, Jurgenne H.; Kautsky, Nils; Beveridge, Malcolm C. M.; Clay, Jason; Folke, Carl; Lubchenco, Jane; Mooney, Harold; Troell, Max</t>
  </si>
  <si>
    <t>Effect of aquaculture on world fish supplies</t>
  </si>
  <si>
    <t>10.1038/35016500</t>
  </si>
  <si>
    <t>Global production of farmed fish and shellfish has more than doubled in the past 15 years. Many people believe that such growth relieves pressure on ocean fisheries, but the opposite is true for some types of aquaculture. Farming carnivorous species requires large inputs of wild fish for feed. Some aquaculture systems also reduce wild fish supplies through habitat modification, wild seedstock collection and other ecological impacts. On balance, global aquaculture production still adds to world fish supplies; however, if the growing aquaculture industry is to sustain its contribution to world fish supplies, it must reduce wild fish inputs in feed and adopt more ecologically sound management practices.</t>
  </si>
  <si>
    <t>2000-06</t>
  </si>
  <si>
    <t>1017-1024</t>
  </si>
  <si>
    <t>6790</t>
  </si>
  <si>
    <t>405</t>
  </si>
  <si>
    <t>JQ759G62</t>
  </si>
  <si>
    <t>Naylor, Rosamond L.; Goldburg, Rebecca J.; Mooney, Harold; Beveridge, Malcolm; Clay, Jason; Folke, Carl; Kautsky, Nils; Lubchenco, Jane; Primavera, Jurgenne; Williams, Meryl</t>
  </si>
  <si>
    <t>Nature's Subsidies to Shrimp and Salmon Farming</t>
  </si>
  <si>
    <t>10.1126/science.282.5390.883</t>
  </si>
  <si>
    <t>http://www.sciencemag.org/cgi/doi/10.1126/science.282.5390.883</t>
  </si>
  <si>
    <t>1998-10</t>
  </si>
  <si>
    <t>883-884</t>
  </si>
  <si>
    <t>5390</t>
  </si>
  <si>
    <t>282</t>
  </si>
  <si>
    <t>RIASNF3B</t>
  </si>
  <si>
    <t>Morris, Barry</t>
  </si>
  <si>
    <t>Racism, egalitarianism and Aborigines</t>
  </si>
  <si>
    <t>Race matters: Indigenous Australians and ‘our’society</t>
  </si>
  <si>
    <t>161-176</t>
  </si>
  <si>
    <t>Aboriginal Studies Press</t>
  </si>
  <si>
    <t>Canberra</t>
  </si>
  <si>
    <t>Cowlishaw, G.; Morris, B.</t>
  </si>
  <si>
    <t>UUHRIJHS</t>
  </si>
  <si>
    <t>National Research Council</t>
  </si>
  <si>
    <t>The Impact of Genetically Engineered Crops on Farm Sustainability in the United States</t>
  </si>
  <si>
    <t>978-0-309-14708-8</t>
  </si>
  <si>
    <t>https://www.nap.edu/catalog/12804/the-impact-of-genetically-engineered-crops-on-farm-sustainability-in-the-united-states</t>
  </si>
  <si>
    <t>Since genetically engineered (GE) crops were introduced in 1996, their use in the United States has grown rapidly, accounting for 80-90 percent of soybean, corn, and cotton acreage in 2009. To date, crops with traits that provide resistance to some herbicides and to specific insect pests have benefited adopting farmers by reducing crop losses to insect damage, by increasing flexibility in time management, and by facilitating the use of more environmentally friendly pesticides and tillage practices. However, excessive reliance on a single technology combined with a lack of diverse farming practices could undermine the economic and environmental gains from these GE crops. Other challenges could hinder the application of the technology to a broader spectrum of crops and uses.\n\nSeveral reports from the National Research Council have addressed the effects of GE crops on the environment and on human health. However, The Impact of Genetically Engineered Crops on Farm Sustainability in the United States is the first comprehensive assessment of the environmental, economic, and social impacts of the GE-crop revolution on U.S. farms. It addresses how GE crops have affected U.S. farmers, both adopters and nonadopters of the technology, their incomes, agronomic practices, production decisions, environmental resources, and personal well-being. The book offers several new findings and four recommendations that could be useful to farmers, industry, science organizations, policy makers, and others in government agencies.</t>
  </si>
  <si>
    <t>The National Academies Press</t>
  </si>
  <si>
    <t>DOI: 10.17226/12804</t>
  </si>
  <si>
    <t>L7AJL9SL</t>
  </si>
  <si>
    <t>Genetically Engineered Crops: experiences and prospects</t>
  </si>
  <si>
    <t>978-0-309-43738-7</t>
  </si>
  <si>
    <t>National Academies Press</t>
  </si>
  <si>
    <t>G67UIRZC</t>
  </si>
  <si>
    <t>Transgenic Plants and World Agriculture</t>
  </si>
  <si>
    <t>978-0-309-55858-7</t>
  </si>
  <si>
    <t>Q32Y7UJV</t>
  </si>
  <si>
    <t>Genetically Modified Pest-Protected Plants</t>
  </si>
  <si>
    <t>978-0-309-06930-4</t>
  </si>
  <si>
    <t>5J3AMBKP</t>
  </si>
  <si>
    <t>NCFA</t>
  </si>
  <si>
    <t>Natural Capital Finance Alliance</t>
  </si>
  <si>
    <t>https://naturalcapital.finance/</t>
  </si>
  <si>
    <t>9UDJ88J9</t>
  </si>
  <si>
    <t>Naidoo, Robin; Balmford, Andrew; Ferraro, Paul J.; Polasky, Stephen; Ricketts, Taylor H.; Rouget, Mathieu</t>
  </si>
  <si>
    <t>Integrating economic costs into conservation planning</t>
  </si>
  <si>
    <t>Trends in Ecology and Evolution</t>
  </si>
  <si>
    <t>10.1016/j.tree.2006.10.003</t>
  </si>
  <si>
    <t>Recent studies that incorporate the spatial distributions of biological benefits and economic costs in conservation planning have shown that limited budgets can achieve substantially larger biological gains than when planning ignores costs. Despite concern from donors about the effectiveness of conservation interventions, these increases in efficiency from incorporating costs into planning have not yet been widely recognized. Here, we focus on what these costs are, why they are important to consider, how they can be quantified and the benefits of their inclusion in priority setting. The most recent work in the field has examined the degree to which dynamics and threat affect the outcomes of conservation planning. We assess how costs fit into this new framework and consider prospects for integrating them into conservation planning. © 2006 Elsevier Ltd. All rights reserved.</t>
  </si>
  <si>
    <t>681-687</t>
  </si>
  <si>
    <t>U57JNYGL</t>
  </si>
  <si>
    <t>OECD</t>
  </si>
  <si>
    <t>Income Inequality. The Gap between Rich and Poor</t>
  </si>
  <si>
    <t>8T3BE4UV</t>
  </si>
  <si>
    <t>Muradian, Roldan; Corbera, Esteve; Pascual, Unai; Kosoy, Nicol s; May, Peter H.</t>
  </si>
  <si>
    <t>Reconciling theory and practice: An alternative conceptual framework for understanding payments for environmental services</t>
  </si>
  <si>
    <t>10.1016/j.ecolecon.2009.11.006</t>
  </si>
  <si>
    <t>This article provides an alternative and novel theoretical approach to the conceptualization and analysis of payments for environmental services (PES). We devote special emphasis to institutional and political economy issues, which have been somewhat neglected in the literature on PES. We argue that the Coasean and pure market approach dominating the conceptualization of PES in the literature cannot be easily generalized and implemented in practice. By contrast, taking into account complexities related to uncertainty, distributional issues, social embeddedness, and power relations permits acknowledging the variety of contexts and institutional settings in which PES operate. The alternative approach presented in this introductory article to the special section may be more appealing to PES practitioners, since while avoiding restrictive and prescriptive standpoints, it allows some key sources of complexities they usually deal with on the ground to be more easily understood. ?? 2009 Elsevier B.V. All rights reserved.</t>
  </si>
  <si>
    <t>1202-1208</t>
  </si>
  <si>
    <t>7BHAP7AS</t>
  </si>
  <si>
    <t>Muradian, Roldan</t>
  </si>
  <si>
    <t>Payments for Ecosystem Services as Incentives for Collective Action</t>
  </si>
  <si>
    <t>10.1080/08941920.2013.820816</t>
  </si>
  <si>
    <t>1155-1169</t>
  </si>
  <si>
    <t>YUIA84JD</t>
  </si>
  <si>
    <t>Munodawafa, Adelaide</t>
  </si>
  <si>
    <t>Physics and Chemistry of the Earth</t>
  </si>
  <si>
    <t>14747065</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</si>
  <si>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\textless 0.001) under CT (15.8 and 34.5 kg ha-1 yr-1, respectively) compared to the MR (2.3 and 0.6 kg ha-1 yr-1, respectively) and TR (2.7 and 4.3 kg ha-1 yr-1, respectively). Due to the immobility of P and its small quantities in these soils, P losses were also low across all treatments (\textless1 kg ha-1 yr-1), however CT had significantly higher losses (p \textless 0.001). The study showed that CT results in high losses of nutrients, which would in turn reduce the quality of surface waters, due to high nutrient concentrations of especially, N, which stimulates the growth of algae and other aquatic weeds. The gravity of the situation would be higher, where soils are more fertile. MR and TR were efficient in reducing soil erosion and thus nutrient losses with run-off and sediments. Pollution of surface water sources can be greatly reduced if conservation tillage systems are used. ?? 2007 Elsevier Ltd. All rights reserved.</t>
  </si>
  <si>
    <t>LL883TDJ</t>
  </si>
  <si>
    <t>Munasinghe, Mohan</t>
  </si>
  <si>
    <t>Is environmental degradation an inevitable consequence of economic growth: Tunneling through the environmental Kuznets curve</t>
  </si>
  <si>
    <t>10.1016/S0921-8009(98)00062-7</t>
  </si>
  <si>
    <t>Economywide reforms often contribute simultaneously to economic, social and environmental gains. However, Unintended adverse side effects occur in many cases - when such growth inducing reforms are undertaken while neglecting other policy, market or institutional imperfections. The remedy does not generally require reversal of the original economywide reforms; but rather the ex-ante implementation of additional complementary measures that remove such imperfections. The EKC approach seeks to relate the state of the environment to the stage of development. Developing countries could learn from the experiences of industrialized nations, and restructure growth and development to 'tunnel' through any potential EKC - thereby avoiding going through the same stages of growth that involve relatively high (and even irreversible) levels of environmental harm. An environmentally adjusted measure of national income could significantly change the shape of the development-environment relationship. Recommendations for decision-making include: actively seeking 'win-win' policies that simultaneously yield both economic and environmental gains; pre-empting environmental harm through ex-ante remedial measures; and fine-tuning reform policies to avoid severe environmental damage. The adoption of more sustainable policies will facilitate the attainment of higher levels of development at a lower environmental cost.</t>
  </si>
  <si>
    <t>UZQL8RKG</t>
  </si>
  <si>
    <t>Moschet, Christoph; Wittmer, Irene; Simovic, Jelena; Junghans, Marion; Piazzoli, Alessandro; Singer, Heinz; Stamm, Christian; Leu, Christian; Hollender, Juliane</t>
  </si>
  <si>
    <t>Environmental Science &amp; Technology</t>
  </si>
  <si>
    <t>A comprehensive assessment of pesticides in surface waters is challenging due to the large number of potential contaminants. Most scientific studies and routine monitoring programs include only 15–40 pesticides, which leads to error-prone interpretations. In the present study, an extensive analytical screening was carried out using liquid chromatography–high-resolution mass spectrometry, covering 86% of all polar organic pesticides sold in Switzerland and applied to agricultural or urban land (in total 249 compounds), plus 134 transformation products; each of which could be quantified in the low ng/L range. Five medium-sized rivers, containing large areas of diverse crops and urban settlements within the respective catchments, were sampled between March and July 2012. More than 100 parent compounds and 40 transformation products were detected in total, between 30 and 50 parent compounds in each two-week composite sample in concentrations up to 1500 ng/L. The sum of pesticide concentrations was above 1000 ng/L in 78% of samples. The chronic environmental quality standard was exceeded for 19 single substances; using a mixture toxicity approach, exceedances occurred over the whole measurement period in all rivers. With scenario calculations including only 30–40 frequently measured pesticides, the number of detected substances and the mixture toxicity would be underestimated on average by a factor of 2. Thus, selecting a subset of substances to assess the surface water quality may be sufficient, but a comprehensive screening yields substantially more confidence.</t>
  </si>
  <si>
    <t>5423-5432</t>
  </si>
  <si>
    <t>LRSMD2WB</t>
  </si>
  <si>
    <t>Nash, Roderick Frazier</t>
  </si>
  <si>
    <t>The rights of nature: a history of environmental ethics</t>
  </si>
  <si>
    <t>Univ of Wisconsin Press</t>
  </si>
  <si>
    <t>U85BBN5W</t>
  </si>
  <si>
    <t>Myers, Samuel S.; Zanobetti, Antonella; Kloog, Itai; Huybers, Peter; Leakey, Andrew D. B.; Bloom, Arnold J.; Carlisle, Eli; Dietterich, Lee H.; Fitzgerald, Glenn; Hasegawa, Toshihiro; Holbrook, N. Michele; Nelson, Randall L.; Ottman, Michael J.; Raboy, Victor; Sakai, Hidemitsu; Sartor, Karla A.; Schwartz, Joel; Seneweera, Saman; Tausz, Michael; Usui, Yasuhiro</t>
  </si>
  <si>
    <t>Increasing CO2 threatens human nutrition</t>
  </si>
  <si>
    <t>10.1038/nature13179</t>
  </si>
  <si>
    <t>Dietary deficiencies of zinc and iron are a substantial global public health problem. An estimated two billion people suffer these deficiencies, causing a loss of 63 million life-years annually. Most of these people depend on C3 grains and legumes as their primary dietary source of zinc and iron. Here we report that C3 grains and legumes have lower concentrations of zinc and iron when grown under field conditions at the elevated atmospheric CO2 concentration predicted for the middle of this century. C3 crops other than legumes also have lower concentrations of protein, whereas C4 crops seem to be less affected. Differences between cultivars of a single crop suggest that breeding for decreased sensitivity to atmospheric CO2 concentration could partly address these new challenges to global health.</t>
  </si>
  <si>
    <t>2014-06</t>
  </si>
  <si>
    <t>139-142</t>
  </si>
  <si>
    <t>7503</t>
  </si>
  <si>
    <t>510</t>
  </si>
  <si>
    <t>HB2HXDJ2</t>
  </si>
  <si>
    <t>Mwavu, Edward N.; Witkowski, E. T. F.</t>
  </si>
  <si>
    <t>Land-use and cover changes (1988-2002) around Budongo Forest Reserve, NW Uganda: Implications for forest and woodland sustainability</t>
  </si>
  <si>
    <t>Land Degradation and Development</t>
  </si>
  <si>
    <t>10853278</t>
  </si>
  <si>
    <t>10.1002/ldr.869</t>
  </si>
  <si>
    <t>Land-use and cover changes around Budongo Forest Reserve (BFR) were analysed from multi-temporal LandSat images (1988 and 2002) and associated field-based studies in 2003–2004. Three major land-use and cover classes: forest/woodland, sugarcane plantations and grassland/shifting-cultivation/settlements were clearly discriminated. The area under sugarcane cultivation increased over 17-fold, from 690 ha in 1988 to 12729 ha in 2002, with a concomitant loss of about 4680 ha (8·2 per cent) of forest/woodland, mainly on the southern boundary of BFR. Land-use and cover changes were a result of (a) agricultural expansion, (b) increasing human population, exacerbated by large influxes of refugees, (c) conflicts of interest and political interference in the management of BFR and (d) unclear land tenure. Agriculture is the main land-use practice and source of income to local people, with commercial sugarcane and tobacco as the primary cash crops. Individual smallholder sugarcane plantations covered distances ranging from 30 to 1440 m along the BFR edge, with no buffer zone, resulting in direct conflicts between farmers and forest wild animals. There is an ever-increasing need for more land for agricultural expansion, resulting in continued loss of forest/woodland on private/communal lands and encroachment into BFR. This unsustainable agricultural expansion and the local people's perception of BFR as an obstacle to agriculture, threatens the conservation of its threatened wild plants (e.g. Raphia farinifera) and the endangered chimpanzees. Therefore, their sustainable management for both development and conservation will require strong and incorruptible institutions that will seek a balance between resource exploitation and conservation. Copyright © 2008 John Wiley &amp; Sons, Ltd.</t>
  </si>
  <si>
    <t>BPQEGSGL</t>
  </si>
  <si>
    <t>Murphy, James T.</t>
  </si>
  <si>
    <t>Making the energy transition in rural East Africa: Is leapfrogging an alternative?</t>
  </si>
  <si>
    <t>Technological Forecasting and Social Change</t>
  </si>
  <si>
    <t>00401625</t>
  </si>
  <si>
    <t>10.1016/S0040-1625(99)00091-8</t>
  </si>
  <si>
    <t>There is renewed optimism about the potential for leapfrogging in the rural energy sector of East Africa. By adopting highly efficient and renewable technologies many believe the region can rapidly bypass the conventional path of energy development and skip directly into the use of more efficient and environmentally friendly technologies. This study explores the potential for energy leapfrogging by examining three technological approaches targeted at rural households in East Africa: conventional grid expansion, renewable energy technologies supplying electricity, and improved cookstoves. The study identifies economic, social, political, and cultural factors limiting the ability of rural people to rapidly switch into using and/or supplying these technologies. The potential for leapfrogging may be overstated by planners and experts who focus on the technical and economic viability of the technologies while insufficiently considering the social conditions and economic realities of daily life in the region. Moreover, energy leapfrogging itself is considered a misconception. Energy transitions in rural areas are incremental processes-not leaps-dependent upon household and regional accumulations of technological capabilities. These capabilities have technical, organizational, and institutional components and are manifest in individuals' capacity to adapt to new technologies, their ability to take economic risks, and in their desire to modify their behavior. In designing technology dissemination or energy supply projects, planners must thoroughly account for the capabilities existing in rural areas. ?? 2001 Elsevier Science Inc. All rights reserved.</t>
  </si>
  <si>
    <t>92L6MDSB</t>
  </si>
  <si>
    <t>Muradian, Roldan; Walter, Mariana; Martinez-Alier, Joan</t>
  </si>
  <si>
    <t>Hegemonic transitions and global shifts in social metabolism: Implications for resource-rich countries. Introduction to the special section</t>
  </si>
  <si>
    <t>10.1016/j.gloenvcha.2012.03.004</t>
  </si>
  <si>
    <t>This introductory paper to the special section of Global Environmental Change entitled "Global transformations, social metabolism and the dynamics of socio-environmental conflicts" argues that the emergence of new global economic centers is inducing a major expansion in the global social metabolism-the flows of energy and materials into the world economy -, a transformation in the systems for the extraction and provision of natural resources, as well as setting the conditions for socio-environmental conflicts at the commodity frontiers, particularly in areas with a dense human occupation of the territory. We point out that we are currently experiencing global transformations that constitute the beginning of a new historical phase of modern capitalism. The aim of the paper is to draw an overall picture of such transformations, to discuss some of their implications for resource-rich countries, particularly in Latin America and Africa, and by doing so to provide an analytical framework that allow us to make explicit the linkages between the different papers that compose the special section. © 2012 Elsevier Ltd.</t>
  </si>
  <si>
    <t>ZZ483W87</t>
  </si>
  <si>
    <t>Newman, Matthew; Wittenberg, Andrew T.; Cheng, Linyin; Compo, Gilbert P.; Smith, Catherine A.</t>
  </si>
  <si>
    <t>The Extreme 2015/16 El Niño, in the Context of Historical Climate Variability and Change</t>
  </si>
  <si>
    <t>0003-0007</t>
  </si>
  <si>
    <t>S16-S20</t>
  </si>
  <si>
    <t>YD7RXSC6</t>
  </si>
  <si>
    <t>Navarro-Ortega, Alícia; Acuña, Vicenç; Bellin, Alberto; Burek, Peter; Cassiani, Giorgio; Choukr-Allah, Redouane; Dolédec, Sylvain; Elosegi, Arturo; Ferrari, Federico; Ginebreda, Antoni; Grathwohl, Peter; Jones, Colin; Rault, Philippe Ker; Kok, Kasper; Koundouri, Phoebe; Ludwig, Ralf Peter; Merz, Ralf; Milacic, Radmila; Muñoz, Isabel; Nikulin, Grigory; Paniconi, Claudio; Paunović, Momir; Petrovic, Mira; Sabater, Laia; Sabater, Sergi; Skoulikidis, Nikolaos Th; Slob, Adriaan; Teutsch, Georg; Voulvoulis, Nikolaos; Barceló, Damià</t>
  </si>
  <si>
    <t>Water scarcity is a serious environmental problem in many European regions, and will likely increase in the near future as a consequence of increased abstraction and climate change. Water scarcity exacerbates the effects of multiple stressors, and thus results in decreased water quality. It impacts river ecosystems, threatens the services they provide, and it will force managers and policy-makers to change their current practices. The EU-FP7 project GLOBAQUA aims at identifying the prevalence, interaction and linkages between stressors, and to assess their effects on the chemical and ecological status of freshwater ecosystems in order to improve water management practice and policies. GLOBAQUA assembles a multidisciplinary team of 21 European plus 2 non-European scientific institutions, as well as water authorities and river basin managers. The project includes experts in hydrology, chemistry, biology, geomorphology, modelling, socio-economics, governance science, knowledge brokerage, and policy advocacy. GLOBAQUA studies six river basins (Ebro, Adige, Sava, Evrotas, Anglian and Souss Massa) affected by water scarcity, and aims to answer the following questions: how does water scarcity interact with other existing stressors in the study river basins? How will these interactions change according to the different scenarios of future global change? Which will be the foreseeable consequences for river ecosystems? How will these in turn affect the services the ecosystems provide? How should management and policies be adapted to minimise the ecological, economic and societal consequences? These questions will be approached by combining data-mining, field- and laboratory-based research, and modelling. Here, we outline the general structure of the project and the activities to be conducted within the fourteen work-packages of GLOBAQUA.</t>
  </si>
  <si>
    <t>503-504</t>
  </si>
  <si>
    <t>M2MHDWYW</t>
  </si>
  <si>
    <t>Ng, Marie; Fleming, Tom; Robinson, Margaret; Thomson, Blake; Graetz, Nicholas; Margono, Christopher; Mullany, Erin C.; Biryukov, Stan; Abbafati, Cristiana; Abera, Semaw Ferede; Abraham, Jerry Puthenpurakal; Abu-Rmeileh, Niveen M. E.; Achoki, Tom; AlBuhairan, Fadia S.; Alemu, Zewdie A.; Alfonso, Rafael; Ali, Mohammed K.; Ali, Raghib; Guzman, Nelson Alvis; Ammar, Walid; Anwari, Palwasha; Banerjee, Amitava; Barquera, Simon; Basu, Sanjay; Bennett, Derrick A.; Bhutta, Zulfiqar; Blore, Jed; Cabral, Norberto; Nonato, Ismael Campos; Chang, Jung-Chen; Chowdhury, Rajiv; Courville, Karen J.; Criqui, Michael H.; Cundiff, David K.; Dabhadkar, Kaustubh C.; Dandona, Lalit; Davis, Adrian; Dayama, Anand; Dharmaratne, Samath D.; Ding, Eric L.; Durrani, Adnan M.; Esteghamati, Alireza; Farzadfar, Farshad; Fay, Derek F. J.; Feigin, Valery L.; Flaxman, Abraham; Forouzanfar, Mohammad H.; Goto, Atsushi; Green, Mark A.; Gupta, Rajeev; Hafezi-Nejad, Nima; Hankey, Graeme J.; Harewood, Heather C.; Havmoeller, Rasmus; Hay, Simon; Hernandez, Lucia; Husseini, Abdullatif; Idrisov, Bulat T.; Ikeda, Nayu; Islami, Farhad; Jahangir, Eiman; Jassal, Simerjot K.; Jee, Sun Ha; Jeffreys, Mona; Jonas, Jost B.; Kabagambe, Edmond K.; Khalifa, Shams Eldin Ali Hassan; Kengne, Andre Pascal; Khader, Yousef Saleh; Khang, Young-Ho; Kim, Daniel; Kimokoti, Ruth W.; Kinge, Jonas M.; Kokubo, Yoshihiro; Kosen, Soewarta; Kwan, Gene; Lai, Taavi; Leinsalu, Mall; Li, Yichong; Liang, Xiaofeng; Liu, Shiwei; Logroscino, Giancarlo; Lotufo, Paulo A.; Lu, Yuan; Ma, Jixiang; Mainoo, Nana Kwaku; Mensah, George A.; Merriman, Tony R.; Mokdad, Ali H.; Moschandreas, Joanna; Naghavi, Mohsen; Naheed, Aliya; Nand, Devina; Narayan, K. M. Venkat; Nelson, Erica Leigh; Neuhouser, Marian L.; Nisar, Muhammad Imran; Ohkubo, Takayoshi; Oti, Samuel O.; Pedroza, Andrea; Prabhakaran, Dorairaj; Roy, Nobhojit; Sampson, Uchechukwu; Seo, Hyeyoung; Sepanlou, Sadaf G.; Shibuya, Kenji; Shiri, Rahman; Shiue, Ivy; Singh, Gitanjali M.; Singh, Jasvinder A.; Skirbekk, Vegard; Stapelberg, Nicolas J. C.; Sturua, Lela; Sykes, Bryan L.; Tobias, Martin; Tran, Bach X.; Trasande, Leonardo; Toyoshima, Hideaki; van de Vijver, Steven; Vasankari, Tommi J.; Veerman, J. Lennert; Velasquez-Melendez, Gustavo; Vlassov, Vasiliy Victorovich; Vollset, Stein Emil; Vos, Theo; Wang, Claire; Wang, XiaoRong; Weiderpass, Elisabete; Werdecker, Andrea; Wright, Jonathan L.; Yang, Y. Claire; Yatsuya, Hiroshi; Yoon, Jihyun; Yoon, Seok-Jun; Zhao, Yong; Zhou, Maigeng; Zhu, Shankuan; Lopez, Alan D.; Murray, Christopher J. L.; Gakidou, Emmanuela</t>
  </si>
  <si>
    <t>Global, regional, and national prevalence of overweight and obesity in children and adults during 1980-2013: a systematic analysis for the Global Burden of Disease Study 2013</t>
  </si>
  <si>
    <t>Lancet</t>
  </si>
  <si>
    <t>1474-547X</t>
  </si>
  <si>
    <t>10.1016/S0140-6736(14)60460-8</t>
  </si>
  <si>
    <t>BACKGROUND In 2010, overweight and obesity were estimated to cause 3·4 million deaths, 3·9% of years of life lost, and 3·8% of disability-adjusted life-years (DALYs) worldwide. The rise in obesity has led to widespread calls for regular monitoring of changes in overweight and obesity prevalence in all populations. Comparable, up-to-date information about levels and trends is essential to quantify population health effects and to prompt decision makers to prioritise action. We estimate the global, regional, and national prevalence of overweight and obesity in children and adults during 1980-2013. METHODS We systematically identified surveys, reports, and published studies (n=1769) that included data for height and weight, both through physical measurements and self-reports. We used mixed effects linear regression to correct for bias in self-reports. We obtained data for prevalence of obesity and overweight by age, sex, country, and year (n=19,244) with a spatiotemporal Gaussian process regression model to estimate prevalence with 95% uncertainty intervals (UIs). FINDINGS Worldwide, the proportion of adults with a body-mass index (BMI) of 25 kg/m(2) or greater increased between 1980 and 2013 from 28·8% (95% UI 28·4-29·3) to 36·9% (36·3-37·4) in men, and from 29·8% (29·3-30·2) to 38·0% (37·5-38·5) in women. Prevalence has increased substantially in children and adolescents in developed countries; 23·8% (22·9-24·7) of boys and 22·6% (21·7-23·6) of girls were overweight or obese in 2013. The prevalence of overweight and obesity has also increased in children and adolescents in developing countries, from 8·1% (7·7-8·6) to 12·9% (12·3-13·5) in 2013 for boys and from 8·4% (8·1-8·8) to 13·4% (13·0-13·9) in girls. In adults, estimated prevalence of obesity exceeded 50% in men in Tonga and in women in Kuwait, Kiribati, Federated States of Micronesia, Libya, Qatar, Tonga, and Samoa. Since 2006, the increase in adult obesity in developed countries has slowed down. INTERPRETATION Because of the established health risks and substantial increases in prevalence, obesity has become a major global health challenge. Not only is obesity increasing, but no national success stories have been reported in the past 33 years. Urgent global action and leadership is needed to help countries to more effectively intervene. FUNDING Bill &amp; Melinda Gates Foundation.</t>
  </si>
  <si>
    <t>VNB85L84</t>
  </si>
  <si>
    <t>Newbold, Tim; Hudson, Lawrence N.; Arnell, Andrew P.; Contu, Sara; Al, Et</t>
  </si>
  <si>
    <t>Dataset: Global map of the Biodiversity Intactness Index, from Newbold et al. (2016) Science</t>
  </si>
  <si>
    <t>https://data.nhm.ac.uk/dataset/global-map-of-the-biodiversity-intactness-index-from-newbold-et-al-2016-science</t>
  </si>
  <si>
    <t>XM36SZ3Y</t>
  </si>
  <si>
    <t>Ndangalasi, Henry J.; Bitariho, Robert; Dovie, Delali B. K.</t>
  </si>
  <si>
    <t>Harvesting of non-timber forest products and implications for conservation in two montane forests of East Africa</t>
  </si>
  <si>
    <t>10.1016/j.biocon.2006.06.020</t>
  </si>
  <si>
    <t>Plant species-level research that comprises inventories, impact studies and monitoring is necessary if plant resources are to be harvested sustainably by human populations living adjacent to protected areas in sub-Saharan Africa. This research assessed the extraction of plant products from two montane forest ecosystems, Uzungwa Scarp Forest Reserve (USFR) and Bwindi Impenetrable National Park (BINP), East Africa. In USFR, data from vegetation sampling and interviews with local people were used to understand the ecological and socio-economic aspects of non-timber forest product (NTFP) harvesting. The densities of eight commonly harvested tree species, most of which were used as building poles, were approximately 2.4–4.5 times lower in disturbed versus undisturbed habitats across all four sites in USFR. Interviews with 91 women and 54 men suggested that most species were harvested for medicinal uses (57 species) and building purposes (50 species). In BINP, the liana Loeseneriella apocynoides (Apocynaceae), is harvested for basketry weaving. Evidence suggested that the liana was harvested in both protected and unprotected areas of BINP. Data collected suggested a negative impact on this species in an unprotected versus a protected area, with stem diameters larger than 1 cm significantly more abundant in the protected area. This study reveals that harvesting of NTFPs occurs even in these two protected forest areas, and that over-exploitation not only threatens species of high-demand, but could also alter forest structure and composition. Management practices that encourage the monitoring of sustainable harvesting levels of species and promote alternative plants for the same uses should be considered as part of conservation strategies.</t>
  </si>
  <si>
    <t>242-250</t>
  </si>
  <si>
    <t>134</t>
  </si>
  <si>
    <t>F89DIEB2</t>
  </si>
  <si>
    <t>Odum, Howard T.; Odum, Elisabeth C.</t>
  </si>
  <si>
    <t>The prosperous way down</t>
  </si>
  <si>
    <t>10.1016/j.energy.2004.05.012</t>
  </si>
  <si>
    <t>Principles that appear to govern all systems including human societies were used to consider the time of economic descent ahead. These include the energy laws, the emergy concept, the maximum empower principle, the universal energy hierarchy, the conservation and hierarchical distribution of materials, the spatial organization of centers, and the pulsing paradigm. Population and cities, energy consumption and climate change, agriculture and environment, information and electric power, capitalism and economic policies, structures and materials, human life and standard of living are dealt with in this paper as interconnected aspects of the same problem, i.e. the necessary descent phase of human economies, due to decreasing resource base. We expect much of the resource use, culture and public policy appropriate for the growth period to be replaced with a new set of ethics and policies affecting each scale of time and space during descent. Decisive changes in attitudes and practices can divert a destructive collapse, leading instead to a prosperous way down.</t>
  </si>
  <si>
    <t>21-32</t>
  </si>
  <si>
    <t>74ZTLBJ2</t>
  </si>
  <si>
    <t>Nsita, Steve Amooti</t>
  </si>
  <si>
    <t>Decentralization and forest management in Uganda</t>
  </si>
  <si>
    <t>The Politics of Decentralization: Forests, Power, and People</t>
  </si>
  <si>
    <t>Local governments in Uganda manage 5000 hectares (ha) of local forest reserves and oversee the forests on private lands, which constitute 70 percent of Uganda's forests. Ten years after the decentralisation process was introduced in Uganda, it is not really embraced forests. Friction between the central government Forestry Department and local governments continues because the laws governing local governments and those governing forestry have not clarified whether forests are decentralised or not. The ensuing confusion has led to deterioration of forests through illegal harvesting and encroachment for agriculture and settlement. Local forest reserves created in 1998 were not transferred to local governments with corresponding resources to manage them. Therefore, they did not take up the responsibility. These reserves also became heavily encroached. Decentralisation has inspired almost no public or private investment at the forest level. However, definable individual financial benefits indicate the beginnings of private capital investment in forestry.</t>
  </si>
  <si>
    <t>Earthscan</t>
  </si>
  <si>
    <t>Colfer, C.; Capistrano, D.</t>
  </si>
  <si>
    <t>M67QXNXF</t>
  </si>
  <si>
    <t>Nordhaus, William D.; Boyer, Joseph</t>
  </si>
  <si>
    <t>Warming the World. Economic Models of Global Warming</t>
  </si>
  <si>
    <t>0-262-14071-3</t>
  </si>
  <si>
    <t>68LSIECK</t>
  </si>
  <si>
    <t>Nolte, Kerstin; Väth, Susanne Johanna</t>
  </si>
  <si>
    <t>Interplay of land governance and large-scale agricultural investment: evidence from Ghana and Kenya</t>
  </si>
  <si>
    <t>The Journal of Modern African Studies</t>
  </si>
  <si>
    <t>0022-278X</t>
  </si>
  <si>
    <t>10.1017/S0022278X14000688</t>
  </si>
  <si>
    <t>This comparative analysis examines how large-scale agricultural land acquisitions are implemented in Ghana and Kenya, using embedded case studies of two specific investment projects. We find that insufficiencies in these countries' land governance systems are partly caused by discrepancies between de jure and de facto procedures and that powerful actors tend to operate in the legal grey areas. These actors determine the implementation of projects to a large extent. Displacement and compensation are highly emotive issues that exacerbate tensions around the investment. We also find that large-scale land acquisitions have a feedback effect on the land governance system, which suggests that large-scale land acquisitions can be drivers of institutional change. We suggest there may be a window of opportunity here to reform these land governance systems.</t>
  </si>
  <si>
    <t>ZEVPCLPN</t>
  </si>
  <si>
    <t>Nolte, Kerstin; Chamberlain, Wytske; Giger, Markus</t>
  </si>
  <si>
    <t>International Land Deals for Agriculture. Fresh insights from the Land Matrix: Analytical Report II</t>
  </si>
  <si>
    <t>CDE/CIRAD/GIGA/University of Pretoria</t>
  </si>
  <si>
    <t>TAMEKXSP</t>
  </si>
  <si>
    <t>Nkambwe, Musisi; Sekhwela, Mogodisheng B. M.</t>
  </si>
  <si>
    <t>Utilization characteristics and importance of woody biomass resources on the rural-urban fringe in Botswana</t>
  </si>
  <si>
    <t>0364152X</t>
  </si>
  <si>
    <t>10.1007/s00267-005-2776-4</t>
  </si>
  <si>
    <t>This article examines the utilization characteristics and importance of woody biomass resources in the rural-urban fringe zones of Botswana. In the literature for Africa, attention has been given to the availability and utilization of biomass in either urban or rural environments, but the rural-urban fringe has been neglected. Within southern Africa, this neglect is not justified; the rural-urban fringe, not getting the full benefits available in urban environments in Botswana, has developed problems in woody biomass availability and utilization that require close attention. In this article, socioeconomic data on the importance of woody biomass in the Batlokwa Tribal Territory, on the rural-urban fringe of Gaborone, Botswana, were collected together with ecologic data that reveal the utilization characteristics and potential for regrowth of woody biomass. The analysis of these results show that local woody biomass is very important in the daily lives of communities in the rural-urban fringe zones and that there is a high level of harvesting. However, there is no effort in planning land use in the tribal territory to either conserve this resource or provide alternatives to its utilization. The future of woody biomass resources in Botswana's rural-urban fringe is uncertain. The investigators recommend that a comprehensive policy for the development of the rural-urban fringe consider the importance of this resource. The neglect of this resource will have far-reaching implications on the livelihoods of residents as well as the environment in this zone.</t>
  </si>
  <si>
    <t>I4G424R4</t>
  </si>
  <si>
    <t>Oates, Wallace E.; Portney, Paul R.</t>
  </si>
  <si>
    <t>The political economy of environmental policy</t>
  </si>
  <si>
    <t>Handbook of environmental economics</t>
  </si>
  <si>
    <t>325-354</t>
  </si>
  <si>
    <t>MZKXP8GX</t>
  </si>
  <si>
    <t>Nolte, Kerstin</t>
  </si>
  <si>
    <t>Large-scale agricultural investments under poor land governance in Zambia</t>
  </si>
  <si>
    <t>10.1016/j.landusepol.2014.01.014</t>
  </si>
  <si>
    <t>This paper looks at how large-scale land acquisitions made by foreign investors in Zambia are implemented. It scrutinizes both the steps that an investor has to go through in order to attain land within the Zambian land governance system as well as the actors shaping the acquisition process. As the most important formal change introduced to the Zambian land governance system, the Lands Act 1995 paved the way for foreign investments in land. The new actor "investor" on the other hand has emerged as a result of rising prices for food and non-food commodities. The study finds that the enforcement of formal rules in the process of acquiring land is currently weak and largely determined by a number of actors: while investors, local authorities and government officials have strong leverage, local land users are excluded from the process. If the process of transformations of customary land into state land continues, land administration will be inevitably shifted toward statutory jurisdiction. As a result, local chiefs will lose their discretionary power thereby further marginalizing local land users. As it stands, welfare implications are chiefly down to the individual actors. However, it is only the government that can issue a guarantee that local land users will also benefit from land acquisition. ?? 2014 Elsevier Ltd.</t>
  </si>
  <si>
    <t>6WA38VXL</t>
  </si>
  <si>
    <t>Ohmagari, Kayo; Berkes, Fikret</t>
  </si>
  <si>
    <t>Transmission of Indigenous Knowledge and Bush Skills among the Western James Bay Cree Women of Subarctic Canada</t>
  </si>
  <si>
    <t>10.1023/A:1021922105740</t>
  </si>
  <si>
    <t>The transmission of 93 items of women's indigenous knowledge and bush skills was studied in two subarctic Omushkego (West Main) Cree Indian communities, Moose Factory and Peawanuck, Ontario, Canada. About half of all bush skills were still being transmitted at the "hands-on" learning stage. Some skills such as setting snares and fishnets, beadwork, smoking geese, and tanning moose and caribou hides were transmitted well. Many skills no longer essential for livelihoods, such as some fur preparation skills and food preservation techniques, were not. Loss of certain skills and incomplete transmission of others (a lower level of mastery than in older generations) were attributable to changes in the educational environment, diminished time available in the bush, problems related to learning bush skills at later ages, and changes in value systems. These factors seemed to impair the traditional mode of education based on participant observation and apprenticeship in the bush, which provided the essential self-disciplining educational environment. Policy measures to counteract these trends may include the institution of a hunters' income security program to provide incentives for family units to go on the land, rather than all-male hunting parties</t>
  </si>
  <si>
    <t>DKDFCDUS</t>
  </si>
  <si>
    <t>Oh, Chi-Ok; Ditton, Robert B.</t>
  </si>
  <si>
    <t>Using Recreation Specialization to Understand Conservation Support</t>
  </si>
  <si>
    <t>Journal of Leisure Research</t>
  </si>
  <si>
    <t>0022-2216</t>
  </si>
  <si>
    <t>10.1080/00222216.2008.11950152</t>
  </si>
  <si>
    <t>556-573</t>
  </si>
  <si>
    <t>QNYUTWRG</t>
  </si>
  <si>
    <t>Using Recreation Specialization to Understand Multi-Attribute Management PReferences</t>
  </si>
  <si>
    <t>Leisure Sciences</t>
  </si>
  <si>
    <t>0149-0400</t>
  </si>
  <si>
    <t>10.1080/01490400600745886</t>
  </si>
  <si>
    <t>369-384</t>
  </si>
  <si>
    <t>PXQEA89R</t>
  </si>
  <si>
    <t>Ogutu, Gilbert E. M.</t>
  </si>
  <si>
    <t>God, Humanity &amp; Mother Nature</t>
  </si>
  <si>
    <t>Masaki Publishers</t>
  </si>
  <si>
    <t>NWRIV342</t>
  </si>
  <si>
    <t>O'Rourke, Dara</t>
  </si>
  <si>
    <t>Community-driven regulation: Balancing development and the environment in Vietnam</t>
  </si>
  <si>
    <t>RALVZNIZ</t>
  </si>
  <si>
    <t>Meyfroidt, Patrick; Chowdhury, R. Roy; de Bremond, A.; Ellis, E. C.; Erb, K. H.; Filatova, Tatiana; Garrett, R. D.; Grove, J. Morgan; Heinimann, Andreas; Kuemmerle, Tobias</t>
  </si>
  <si>
    <t>Middle-range theories of land system change</t>
  </si>
  <si>
    <t>Global environmental change</t>
  </si>
  <si>
    <t>0959-3780</t>
  </si>
  <si>
    <t>10.1016/j.gloenvcha.2018.08.006</t>
  </si>
  <si>
    <t>52-67</t>
  </si>
  <si>
    <t>R87T8CDC</t>
  </si>
  <si>
    <t>Milberg, W.</t>
  </si>
  <si>
    <t>The changing structure of trade linked to global production systems: What are the policy implications?</t>
  </si>
  <si>
    <t>International Labour Review</t>
  </si>
  <si>
    <t>00207780</t>
  </si>
  <si>
    <t>10.1111/j.1564-913X.2004.tb00546.x</t>
  </si>
  <si>
    <t>The author examines the changing structure of trade linked to global production systems. The first section of the article discusses world trends in trade and foreign direct investment. The second section discusses global production sharing generally, with emphasis on external forms of outsourcing. The third and fourth sections analyze the implications of global production systems for the theories of foreign trade and investment. The fifth section evaluates the evidence on market structure across global commodity chains. The sixth section examines the consequences of globalized production for labor and capital. The seventh section discusses policy issues relevant to economic development.</t>
  </si>
  <si>
    <t>2004-03</t>
  </si>
  <si>
    <t>45-90</t>
  </si>
  <si>
    <t>RGQGKS9V</t>
  </si>
  <si>
    <t>Michaels, Guy</t>
  </si>
  <si>
    <t>The Effect of Trade on the Demand for Skill: Evidence from the Interstate Highway System</t>
  </si>
  <si>
    <t>0034-6535</t>
  </si>
  <si>
    <t>10.1162/rest.90.4.683</t>
  </si>
  <si>
    <t>The advent of the U.S. Interstate Highway System provides an interesting experiment, which I use to identify the labor market effects of reduced trade barriers. This highway network was designed to connect cities and border crossings and to serve national defense, and as an unintended consequence it crossed many rural counties. I find that these counties experienced an increase in trade-related activities, such as trucking and retail sales. By increasing trade, the highways raised the relative demand for skilled manufacturing workers in skill-abundant counties and reduced it elsewhere, consistent with the predictions of the Heckscher-Ohlin model.</t>
  </si>
  <si>
    <t>683-701</t>
  </si>
  <si>
    <t>BH6RW3DK</t>
  </si>
  <si>
    <t>Minang, P. A.</t>
  </si>
  <si>
    <t>Values, Incentives and Ecosystem Services in Environmentalism</t>
  </si>
  <si>
    <t>Rethinking Environmentalism: Linking Justice, Sustainability, and Diversity</t>
  </si>
  <si>
    <t>Lele, Sharachchandra Madhukar</t>
  </si>
  <si>
    <t>BZ2R57LV</t>
  </si>
  <si>
    <t>Mills, Charles W.</t>
  </si>
  <si>
    <t>The Racial Contract</t>
  </si>
  <si>
    <t>0-8014-8463-4</t>
  </si>
  <si>
    <t>Cornell University Press</t>
  </si>
  <si>
    <t>53I3FCWQ</t>
  </si>
  <si>
    <t>Mora, Camilo; Sale, Peter F.</t>
  </si>
  <si>
    <t>Ongoing global biodiversity loss and the need to move beyond protected areas: A review of the technical and practical shortcomings of protected areas on land and sea</t>
  </si>
  <si>
    <t>Marine Ecology Progress Series</t>
  </si>
  <si>
    <t>01718630</t>
  </si>
  <si>
    <t>10.3354/meps09214</t>
  </si>
  <si>
    <t>A leading strategy in international efforts to reverse ongoing losses in biodiversity is the use of protected areas. We use a broad range of data and a review of the literature to show that the effectiveness of existing, and the current pace of the establishment of new, protected areas will not be able to overcome current trends of loss of marine and terrestrial biodiversity. Despite local successes of well-designed and well-managed protected areas proving effective in stemming biodiversity loss, there are significant shortcomings in the usual process of implementation of protected areas that preclude relying on them as a global solution to this problem. The shortcomings include technical problems associated with large gaps in the coverage of critical ecological processes related to individual home ranges and propagule dispersal, and the overall failure of such areas to protect against the broad range of threats affecting ecosystems. Practical issues include budget constraints, conflicts with human development, and a growing human population that will increase not only the extent of anthropogenic stressors but the difficulty in successfully enforcing protected areas. While efforts towards improving and increasing the number and/or size of protected areas must continue, there is a clear and urgent need for the development of additional solutions for biodiversity loss, particularly ones that stabilize the size of the world's human population and our ecological demands on biodiversity.</t>
  </si>
  <si>
    <t>HKQZT4QH</t>
  </si>
  <si>
    <t>Mohai, Paul; Saha, Robin</t>
  </si>
  <si>
    <t>Reassessing Racial and Socioeconomic Disparities in Environmental Justice Research</t>
  </si>
  <si>
    <t>Demography</t>
  </si>
  <si>
    <t>1533-7790</t>
  </si>
  <si>
    <t>10.1353/dem.2006.0017</t>
  </si>
  <si>
    <t>The number of studies examining racial and socioeconomic disparities in the geographic distri-bution of environmental hazards and locally unwanted land uses has grown considerably over the past decade. Most studies have found statistically signi¿ cant racial and socioeconomic disparities associ-ated with hazardous sites. However, there is considerable variation in the magnitude of racial and so-cioeconomic disparities found; indeed, some studies have found none. Uncertainties also exist about the underlying causes of the disparities. Many of these uncertainties can be attributed to the failure of the most widely used method for assessing environmental disparities to adequately account for prox-imity between the hazard under investigation and nearby residential populations. In this article, we identify the reasons for and consequences of this failure and demonstrate ways of overcoming these shortcomings by using alternate, distance-based methods. Through the application of such methods, we show how assessments about the magnitude and causes of racial and socioeconomic disparities in the distribution of hazardous sites are changed. In addition to research on environmental inequal-ity, we discuss how distance-based methods can be usefully applied to other areas of demographic research that explore the effects of neighborhood context on a range of social outcomes.</t>
  </si>
  <si>
    <t>3TSB2A77</t>
  </si>
  <si>
    <t>Miura, Keiko</t>
  </si>
  <si>
    <t>Conservation of a ‘living heritage site' A contradiction in terms? A case study of Angkor World Heritage Site</t>
  </si>
  <si>
    <t>Conservation and Management of Archaeological Sites</t>
  </si>
  <si>
    <t>1350-5033</t>
  </si>
  <si>
    <t>10.1179/135050305793137602</t>
  </si>
  <si>
    <t>This article censiders the netien ef 'living heritage' in the light ef a case study ef Angker Werld Heritage Site. It demonstrates the gulf between the eld censervatien appreach ef freezing an idealized past fer the interest ef eutsiders and the need for a new appreach that incerperates the idea ef making the site 'living'. The key stakeholders ef Angker, the leca'i inhabitants, are excluded from their social space, heritage and policy-making. The cencept of censervatien has been challenged by this cemmunity, which is alsO'enceuraged to' develep the site and maintain it as a 'living' place. The artic'le exp'lores a new conservation ethic and management approach that is mere dynamic, peeple-centred and futureoriented.</t>
  </si>
  <si>
    <t>3-18</t>
  </si>
  <si>
    <t>MWMPBB6Z</t>
  </si>
  <si>
    <t>Molnar, Augusta; France, Marina; Purdy, Lopaka; Karver, Jonathan</t>
  </si>
  <si>
    <t>Community-based forest management: The extent and potential scope of community and smallholder forest management and enterprises</t>
  </si>
  <si>
    <t>6I26SDJN</t>
  </si>
  <si>
    <t>Mohai, Paul; Lantz, Paula M.; Morenoff, Jeffrey; House, James S.; Mero, Richard P.</t>
  </si>
  <si>
    <t>Racial and socioeconomic disparities in residential proximity to polluting industrial facilities: evidence from the Americans' Changing Lives Study</t>
  </si>
  <si>
    <t>American journal of public health</t>
  </si>
  <si>
    <t>15410048</t>
  </si>
  <si>
    <t>10.2105/AJPH.2007.131383</t>
  </si>
  <si>
    <t>We sought to demonstrate the advantages of using individual-level survey data in quantitative environmental justice analyses and to provide new evidence regarding racial and socioeconomic disparities in the distribution of polluting industrial facilities.</t>
  </si>
  <si>
    <t>3Z4UG8MF</t>
  </si>
  <si>
    <t>Moreno-Calles, Ana; Casas, Alejandro; Toledo, Victor; Vallejo, Mariana</t>
  </si>
  <si>
    <t>Etnogroforestería en México</t>
  </si>
  <si>
    <t>Instituto de Investigaciones en Ecosistemas y Sustentabilidad, UNAM</t>
  </si>
  <si>
    <t>3XS9C7SQ</t>
  </si>
  <si>
    <t>Morello-Frosch, R.; Zuk, M.; Jerrett, M.; Shamasunder, B.; Kyle, A. D.</t>
  </si>
  <si>
    <t>Understanding the cumulative impacts of inequalities in environmental health: Implications for policy</t>
  </si>
  <si>
    <t>Health Affairs</t>
  </si>
  <si>
    <t>10.1377/hlthaff.2011.0153</t>
  </si>
  <si>
    <t>Racial or ethnic minority groups and low-income communities have poorer health outcomes than others. They are more frequently exposed to multiple environmental hazards and social stressors, including poverty, poor housing quality, and social inequality. Researchers are grappling with how best to characterize the cumulative effects of these hazards and stressors in order to help regulators and decision makers craft more-effective policies to address health and environmental disparities. In this article we synthesize the existing scientific evidence regarding the cumulative health implications of higher rates of exposure to environmental hazards, along with individual biological susceptibility and social vulnerability.We conclude that current environmental policy, which is focused narrowly on pollutants and their sources, should be broadened to take into account the cumulative impact of exposures and vulnerabilities encountered by people who live in neighborhoods consisting largely of racial or ethnic minorities or people of low socioeconomic status. © 2011 Project HOPE-The People-to-People Health Foundation, Inc.</t>
  </si>
  <si>
    <t>VABMUKS8</t>
  </si>
  <si>
    <t>Moritz, Mark; Scholte, Paul; Hamilton, Ian M.; Kari, Saïdou</t>
  </si>
  <si>
    <t>Open Access, Open Systems: Pastoral Management of Common-Pool Resources in the Chad Basin</t>
  </si>
  <si>
    <t>1572-9915</t>
  </si>
  <si>
    <t>10.1007/s10745-012-9550-z</t>
  </si>
  <si>
    <t>The discussion about the impact of pastoralists on ecosystems has been profoundly shaped by Hardin's tragedy of the commons that held pastoralists responsible for overgrazing the range. Research has shown that grazing ecosystems are much more complex and dynamic than was previously assumed and that they can be managed adaptively as commons. However, proponents and critics of Hardin's thesis continue to argue that open access to common-pool resources inevitably leads to a tragedy of the commons. A longitudinal study that we conducted of pastoral mobility and primary production in the Logone floodplain in the Far North Region of Cameroon suggest that open access does not have to lead to a tragedy of the commons. We argue that this pastoral system is best conceptualized as an open system, in which a combination of individual decision-making and coordination of movements leads to an ideal-free type of distribution of mobile pastoralists. We explain how this self-organizing system of open access works and its implications for theories of management of common-pool resources and our understanding of pastoral systems.</t>
  </si>
  <si>
    <t>351-365</t>
  </si>
  <si>
    <t>EGAKRQSH</t>
  </si>
  <si>
    <t>Morello-Frosch, R.; Shenassa, Edmond D.</t>
  </si>
  <si>
    <t>The environmental "Riskscape" and social inequality: Implications for explaining maternal and child health disparities</t>
  </si>
  <si>
    <t>0091-6765 (Print)$\backslash$r0091-6765</t>
  </si>
  <si>
    <t>BACKGROUND: Research indicates that the double jeopardy of exposure to environmental hazards combined with place-based stressors is associated with maternal and child health (MCH) disparities.$\backslash$n$\backslash$nOBJECTIVE AND DISCUSSION: Our aim is to present evidence that individual-level and place-based psychosocial stressors may compromise host resistance such that environmental pollutants would have adverse health effects at relatively lower doses, thus partially explaining MCH disparities, particularly poor birth outcomes. Allostatic load may be a physiologic mechanism behind the moderation of the toxic effect of environmental pollutants by social stressors. We propose a conceptual framework for holistic approaches to future MCH research that elucidates the interplay of psychosocial stressors and environmental hazards in order to better explain drivers of MCH disparities.$\backslash$n$\backslash$nCONCLUSION: Given the complexity of the link between environmental factors and MCH disparities, a holistic approach to future MCH research that seeks to untangle the double jeopardy of chronic stressors and environmental hazard exposures could help elucidate how the interplay of these factors shapes persistent racial and economic disparities in MCH.</t>
  </si>
  <si>
    <t>45KIJHVX</t>
  </si>
  <si>
    <t>Review of Fisheries: Country Statistics 2015</t>
  </si>
  <si>
    <t>978-92-64-25125-0</t>
  </si>
  <si>
    <t>2016-02</t>
  </si>
  <si>
    <t>OECD Review of Fisheries: Country Statistics</t>
  </si>
  <si>
    <t>OECD Publishing</t>
  </si>
  <si>
    <t>6M83BA9C</t>
  </si>
  <si>
    <t>The Distributional Effects of Environmental Policy</t>
  </si>
  <si>
    <t>Edward Elgar</t>
  </si>
  <si>
    <t>Northampton</t>
  </si>
  <si>
    <t>Serret, Yse</t>
  </si>
  <si>
    <t>Johnstone, Nick</t>
  </si>
  <si>
    <t>IZTDVDBD</t>
  </si>
  <si>
    <t>Air and GHG emissions (indicator)</t>
  </si>
  <si>
    <t>https://data.oecd.org/air/air-and-ghg-emissions.htm</t>
  </si>
  <si>
    <t>7YRR3E4E</t>
  </si>
  <si>
    <t>Municipal waste</t>
  </si>
  <si>
    <t>https://data.oecd.org/waste/municipal-waste.htm</t>
  </si>
  <si>
    <t>XTN3XYAG</t>
  </si>
  <si>
    <t>Amede, Tilahun; Kassa, Habtemariam; Zeleke, Gete; Shiferaw, Abebe; Kismu, Simon; Teshome, Melese</t>
  </si>
  <si>
    <t>Working with communities and building local institutions for sustainable land management in the Ethiopian highlands</t>
  </si>
  <si>
    <t>10.1659/0276-4741(2007)27[15:WWCABL]2.0.CO;2</t>
  </si>
  <si>
    <t>2022-09-23 09:10:23</t>
  </si>
  <si>
    <t>2022-09-23T09:10:23Z</t>
  </si>
  <si>
    <t>15-19</t>
  </si>
  <si>
    <t>UE3JCMV5</t>
  </si>
  <si>
    <t>Andam, Kwaw S.; Ferraro, Paul J.; Sims, Katharine R. E.; Healy, Andrew; Holland, Margaret B.</t>
  </si>
  <si>
    <t>Protected areas reduced poverty in Costa Rica and Thailand</t>
  </si>
  <si>
    <t>10.1073/pnas.0914177107</t>
  </si>
  <si>
    <t>2022-09-23 09:08:06</t>
  </si>
  <si>
    <t>2022-09-23T09:08:06Z</t>
  </si>
  <si>
    <t>9996-10001</t>
  </si>
  <si>
    <t>9WLR84HT</t>
  </si>
  <si>
    <t>Anderson, Tracy L.</t>
  </si>
  <si>
    <t>One World, One Ocean, One Mission</t>
  </si>
  <si>
    <t>Earth Common Journal</t>
  </si>
  <si>
    <t>10.31542/j.ecj.77</t>
  </si>
  <si>
    <t>2022-09-23 09:00:28</t>
  </si>
  <si>
    <t>2022-09-23T09:00:28Z</t>
  </si>
  <si>
    <t>ZNFXX6AJ</t>
  </si>
  <si>
    <t>Angelsen, Arild; Kaimowitz, D.</t>
  </si>
  <si>
    <t>Rethinking the causes of deforestation: Lessons from economic models</t>
  </si>
  <si>
    <t>The World Bank research observer</t>
  </si>
  <si>
    <t>0257-3032</t>
  </si>
  <si>
    <t>10.1093/wbro/14.1.73</t>
  </si>
  <si>
    <t>Concern is rising over the deleterious effects of tropical deforestation. For example, the loss of forest cover influences the climate and reduces biodiversity, while reduced timber supplies, siltation, flooding, and soil degradation affect economic activity and threaten the livelihoods and cultural integrity of forest-dependent people. Such concerns have led economists to expand their efforts to model why, where, and to what extent forests are being converted to other land uses. This synthesis of the results of more than 140 economic models analyzing the causes of tropical deforestation brings into question many conventional hypotheses upon deforestation. More roads, higher agricultural prices, lower wages, and a shortage of off-farm employment generally lead to more deforestation. However, it is not known how technical change, agricultural input prices, household income levels, and tenure security affect deforestation. The role of macroeconomic factors such as population growth, poverty reduction, national income, economic growth, and foreign debt is also unclear. The authors nonetheless determine through their review that policy reforms included in current economic liberalization and adjustment efforts may increase pressure upon forests.</t>
  </si>
  <si>
    <t>1999-02</t>
  </si>
  <si>
    <t>2022-09-23 09:00:08</t>
  </si>
  <si>
    <t>2022-09-23T09:00:08Z</t>
  </si>
  <si>
    <t>73-98</t>
  </si>
  <si>
    <t>Z2G2MV6N</t>
  </si>
  <si>
    <t>Anderson, Sarah; Cavanagh, John</t>
  </si>
  <si>
    <t>Top 200: The Rise of Global Corporate Power</t>
  </si>
  <si>
    <t>http://www. globalpolicy. org</t>
  </si>
  <si>
    <t>Corporate Watch</t>
  </si>
  <si>
    <t>6UYJHTM9</t>
  </si>
  <si>
    <t>Angelsen, Arild</t>
  </si>
  <si>
    <t>Forest cover change in space and time: combining the von Thünen and forest transition theories</t>
  </si>
  <si>
    <t>XZAUYQLD</t>
  </si>
  <si>
    <t>Andersson, Krister; Agrawal, Arun</t>
  </si>
  <si>
    <t>Inequalities, institutions, and forest commons</t>
  </si>
  <si>
    <t>10.1016/j.gloenvcha.2011.03.004</t>
  </si>
  <si>
    <t>866-875</t>
  </si>
  <si>
    <t>L6E9CWII</t>
  </si>
  <si>
    <t>Anderson, Terry; Arnason, Ragnar; Libecap, Gary D.</t>
  </si>
  <si>
    <t>Efficiency Advantages of Grandfathering in Rights-Based Fisheries Management</t>
  </si>
  <si>
    <t>10.1146/annurev-resource-083110-120056</t>
  </si>
  <si>
    <t>We show that grandfathering fishing rights to local users or recognizing first possessions is more dynamically efficient than auctions of such rights. It is often argued that auctions allocate rights to the highest-valued users and thereby maximize resource rents. We counter that rents are not fixed in situ, but rather depend additionally upon the innovation, investment, and collective actions of fishers, who discover and enhance stocks and convert them into valuable goods and services. Our analysis shows how grandfathering increases rents by raising expected rates of return for investment, lowering the cost of capital, and providing incentives for collective action.</t>
  </si>
  <si>
    <t>159-179</t>
  </si>
  <si>
    <t>LXN7L3EG</t>
  </si>
  <si>
    <t>Andersen, L. E.; Granger, C. W. J.; Reis, E. J.; Weinhold; D.; Wunder, S.</t>
  </si>
  <si>
    <t>The Dynamics of Deforestation and Economic Growth in the Brazilian Amazon</t>
  </si>
  <si>
    <t>Cambridge</t>
  </si>
  <si>
    <t>SNT52K2N</t>
  </si>
  <si>
    <t>Anaya, J.</t>
  </si>
  <si>
    <t>Informe del Relator Especial sobre los derechos de los pueblos indígenas</t>
  </si>
  <si>
    <t>Sexagésimo octavo período de sesiones Tema 66 a) del programa provisional* Derechos de los pueblos indígenas: derechos de los pueblos indígenas Derechos de los pueblos indígenas Nota del Secretario General El Secretario General tiene el honor de transmitir a la Asamblea General el informe del Relator Especial sobre los derechos de los pueblos indígenas, James Anaya, presentado de conformidad con la resolución 21/24 del Consejo de Derechos Humanos.</t>
  </si>
  <si>
    <t>ZTXAA4MA</t>
  </si>
  <si>
    <t>Bush, Simon R.; Toonen, Hilde; Oosterveer, Peter; Mol, Arthur P. J.</t>
  </si>
  <si>
    <t>The ‘devils triangle'of MSC certification: Balancing credibility, accessibility and continuous improvement</t>
  </si>
  <si>
    <t>10.1016/j.marpol.2012.05.011</t>
  </si>
  <si>
    <t>2022-09-23 09:09:02</t>
  </si>
  <si>
    <t>2022-09-23T09:09:02Z</t>
  </si>
  <si>
    <t>288-293</t>
  </si>
  <si>
    <t>PRWJ4NNL</t>
  </si>
  <si>
    <t>Burke, Marshall; Hsiang, Solomon M.; Miguel, Edward</t>
  </si>
  <si>
    <t>http://dx.doi.org/10.1038/nature15725 http://10.0.4.14/nature15725 https://www.nature.com/articles/nature15725#supplementary-information</t>
  </si>
  <si>
    <t>2022-09-23 09:01:16</t>
  </si>
  <si>
    <t>2022-09-23T09:01:16Z</t>
  </si>
  <si>
    <t>235</t>
  </si>
  <si>
    <t>2ETH956J</t>
  </si>
  <si>
    <t>Busch, D. Shallin; O'Donnell, Michael J.; Hauri, Claudine; Mach, Katharine J.; Poach, Matthew; Doney, Scott C.; Signorini, Sergio R.</t>
  </si>
  <si>
    <t>Understanding, characterizing, and communicating responses to ocean acidification: Challenges and uncertainties</t>
  </si>
  <si>
    <t>30-39</t>
  </si>
  <si>
    <t>7DB3XGZY</t>
  </si>
  <si>
    <t>Bunn, Stuart E.; Arthington, Angela H.</t>
  </si>
  <si>
    <t>Basic principles and ecological consequences of altered flow regimes for aquatic biodiversity</t>
  </si>
  <si>
    <t>10.1007/s00267-002-2737-0</t>
  </si>
  <si>
    <t>http://link.springer.com/10.1007/s00267-002-2737-0</t>
  </si>
  <si>
    <t>The flow regime is regarded by many aquatic ecologists to be the key driver of river and floodplain wetland ecosystems. We have focused this literature review around four key principles to highlight the important mechanisms that link hydrology and aquatic biodiversity and to illustrate the consequent impacts of altered flow regimes: Firstly, flow is a major determinant of physical habitat in streams, which in turn is a major determinant of biotic composition; Secondly, aquatic species have evolved life history strategies primarily in direct response to the natural flow regimes; Thirdly, maintenance of natural patterns of longitudinal and lateral connectivity is essential to the viability of populations of many riverine species; Finally, the invasion and success of exotic and introduced species in rivers is facilitated by the alteration of flow regimes. The impacts of flow change are manifest across broad taxonomic groups including riverine plants, invertebrates, and fish. Despite growing recognition of these relationships, ecologists still struggle to predict and quantify biotic responses to altered flow regimes. One obvious difficulty is the ability to distinguish the direct effects of modified flow regimes from impacts associated with land-use change that often accompanies water resource development. Currently, evidence about how rivers function in relation to flow regime and the flows that aquatic organisms need exists largely as a series of untested hypotheses. To overcome these problems, aquatic science needs to move quickly into a manipulative or experimental phase, preferably with the aims of restoration and measuring ecosystem response.</t>
  </si>
  <si>
    <t>2002-10</t>
  </si>
  <si>
    <t>2022-09-23 07:02:37</t>
  </si>
  <si>
    <t>2022-09-23T07:02:37Z</t>
  </si>
  <si>
    <t>492-507</t>
  </si>
  <si>
    <t>IG5C2UXC</t>
  </si>
  <si>
    <t>Burivalova, Zuzana; Hua, Fangyuan; Koh, Lian Pin; Garcia, Claude; Putz, Francis</t>
  </si>
  <si>
    <t>A Critical Comparison of Conventional, Certified, and Community Management of Tropical Forests for Timber in Terms of Environmental, Economic, and Social Variables</t>
  </si>
  <si>
    <t>10.1111/conl.12244</t>
  </si>
  <si>
    <t>Tropical forests are crucial in terms of biodiversity and ecosystem services, but at the same time, they are major sources of revenue and provide livelihoods for forest-dependent people. Hopes for the simultaneous achievement of conservation goals and poverty alleviation are therefore increasingly placed on forests used for timber extraction. Most timber exploitation is carried out unsustainably, which causes forest degradation. Two important mechanisms have emerged to promote sustainable forest management: certification and community-based forest management (CFM). We synthesize the published information about how forest certification and CFM perform in terms of environmental, social, and economic variables. With the caveat that very few published studies meet the standards for formal impact evaluation, we found that certification has substantial environmental benefits, typically achieved at a cost of reduced short-term financial profit, and accompanied by some improvement to the welfare of neighboring communities. We found that the economic and environmental benefits of CFM are understudied, but that the social impacts are controversial, with both positive and negative changes reported. We identify the trade-offs that likely caused these conflicting results and that, if addressed, would help both CFM and certification deliver the hoped-for benefits.</t>
  </si>
  <si>
    <t>4–14</t>
  </si>
  <si>
    <t>PMID: 25246403</t>
  </si>
  <si>
    <t>MSHG8GYR</t>
  </si>
  <si>
    <t>Burke, Paul J.</t>
  </si>
  <si>
    <t>Income, resources, and electricity mix</t>
  </si>
  <si>
    <t>01409883</t>
  </si>
  <si>
    <t>10.1016/j.eneco.2010.01.012</t>
  </si>
  <si>
    <t>http://dx.doi.org/10.1016/j.eneco.2010.01.012 http://linkinghub.elsevier.com/retrieve/pii/S014098831000023X</t>
  </si>
  <si>
    <t>This paper presents evidence on a national-level electricity ladder which sees countries transition toward coal and natural gas, and finally nuclear power and modern renewables such as wind power, for their electricity needs as they develop. The extent to which countries climb the electricity ladder is dependent on energy endowments. The results imply that the environmental implications of economic development differ in countries with different energy resource endowments. An effective global carbon mitigation strategy will require developing countries to leapfrog the middle rungs of the electricity ladder. © 2010 Elsevier B.V.</t>
  </si>
  <si>
    <t>616-626</t>
  </si>
  <si>
    <t>IHGC9UJX</t>
  </si>
  <si>
    <t>Burrows, David</t>
  </si>
  <si>
    <t>Major brands dump palm oil supplier IOI following RSPO suspension</t>
  </si>
  <si>
    <t>https://www.foodnavigator.com/Article/2016/04/07/Major-brands-dump-palm-oil-supplier-IOI-following-RSPO-suspension#</t>
  </si>
  <si>
    <t>2016-04-06</t>
  </si>
  <si>
    <t>2017-11-20 14:26:15</t>
  </si>
  <si>
    <t>9K3A49MS</t>
  </si>
  <si>
    <t>Bullard, Robert D.; Mohai, Paul; Saha, Robin; Wright, Beverly</t>
  </si>
  <si>
    <t>Toxic Wastes and Race at Twenty: Why Race Still Matters after all of These Years</t>
  </si>
  <si>
    <t>Environmental Law</t>
  </si>
  <si>
    <t>1098-6596</t>
  </si>
  <si>
    <t>10.1017/CBO9781107415324.004</t>
  </si>
  <si>
    <t>Continued prevalence of environmental rcism (x) - conclusions not different (xi). Clustered facilities (xi). Increased inclusion of SES in this edition. Race an independent predictor, and stronger than others (xii). Differential government response to remediation (xii). Current system "broken". Knowingness of government officials (xii). Hazard of "waiting for government" (xii). Clinton Executive Order 12898 (xiii). Continued multiscalar recommendations, though I think the emphasis on prviate sector is increased (xiv). Need for coalition (xv). Includes industry actions (xv).</t>
  </si>
  <si>
    <t>HM664RWG</t>
  </si>
  <si>
    <t>Bullard, Robert D.</t>
  </si>
  <si>
    <t>Dumping in Dixie : race, class, and environmental quality</t>
  </si>
  <si>
    <t>0-8133-4427-1</t>
  </si>
  <si>
    <t>3rd ed. Environmentalism and social justice – Race, class, and the politics of place – Dispute resolution and toxics : case studies – The environmental justice movement : survey results – Environmental racism revisited – Environmental justice as a working model – Action strategies for the twenty-first century.</t>
  </si>
  <si>
    <t>Westview Press</t>
  </si>
  <si>
    <t>GZSXHLUR</t>
  </si>
  <si>
    <t>Burney, Jennifer a; Davis, Steven J.; Lobell, David B.</t>
  </si>
  <si>
    <t>Greenhouse gas mitigation by agricultural intensification</t>
  </si>
  <si>
    <t>Pnas</t>
  </si>
  <si>
    <t>10.1073/pnas.0914216107/-/DCSupplemental.www.pnas.org/cgi/doi/10.1073/pnas.0914216107</t>
  </si>
  <si>
    <t>http://www.pubmedcentral.nih.gov/articlerender.fcgi?artid=2900707&amp;tool=pmcentrez&amp;rendertype=abstract</t>
  </si>
  <si>
    <t>As efforts to mitigate climate change increase, there is a need to identify cost-effective ways to avoid emissions of greenhouse gases (GHGs). Agriculture is rightly recognized as a source of considerable emissions, with concomitant opportunities for mitigation. Although future agricultural productivity is critical, as it will shape emissions from conversion of native landscapes to food and biofuel crops, investment in agricultural research is rarely mentioned as a mitigation strategy. Here we estimate the net effect on GHG emissions of historical agricultural intensification between 1961 and 2005. We find that while emissions from factors such as fertilizer production and application have increased, the net effect of higher yields has avoided emissions of up to 161 gigatons of carbon (GtC) (590 GtCO(2)e) since 1961. We estimate that each dollar invested in agricultural yields has resulted in 68 fewer kgC (249 kgCO(2)e) emissions relative to 1961 technology ($14.74/tC, or approximately $4/tCO(2)e), avoiding 3.6 GtC (13.1 GtCO(2)e) per year. Our analysis indicates that investment in yield improvements compares favorably with other commonly proposed mitigation strategies. Further yield improvements should therefore be prominent among efforts to reduce future GHG emissions.</t>
  </si>
  <si>
    <t>12052-12057</t>
  </si>
  <si>
    <t>TKNET7BM</t>
  </si>
  <si>
    <t>Borucke, M.; Moore, D.; Cranston, G.; Gracey, K.; Iha, K.; Larson, J.; Lazarus, E.; Morales, J. C.; Wackernagel, M.; Galli, A.</t>
  </si>
  <si>
    <t>Accounting for demand and supply of the Biosphere's regenerative capacity: the National Footprint Accounts' underlying methodology and framework</t>
  </si>
  <si>
    <t>10.1016/j.ecolind.2012.08.005</t>
  </si>
  <si>
    <t>2022-09-23 09:02:17</t>
  </si>
  <si>
    <t>2022-09-23T09:02:17Z</t>
  </si>
  <si>
    <t>518-533</t>
  </si>
  <si>
    <t>YAXFE6GE</t>
  </si>
  <si>
    <t>Börner, Jan; Baylis, Kathy; Corbera, Esteve; Ezzine-de-Blas, Driss; Ferraro, Paul J.; Honey-Rosés, Jordi; Lapeyre, Renaud; Persson, U. Martin; Wunder, Sven</t>
  </si>
  <si>
    <t>Emerging evidence on the effectiveness of tropical forest conservation</t>
  </si>
  <si>
    <t>10.1371/journal.pone.0159152</t>
  </si>
  <si>
    <t>e0159152</t>
  </si>
  <si>
    <t>X24CTIW2</t>
  </si>
  <si>
    <t>Botzat, Alexandra; Fischer, Leonie K.; Kowarik, Ingo</t>
  </si>
  <si>
    <t>Unexploited opportunities in understanding liveable and biodiverse cities. A review on urban biodiversity perception and valuation</t>
  </si>
  <si>
    <t>10.1016/j.gloenvcha.2016.04.008</t>
  </si>
  <si>
    <t>https://linkinghub.elsevier.com/retrieve/pii/S0959378016300528</t>
  </si>
  <si>
    <t>2016-07</t>
  </si>
  <si>
    <t>2022-09-23 07:43:42</t>
  </si>
  <si>
    <t>2022-09-23T07:43:42Z</t>
  </si>
  <si>
    <t>2022-09-19 21:15:01</t>
  </si>
  <si>
    <t>220-233</t>
  </si>
  <si>
    <t>DFNBQSKI</t>
  </si>
  <si>
    <t>Borras Jr, Saturnino M.; Suárez, David; Monsalve, Sofia</t>
  </si>
  <si>
    <t>The politics of agrofuels and mega-land and water deals: insights from the ProCana case, Mozambique</t>
  </si>
  <si>
    <t>Review of African Political Economy</t>
  </si>
  <si>
    <t>10.1080/03056244.2011.582758</t>
  </si>
  <si>
    <t>This paper examines the politics of large-scale commercial biofuels production and mega-land?water deals, with special reference to the dynamics of changes in land/water use and property rights and how these impact on the lives and livelihoods of the socio-economically marginalised rural sectors in the countryside. The main argument is that the assumption about existing, available marginal lands is fundamentally flawed. It is demonstrated by examining the ProCana sugar cane ethanol plantation in Gaza province in Mozambique.</t>
  </si>
  <si>
    <t>5W34HPZX</t>
  </si>
  <si>
    <t>Bostock, J.; McAndrew, B.; Richards, R.; Jauncey, K.; Telfer, T.; Lorenzen, K.; Little, D.; Ross, L.; Handisyde, N.; Gatward, I.; Corner, R.</t>
  </si>
  <si>
    <t>Aquaculture: global status and trends</t>
  </si>
  <si>
    <t>10.1098/rstb.2010.0170</t>
  </si>
  <si>
    <t>http://rstb.royalsocietypublishing.org/cgi/doi/10.1098/rstb.2010.0170</t>
  </si>
  <si>
    <t>2010-09</t>
  </si>
  <si>
    <t>2897-2912</t>
  </si>
  <si>
    <t>3DNQFEIF</t>
  </si>
  <si>
    <t>Borras Jr, Saturnino M.; Franco, Jennifer C.; Isakson, S. Ryan; Levidow, Les; Vervest, Pietje</t>
  </si>
  <si>
    <t>The rise of flex crops and commodities: implications for research</t>
  </si>
  <si>
    <t>The Journal of Peasant Studies</t>
  </si>
  <si>
    <t>0306-6150</t>
  </si>
  <si>
    <t>10.1080/03066150.2015.1036417</t>
  </si>
  <si>
    <t>As a concept and phenomenon, ?flex crops and commodities? feature ?multiple-ness? and ?flexible-ness? as two distinct but intertwined dimensions. These key crops and commodities are shaped by the changing global context that is itself remoulded by the convergence of multiple crises and various responses. The greater multiple-ness of crops and commodity uses has altered the patterns of their production, circulation and consumption, as novel dimensions of their political economy. These new patterns change the power relations between landholders, agricultural labourers, crop exporters, processors and traders; in particular, they intensify market competition among producers and incentivize changes in land-tenure arrangements. Crop and commodity flexing have three main types ? namely, real flexing, anticipated/speculative flexing and imagined flexing; these have many intersections and interactions. Their political-economic dynamics involve numerous factors that variously incentivize, facilitate or hinder the ?multiple-ness' and/or ?flexible-ness' of particular crops and commodities. These dynamics include ?flex narratives' by corporate and state institutions to justify promotion of a flex agenda through support policies. In particular, a bioeconomy narrative envisages a future ?value web? developing more flexible value chains through more interdependent, interchangeable products and uses. A future research agenda should investigate questions about material bases, real-life changes, flex narratives and political mobilization.</t>
  </si>
  <si>
    <t>7XDI4YGR</t>
  </si>
  <si>
    <t>Borras Jr, Saturnino M.; Franco, Jennifer C.</t>
  </si>
  <si>
    <t>Global Land Grabbing and Trajectories of Agrarian Change: A Preliminary Analysis</t>
  </si>
  <si>
    <t>Journal of Agrarian Change</t>
  </si>
  <si>
    <t>14710358</t>
  </si>
  <si>
    <t>10.1111/j.1471-0366.2011.00339.x</t>
  </si>
  <si>
    <t>http://doi.wiley.com/10.1111/j.1471-0366.2011.00339.x</t>
  </si>
  <si>
    <t>Land grab has become a catch-all phrase to refer to the current explosion of (trans)national commercial land transactions mainly revolving around the production and export of food, animal feed, biofuels, timber and minerals. Two key dimensions of the current land grab namely, the politics of changes in land use and property relations change (and the links between them) are not sufficiently explored in the current literature. We attempt to address this gap by offering a preliminary analysis through an analytical approach that suggests some typologies as a step towards a fuller and better understanding of the politics of global land grabbing.</t>
  </si>
  <si>
    <t>2012-01</t>
  </si>
  <si>
    <t>34-59</t>
  </si>
  <si>
    <t>ZAWNHE8W</t>
  </si>
  <si>
    <t>Boone, Christopher G.; Buckley, Geoffrey L.; Grove, J. Morgan; Sister, Chona</t>
  </si>
  <si>
    <t>Parks and People: An Environmental Justice Inquiry in Baltimore, Maryland</t>
  </si>
  <si>
    <t>0004-5608</t>
  </si>
  <si>
    <t>10.1080/00045600903102949</t>
  </si>
  <si>
    <t>This article examines the distribution of parks in Baltimore, Maryland, as an environmental justice issue. In addition to established methods for measuring distribution of and access to parks, we employ a novel park service area approach that uses Thiessen polygons and dasymetric reapportioning of census data to measure potential park congestion as an equity outcome measure. We find that a higher proportion of African Americans have access to parks within walking distance, defined as 400 meters or less, than whites, but whites have access to more acreage of parks within walking distance than blacks. A needs-based assessment shows that areas with the highest need have the best access to parks but also have access to less acreage of parks compared to low-need areas. Park service areas that are predominantly black have higher park congestion than areas that are predominantly white, although differences are less apparent at the city level than at the metropolitan level. Following Iris Young and others, we argue that conceptions of justice must move beyond distributive justice and address the social and institutional mechanisms that generate inequities. For Baltimore, we examine how segregation ordinances, racial covenants, improvement associations, the Home Owners Loan Corporation, and the Parks and Recreation Board created separate black spaces historically underserved with parks. These mechanisms ultimately fueled middle-class flight and suburbanization and black inheritance of much of Baltimore's space, including its parks. If justice demands just distribution justly achieved, the present-day pattern of parks in Baltimore should be interpreted as environmental injustice. © 2009 by Association of American Geographers.</t>
  </si>
  <si>
    <t>7RME6JV7</t>
  </si>
  <si>
    <t>Bowen, William M.; Salling, Mark J.; Haynes, Kingsley E.; Cyran, Ellen J.</t>
  </si>
  <si>
    <t>Toward environmental justice: Spatial equity in Ohio and Cleveland</t>
  </si>
  <si>
    <t>641–663</t>
  </si>
  <si>
    <t>Westview</t>
  </si>
  <si>
    <t>Boulder, CO</t>
  </si>
  <si>
    <t>JY9Y9WZL</t>
  </si>
  <si>
    <t>Bourguignon, François; Morrisson, Christian</t>
  </si>
  <si>
    <t>Inequality Among World Citizens: 1820–1992</t>
  </si>
  <si>
    <t>10.1257/00028280260344443</t>
  </si>
  <si>
    <t>www.jstor.org/stable/3083279. http://pubs.aeaweb.org/doi/10.1257/00028280260344443</t>
  </si>
  <si>
    <t>This paper investigates the distribution of well being among world citizens during the last two centuries. The estimates show that inequality of world distribution of income worsened from the beginning of the 19th century to World War II and after that seems to have stabilized or to have grown more slowly. In the early 19th century most inequality was due to differences within countries; later, it was due to differences between countries. Inequality in longevity, also increased during the 19th century, but then was reversed in the second half of the 20th century, perhaps mitigating the failure of income inequality to improve in the last decades.</t>
  </si>
  <si>
    <t>2002-08</t>
  </si>
  <si>
    <t>727-744</t>
  </si>
  <si>
    <t>9SZ723AV</t>
  </si>
  <si>
    <t>Tscharntke, Teja; Milder, Jeffrey C.; Schroth, Götz; Clough, Yann; DeClerck, Fabrice; Waldron, Anthony; Rice, Robert; Ghazoul, Jaboury</t>
  </si>
  <si>
    <t>Conserving Biodiversity Through Certification of Tropical Agroforestry Crops at Local and Landscape Scales: Conserving biodiversity by crop certification</t>
  </si>
  <si>
    <t>10.1111/conl.12110</t>
  </si>
  <si>
    <t>https://onlinelibrary.wiley.com/doi/10.1111/conl.12110</t>
  </si>
  <si>
    <t>2022-09-23 18:58:28</t>
  </si>
  <si>
    <t>2022-09-23T18:58:28Z</t>
  </si>
  <si>
    <t>2022-09-22 07:27:53</t>
  </si>
  <si>
    <t>14-23</t>
  </si>
  <si>
    <t>Conserving Biodiversity Through Certification of Tropical Agroforestry Crops at Local and Landscape Scales</t>
  </si>
  <si>
    <t>EZPAJNVR</t>
  </si>
  <si>
    <t>Uchida, Emi; Xu, Jintao; Xu, Zhigang; Rozelle, Scott</t>
  </si>
  <si>
    <t>Are the poor benefiting from China's land conservation program?</t>
  </si>
  <si>
    <t>Environment and development economics</t>
  </si>
  <si>
    <t>10.1017/S1355770X07003713</t>
  </si>
  <si>
    <t>2022-09-23 09:13:14</t>
  </si>
  <si>
    <t>2022-09-23T09:13:14Z</t>
  </si>
  <si>
    <t>593-620</t>
  </si>
  <si>
    <t>IWWB2FBM</t>
  </si>
  <si>
    <t>Sunstein, Cass R.; Reisch, Lucia A.</t>
  </si>
  <si>
    <t>Automatically green: Behavioral economics and environmental protection</t>
  </si>
  <si>
    <t>Harv. Envtl. L. Rev.</t>
  </si>
  <si>
    <t>2022-09-23 09:13:08</t>
  </si>
  <si>
    <t>2022-09-23T09:13:08Z</t>
  </si>
  <si>
    <t>127</t>
  </si>
  <si>
    <t>2TPLVIZ8</t>
  </si>
  <si>
    <t>Tacconi, Luca</t>
  </si>
  <si>
    <t>Redefining payments for environmental services</t>
  </si>
  <si>
    <t>10.1016/j.ecolecon.2011.09.028</t>
  </si>
  <si>
    <t>2022-09-23 09:11:21</t>
  </si>
  <si>
    <t>2022-09-23T09:11:21Z</t>
  </si>
  <si>
    <t>29-36</t>
  </si>
  <si>
    <t>IM7LXM4G</t>
  </si>
  <si>
    <t>Sunderlin, William D.; Dewi, Sonya; Puntodewo, Atie; Müller, Daniel; Angelsen, Arild; Epprecht, Michael</t>
  </si>
  <si>
    <t>Why forests are important for global poverty alleviation: A spatial explanation</t>
  </si>
  <si>
    <t>10.5751/ES-02590-130224</t>
  </si>
  <si>
    <t>Forests have been declared important for the well-being of the poor because of the kinds of goods and services that they provide. We asked whether forests are important for the poor not only because of the kinds of goods and services they provide, but also because they tend to be located where the poor are. We conducted a spatial analysis to ascertain the degree of spatial association between poverty and forests in seven countries: Brazil, Honduras, Malawi, Mozambique, Uganda, Indonesia, and Vietnam. For most of these countries, there was a significant positive correlation between high natural forest cover and high poverty rate (the percentage of the population that is poor) and between high forest cover and low poverty density (the number of poor per unit area). We explain the findings and discuss policy implications and topics for future research.</t>
  </si>
  <si>
    <t>2022-09-23 09:10:43</t>
  </si>
  <si>
    <t>2022-09-23T09:10:43Z</t>
  </si>
  <si>
    <t>9XKM8WN9</t>
  </si>
  <si>
    <t>Thorpe, Andy; Pouw, Nicky; Baio, Andrew; Sandi, Ranita; Ndomahina, Ernest Tom; Lebbie, Thomas</t>
  </si>
  <si>
    <t>“Fishing Na Everybody Business”: Women's Work and Gender Relations in Sierra Leone's Fisheries</t>
  </si>
  <si>
    <t>Feminist Economics</t>
  </si>
  <si>
    <t>10.1080/13545701.2014.895403</t>
  </si>
  <si>
    <t>2022-09-23 09:05:02</t>
  </si>
  <si>
    <t>2022-09-23T09:05:02Z</t>
  </si>
  <si>
    <t>53-77</t>
  </si>
  <si>
    <t>U2YN58IK</t>
  </si>
  <si>
    <t>Templet, P. H.</t>
  </si>
  <si>
    <t>Equity and Sustainability - an Empirical-Analysis</t>
  </si>
  <si>
    <t>10.1080/08941929509380941</t>
  </si>
  <si>
    <t>An empirical measure involving energy, taxes, and pollution is developed and analyzed statistically with economic, environmental, energy, and sustainability indicators. The pollution equity measure is an emissions-to-jobs ratio, the energy measure is the ratio of energy prices of the residential sector to the industrial sector, and the tax measure is the ratio of regressive tax revenues to progressive tax revenues. A composite equity index is calculated and correlated with indicators of sustainability across the 50 states of the United States Sustainability indicators used were poverty, unemployment rates, personal income and disparity, energy use, waste generated, and the Green Index scores. As the equity index improves. indicating better sustainability. Equity appears to be related to economic conditions, energy use, environmental quality, and sustainability, and has implications for policy development. Equality of conditions is proposed as a necessary condition for sustainability.</t>
  </si>
  <si>
    <t>2022-09-23 09:04:55</t>
  </si>
  <si>
    <t>2022-09-23T09:04:55Z</t>
  </si>
  <si>
    <t>K4K5F2JY</t>
  </si>
  <si>
    <t>Tol, Richard S. J.</t>
  </si>
  <si>
    <t>Estimates of the Damage Costs of Climate Change Part 1: Benchmark Estimates</t>
  </si>
  <si>
    <t>A selection of the potential impacts of climate change – on agriculture, forestry, unmanaged ecosystems, sea level rise, human mortality, energy consumption, and water resources – are estimated and valued in monetary terms. Estimates are derived from globally comprehensive, internally consistent studies using GCM based scenarios. An underestimate of the uncertainty is given. New impact studies can be included following the meta-analytical methods described here. A 1 • C increase in the global mean surface air temperature would have, on balance, a positive effect on the OECD, China, and the Middle East, and a negative effect on other countries. Confidence intervals of regionally aggregated impacts, however, include both positive and negative impacts for all regions. Global estimates depend on the aggregation rule. Using a simple sum, world impact of a 1 • C warming would be a positive 2% of GDP, with a standard deviation of 1%. Using globally averaged values, world impact would be a negative 3% (standard deviation: 1%). Using equity weighting, world impact would amount to 0% (standard deviation: 1%).</t>
  </si>
  <si>
    <t>2022-09-23 09:04:49</t>
  </si>
  <si>
    <t>2022-09-23T09:04:49Z</t>
  </si>
  <si>
    <t>47-73</t>
  </si>
  <si>
    <t>AUBSE2TW</t>
  </si>
  <si>
    <t>Toman, Michael A.; Jemelkova, Barbora</t>
  </si>
  <si>
    <t>Energy and Economie Development: An Assessment of the State of Knowledge</t>
  </si>
  <si>
    <t>The Energy Journal</t>
  </si>
  <si>
    <t>2022-09-23 09:04:42</t>
  </si>
  <si>
    <t>2022-09-23T09:04:42Z</t>
  </si>
  <si>
    <t>93-112</t>
  </si>
  <si>
    <t>DVITTZUT</t>
  </si>
  <si>
    <t>Tuanmu, Mao-Ning; Vina, Andrés; Yang, Wu; Chen, Xiaodong; Shortridge, Ashton M.; Liu, Jianguo</t>
  </si>
  <si>
    <t>Effects of payments for ecosystem services on wildlife habitat recovery</t>
  </si>
  <si>
    <t>10.1111/cobi.12669</t>
  </si>
  <si>
    <t>2022-09-23 09:04:32</t>
  </si>
  <si>
    <t>2022-09-23T09:04:32Z</t>
  </si>
  <si>
    <t>827-835</t>
  </si>
  <si>
    <t>JYZ7L7DX</t>
  </si>
  <si>
    <t>Suri, Vivek; Chapman, Duane</t>
  </si>
  <si>
    <t>Economic growth, trade and energy: implications for the environmental Kuznets curve</t>
  </si>
  <si>
    <t>10.1016/S0921-8009(97)00180-8</t>
  </si>
  <si>
    <t>2022-09-23 09:04:30</t>
  </si>
  <si>
    <t>2022-09-23T09:04:30Z</t>
  </si>
  <si>
    <t>195-208</t>
  </si>
  <si>
    <t>279UH8QU</t>
  </si>
  <si>
    <t>Tang, Shui Yan</t>
  </si>
  <si>
    <t>Building community organizations: Credible commitment and the new institutional economics</t>
  </si>
  <si>
    <t>Human Systems Management</t>
  </si>
  <si>
    <t>10.3233/HSM-1994-13307</t>
  </si>
  <si>
    <t>2022-09-23 09:03:15</t>
  </si>
  <si>
    <t>2022-09-23T09:03:15Z</t>
  </si>
  <si>
    <t>221-232</t>
  </si>
  <si>
    <t>F73JQ725</t>
  </si>
  <si>
    <t>Sumaila, Ussif Rashid; Cheung, William; Dyck, Andrew; Gueye, Kamal; Huang, Ling; Lam, Vicky; Pauly, Daniel; Srinivasan, Thara; Swartz, Wilf; Watson, Reginald; Others</t>
  </si>
  <si>
    <t>Benefits of rebuilding global marine fisheries outweigh costs</t>
  </si>
  <si>
    <t>10.1371/journal.pone.0040542</t>
  </si>
  <si>
    <t>e40542</t>
  </si>
  <si>
    <t>F5AJXJB4</t>
  </si>
  <si>
    <t>Sunderlin, William; Gorospe, Maharlina</t>
  </si>
  <si>
    <t>Fishers' organizations and modes of co-management: The case of San Miguel Bay, Philippines</t>
  </si>
  <si>
    <t>10.17730/humo.56.3.4576w844451k342t</t>
  </si>
  <si>
    <t>2022-09-23 09:01:24</t>
  </si>
  <si>
    <t>2022-09-23T09:01:24Z</t>
  </si>
  <si>
    <t>333-343</t>
  </si>
  <si>
    <t>ML3Z84ZL</t>
  </si>
  <si>
    <t>Tegegne, Yitagesu Tekle</t>
  </si>
  <si>
    <t>FLEGT and REDD+ synergies and impacts in the Congo Basin: lessons for global forest governance</t>
  </si>
  <si>
    <t>Tropical Forestry Reports</t>
  </si>
  <si>
    <t>2022-09-23 09:01:22</t>
  </si>
  <si>
    <t>2022-09-23T09:01:22Z</t>
  </si>
  <si>
    <t>WJT63NGM</t>
  </si>
  <si>
    <t>Tindall, Charlotte; Holvoet, Katrien</t>
  </si>
  <si>
    <t>From the lake to the plate: assessing gender vulnerabilities throughout the fisheries chain</t>
  </si>
  <si>
    <t>Development</t>
  </si>
  <si>
    <t>10.1057/dev.2008.6</t>
  </si>
  <si>
    <t>2022-09-23 09:01:20</t>
  </si>
  <si>
    <t>2022-09-23T09:01:20Z</t>
  </si>
  <si>
    <t>205-211</t>
  </si>
  <si>
    <t>N5UFNDPM</t>
  </si>
  <si>
    <t>UN</t>
  </si>
  <si>
    <t>International migration report 2015</t>
  </si>
  <si>
    <t>Population Division</t>
  </si>
  <si>
    <t>• The number of international migrants worldwide has continued to grow rapidly over the past fifteen years reaching 244 million in 2015, up from 222 million in 2010 and 173 million in 2000. • Nearly two thirds of all international migrants live in Europe (76 million) or Asia (75 million). Northern America hosted the third largest number of international migrants (54 million), followed by Africa (21 million), Latin America and the Caribbean (9 million) and Oceania (8 million). • In 2015, two thirds (67 per cent) of all international migrants were living in just twenty countries. The largest number of international migrants (47 million) resided in the United States of America, equal to about a fifth (19 per cent) of the world's total. Germany and the Russian Federation hosted the second and third largest numbers of migrants worldwide (12 million each), followed by Saudi Arabia (10 million).</t>
  </si>
  <si>
    <t>2022-09-23 09:00:56</t>
  </si>
  <si>
    <t>2022-09-23T09:00:56Z</t>
  </si>
  <si>
    <t>1-36</t>
  </si>
  <si>
    <t>AGZLN7VB</t>
  </si>
  <si>
    <t>Undargaa, Sandagsuren</t>
  </si>
  <si>
    <t>Re-imagining collective action institutions: pastoralism in Mongolia</t>
  </si>
  <si>
    <t>10.1007/s10745-017-9898-1</t>
  </si>
  <si>
    <t>221-234</t>
  </si>
  <si>
    <t>U9HCJXKC</t>
  </si>
  <si>
    <t>Sun, Jing; Tong, Yu-xin; Liu, Jianguo</t>
  </si>
  <si>
    <t>Telecoupled land-use changes in distant countries</t>
  </si>
  <si>
    <t>Journal of Integrative Agriculture</t>
  </si>
  <si>
    <t>10.1016/S2095-3119(16)61528-9</t>
  </si>
  <si>
    <t>2022-09-23 08:59:57</t>
  </si>
  <si>
    <t>2022-09-23T08:59:57Z</t>
  </si>
  <si>
    <t>368-376</t>
  </si>
  <si>
    <t>KVQUI2DW</t>
  </si>
  <si>
    <t>Thompson, John</t>
  </si>
  <si>
    <t>The fisheries industry of El Salvador</t>
  </si>
  <si>
    <t>Journal of Inter-American Studies</t>
  </si>
  <si>
    <t>10.2307/164848</t>
  </si>
  <si>
    <t>1961</t>
  </si>
  <si>
    <t>2022-09-23 08:59:51</t>
  </si>
  <si>
    <t>2022-09-23T08:59:51Z</t>
  </si>
  <si>
    <t>437-446</t>
  </si>
  <si>
    <t>98RUI76L</t>
  </si>
  <si>
    <t>Temper, Leah; Shmelev, Stanislav</t>
  </si>
  <si>
    <t>Mapping the frontiers and front lines of global environmental justice: the EJAtlas</t>
  </si>
  <si>
    <t>Journal of Political Ecology</t>
  </si>
  <si>
    <t>1073-0451</t>
  </si>
  <si>
    <t>10.2458/v22i1.21108</t>
  </si>
  <si>
    <t>http://journals.librarypublishing.arizona.edu/jpe/article/id/1932/</t>
  </si>
  <si>
    <t>2015-12-01</t>
  </si>
  <si>
    <t>2022-09-23 08:03:55</t>
  </si>
  <si>
    <t>2022-09-23T08:03:55Z</t>
  </si>
  <si>
    <t>2022-09-19 21:17:11</t>
  </si>
  <si>
    <t>Mapping the frontiers and front lines of global environmental justice</t>
  </si>
  <si>
    <t>BV6Z3S2Y</t>
  </si>
  <si>
    <t>Tilman, David; Clark, Michael</t>
  </si>
  <si>
    <t>Global diets link environmental sustainability and human health</t>
  </si>
  <si>
    <t>10.1038/nature13959</t>
  </si>
  <si>
    <t>http://www.nature.com/articles/nature13959</t>
  </si>
  <si>
    <t>2014-11</t>
  </si>
  <si>
    <t>2022-09-23 07:30:24</t>
  </si>
  <si>
    <t>2022-09-23T07:30:24Z</t>
  </si>
  <si>
    <t>2022-09-22 07:27:28</t>
  </si>
  <si>
    <t>518-522</t>
  </si>
  <si>
    <t>7528</t>
  </si>
  <si>
    <t>ipbes-global_chapter2.1_drivers; ipbes-global_chapter3; ipbes-global_chapter4; ipbes-global_chapter5; ipbes-global_chapter6</t>
  </si>
  <si>
    <t>96QGEQR2</t>
  </si>
  <si>
    <t>Decentralization, forests and livelihoods: Theory and narrative</t>
  </si>
  <si>
    <t>10.1016/j.gloenvcha.2007.01.002</t>
  </si>
  <si>
    <t>This paper discusses the theory of decentralized forest management, the associated narrative and the underlying hypotheses. That discussion informs the assessment of whether decentralization can lead to forest conservation. The paper argues that the ideal model of democratic decentralization described in the literature is unlikely to be implemented given the governance constraints present in many tropical forest countries. Even if that model could be implemented, it is shown that decentralization cannot be expected to necessarily lead to forest conservation. The policies required to complement the current decentralization model are discussed, including financial incentives and monitoring and evaluation mechanisms. ?? 2007 Elsevier Ltd. All rights reserved.</t>
  </si>
  <si>
    <t>338-348</t>
  </si>
  <si>
    <t>AXEUCIZB</t>
  </si>
  <si>
    <t>UNEP</t>
  </si>
  <si>
    <t>Addressing the Role of Natural Resources in Conflict and Peacebuilding: A Summary of Progress from UNEP's Environmental Cooperation for Peacebuilding Programme 2008-2015</t>
  </si>
  <si>
    <t>Unedp</t>
  </si>
  <si>
    <t>The Environmental Cooperation for Peacebuilding (ECP) programme is one of the four work streams under UNEP's Post-Conflict and Disaster Management Branch (PCDMB). The overall aim of the ECP programme is to strengthen the capacity of countries, regional organizations, UN entities and civil society to understand and re-spond to the conflict risks and peacebuilding opportunities presented by natural resources and environment. To achieve this goal, the ECP programme is divided into three main pillars. First, it works with academics and practitioners to develop an extensive evidence base of good practices and lessons learned from conflict and peacebuilding case studies. This wealth of material is managed in a global knowledge platform and dissemi-nated to a community of practice on environmental peacebuilding. Second, it conducts policy analysis and creates partnerships with UN and other actors in order to help formulate more effective response policies and programmes across the spectrum of peace and security operations. Finally, it provides technical support to UN country teams, conflict-affected countries and other stakeholders in the field to conduct assessments and apply good practices through catalytic partnerships and pilot projects. The purpose of this report is to highlight both the progress and results that the ECP programme has achieved in the field of environmental peacebuilding from 2008 to 2015 within each of these main activity pillars. The report also shares some of the key lessons learned and recommendations for future focus areas. ECP contributes to UNEP's programme of work for 2014-2015 within the Disasters and Conflicts subprogramme, under expected accomplishment (a): " The capacity of countries to use natural resource and environmental management to prevent and reduce the risk of disasters and conflicts is improved. " Further information on the ECP programme can be found on www.unep.org/ecp All of the publications mentioned in this report can be found on www.unep.org/ecp/publications The knowledge platform and community of practice can be accessed on www.environmentalpeacebuilding.org</t>
  </si>
  <si>
    <t>FLJBSYBB</t>
  </si>
  <si>
    <t>Taylor, Peter Leigh</t>
  </si>
  <si>
    <t>In the market but not of it: Fair trade coffee and forest stewardship council certification as market-based social change</t>
  </si>
  <si>
    <t>10.1016/j.worlddev.2004.07.007</t>
  </si>
  <si>
    <t>This paper discusses two well-known market-based social change initiatives, Fair Trade coffee and Forest Stewardship Council certification, which harness market forces to pursue social and environmental objectives. A serious challenge for both is to operate in the conventional market without undermining their original objectives. A global commodity chain analysis approach is combined with insights from economic sociology embeddedness theory to explore the social, cultural and organizational factors shaping the initiatives' governance structures. Both initiatives are seen to move along opposite organizational trajectories, but face similar pressures from conventional market logics, practices and dominant actors. A preliminary framework is proposed for comparative assessment, focusing on distribution of benefits, how conventional market institutions may be questioned, and how internal governance manages diverse stakeholder interests and influence. ?? 2004 Elsevier Ltd. All rights reserved.</t>
  </si>
  <si>
    <t>129-147</t>
  </si>
  <si>
    <t>7GWJJE4B</t>
  </si>
  <si>
    <t>US Environmental Protection Agency</t>
  </si>
  <si>
    <t>Environmental Justice</t>
  </si>
  <si>
    <t>https://www.epa.gov/environmentaljustice</t>
  </si>
  <si>
    <t>This site provides EJ policy, information resources, compliance and enforcement data tools and community outreach activities. Additional topics are grants and program info documents, federal advisory committee and interagency working group activities.</t>
  </si>
  <si>
    <t>DP72HXZT</t>
  </si>
  <si>
    <t>The First Global Integrated Marine Assessment</t>
  </si>
  <si>
    <t>978-1-108-18614-8</t>
  </si>
  <si>
    <t>https://doi.org/10.1017/9781108186148</t>
  </si>
  <si>
    <t>Let us consider how dependent on the ocean we are. The ocean is vast: it covers seven tenths of the planet, is on average about 4,000 metres deep and contains 1.3 billion cubic kilometres of water (97 per cent of all the water on the surface of the Earth). There are, however, 7 billion people on Earth. This means that each one of us has just one fifth of a cubic kilometre of ocean as our portion to provide us with all the services that we get from the ocean. That small, one fifth of a cubic kilometre portion generates half of the annual production of the oxygen that each of us breathes, and all of the sea fish and other seafood that each of us eats. It is the ultimate source of all the freshwater that each of us will drink in our lifetimes. The ocean is a highway for ships that carry the goods that we produce and consume. The seabed and the strata beneath it hold minerals and oil and gas deposits that we increasingly need to use. Submarine cables across the ocean floor carry 90 per cent of the electronic traffic of communications, financial transactions and information exchange. Our energy supply will increasingly rely on sea-based wind turbines and wave and tidal power from the ocean. Large numbers of us take our holidays by the sea. The seabed is a rich repository for archaeology. That one fifth of a cubic kilometre also suffers from the sewage, garbage, spilled oil and industrial waste which we collectively allow to go into the ocean every day. Demands on the ocean continue to rise together with the world's population. By the year 2050, it is estimated that there will be 10 billion people on Earth. Our portion, or our children's portion, of the ocean will then have shrunk to one eighth of a cubic kilometre. That reduced portion will still have to provide each of us with oxygen, food and water, while still suffering from the pollution and waste that we allow to enter the ocean. The ocean is also home to a rich diversity of animals, plants, seaweeds and microbes, from the largest animal on the planet (the blue whale) to plankton and bacteria that can only be seen with powerful microscopes. We use some of those directly, and many more contribute indirectly to the benefits that we derive from the ocean. Even those organisms without any apparent connection with humans are part of the biodiversity whose value we have belatedly recognized. However, our relationship with the ocean and its creatures works both ways. We intentionally exploit many components of\ldots</t>
  </si>
  <si>
    <t>QVDNMBVR</t>
  </si>
  <si>
    <t>Global Environment Outlook 5. Environment for the future we want</t>
  </si>
  <si>
    <t>http://wedocs.unep.org/bitstream/handle/20.500.11822/8021/GEO5_report_full_en.pdf?sequence=5&amp;isAllowed=y</t>
  </si>
  <si>
    <t>United Nations Environment Programme</t>
  </si>
  <si>
    <t>Nairobi</t>
  </si>
  <si>
    <t>ipbes-global_chapter2.1_drivers; ipbes-global_chapter4; ipbes-global_chapter5; ipbes-global_glossary</t>
  </si>
  <si>
    <t>LSDAPX4W</t>
  </si>
  <si>
    <t>A Snapshot of the World´s Water Quality: Towards a global assessment</t>
  </si>
  <si>
    <t>https://uneplive.unep.org/media/docs/assessments/unep_wwqa_report_web.pdf</t>
  </si>
  <si>
    <t>UNEP 2016. A Snapshot of the World's Water Quality: Towards a global assessment. United Nations Environment Programme, Nairobi, Kenya. 162pp</t>
  </si>
  <si>
    <t>162</t>
  </si>
  <si>
    <t>Nairobi, Kenya</t>
  </si>
  <si>
    <t>ZQZQ2GNX</t>
  </si>
  <si>
    <t>UNEP-WCMC; IUCN</t>
  </si>
  <si>
    <t>Protected Planet: The World Database on Protected Areas (WDPA)</t>
  </si>
  <si>
    <t>www.protectedplanet.net</t>
  </si>
  <si>
    <t>UNEP-WCMC and IUCN</t>
  </si>
  <si>
    <t>Cambridge, UK</t>
  </si>
  <si>
    <t>VTAJJ8WY</t>
  </si>
  <si>
    <t>Toledo, Víctor M.</t>
  </si>
  <si>
    <t>Indigenous Peoples and Biodiversity</t>
  </si>
  <si>
    <t>Encyclopedia of Biodiversity (Second Edition)</t>
  </si>
  <si>
    <t>978-0-12-384720-1</t>
  </si>
  <si>
    <t>http://www.sciencedirect.com/science/article/pii/B9780123847195002999</t>
  </si>
  <si>
    <t>Indigenous people number more than 300 million. They are inhabitants of practically every main biome of the earth and especially of the least disturbed terrestrial and aquatic ecosystems of the world. Based on an exhaustive review of published data, this article stresses the strategic importance of indigenous peoples in the maintenance and conservation of the world's biodiversity. Four main links between biodiversity and indigenous peoples are examined: the correlation between biological richness and cultural diversity on both geopolitical and biogeographic terms, the strategic importance of indigenous peoples in the biomass appropriation; the remarkable overlap between indigenous territories and the world's remaining areas of high biodiversity; and the importance of indigenous views, knowledge, and practices in biodiversity conservation. The article finishes by emphasizing the urgent need for recognizing a new bio–cultural axiom: that the world's biodiversity will be effectively preserved only by preserving diversity of cultures and vice versa.</t>
  </si>
  <si>
    <t>2013-01-01</t>
  </si>
  <si>
    <t>269-278</t>
  </si>
  <si>
    <t>Academic Press</t>
  </si>
  <si>
    <t>Waltham</t>
  </si>
  <si>
    <t>DOI: 10.1016/B978-0-12-384719-5.00299-9</t>
  </si>
  <si>
    <t>Levin, Simon A</t>
  </si>
  <si>
    <t>6FTVGAU7</t>
  </si>
  <si>
    <t>Uphoff, Norman</t>
  </si>
  <si>
    <t>Learning from Gal Oya - Possibilities for Participatory Development and Post-Newtonian Social Science</t>
  </si>
  <si>
    <t>Asia-Pacific Journal of Rural Development</t>
  </si>
  <si>
    <t>1018-5291</t>
  </si>
  <si>
    <t>10.1177/1018529119960206</t>
  </si>
  <si>
    <t>https://doi.org/10.1177/1018529119960206</t>
  </si>
  <si>
    <t>1996-12-01</t>
  </si>
  <si>
    <t>2019-11-28 00:00:00</t>
  </si>
  <si>
    <t>103-107</t>
  </si>
  <si>
    <t>J83W6UWI</t>
  </si>
  <si>
    <t>UNESCO; HELCOM</t>
  </si>
  <si>
    <t>Pharmaceuticals in the aquatic environment of the Baltic Sea region – A status report</t>
  </si>
  <si>
    <t>http://www.helcom.fi/Lists/Publications/BSEP149.pdf</t>
  </si>
  <si>
    <t>UNESCO Emerging Pollutants in Water Series</t>
  </si>
  <si>
    <t>No, Unesco Emerging Pollutants in Water Series –</t>
  </si>
  <si>
    <t>L7DPQHK4</t>
  </si>
  <si>
    <t>UNDP</t>
  </si>
  <si>
    <t>Human Development Report 2016</t>
  </si>
  <si>
    <t>978-99973-63-98-5</t>
  </si>
  <si>
    <t>The 2016 Human Development Report is the latest in the series of global Human Development Reports published by the United Nations Development Programme (UNDP) since 1990 as independent, analytically and empirically grounded discussions of major development issues, trends and policies. Additional resources related to the 2016 Human Development Report can be found online at http://hdr.undp.org, including digital versions of the Report and translations of the overview in more than 20 languages, an interactive web version of the Report, a set of background papers and think pieces commissioned for the Report, interactive maps and databases of human development indicators, full explanations of the sources and methodologies used in the Report's composite indices, country profiles and other background materials as well as previous global, regional and national Human Development Reports. The 2016 Report and the best of Human Development Report Office content, including publications, data, HDI rankings and related information can also be accessed on Apple iOS and Android smartphones via a new and easy to use mobile app. The cover reflects the basic message that human development is for everyone—in the human development journey no one can be left out. Using an abstract approach, the cover conveys three fundamental points. First, the upward moving waves in blue and whites represent the road ahead that humanity has to cover to ensure universal human development. The different curvature of the waves alerts us that some paths will be more difficult and sailing along those paths will not be easy, but multiple options are open. Second, in this journey some people will be ahead, but some will be lagging behind. Those lagging behind will need helping hands from those who are ahead. The gestures of the two hands reflect that spirit of human solidarity. Third, the two colours— green and blue—and the hands at the top—convey that universal human development requires a balance among planet, peace and people.</t>
  </si>
  <si>
    <t>193</t>
  </si>
  <si>
    <t>United Nations Development Programme</t>
  </si>
  <si>
    <t>2PCBCP7J</t>
  </si>
  <si>
    <t>Human Development Index</t>
  </si>
  <si>
    <t>http://hdr.undp.org/en/data</t>
  </si>
  <si>
    <t>6E2ZYCQ3</t>
  </si>
  <si>
    <t>UN-Water</t>
  </si>
  <si>
    <t>Wastewater Management – A UN-Water Analytical Brief</t>
  </si>
  <si>
    <t>https://www.unwater.org/publications/wastewater-management-un-water-analytical-brief/</t>
  </si>
  <si>
    <t>F4TKY52Z</t>
  </si>
  <si>
    <t>World Economic and Social Survey 2016. Climate Change Resilience: an opportunity for reducing inequalities</t>
  </si>
  <si>
    <t>978-92-1-109174-8</t>
  </si>
  <si>
    <t>https://wess.un.org/wp-content/uploads/2016/06/WESS_2016_Report.pdf</t>
  </si>
  <si>
    <t>5FPXAAWX</t>
  </si>
  <si>
    <t>Population facts - Our urbanizing world. No. 2014/3</t>
  </si>
  <si>
    <t>https://www.un.org/en/development/desa/population/publications/pdf/popfacts/PopFacts_2014-3.pdf</t>
  </si>
  <si>
    <t>2. The levels and pace of urbanization vary widely across regions and countries. Northern America and Latin America and the Caribbean are the most urbanized regions, with 80 per cent or more of their populations residing in urban settlements in 2014. Europe, with 73 per cent of its population living in urban areas in 2014, is expected to be more than 80 per cent urban by 2050. Africa and Asia remain mostly rural, on the whole, with 40 per cent and 48 per cent of their respective populations living in urban areas in 2014. Both regions are projected to urbanize faster than other regions over the coming decades, reaching 56 per cent and 64 per cent urban by 2050. Nevertheless, Africa and Asia are expected to remain the two least urbanized regions of the world. Regional aggregates tend to obscure a great deal of heterogeneity in the level of urbanization across countries within regions. In 2014, 19 per cent of the countries or areas in Africa were more than 60 per cent urban, and three (Gabon, Réunion and Western Sahara) were more than 80 per cent urban. Among the European countries with at least 500,000 inhabitants, levels of urbanization in 2014 ranged from as low as 40 per cent in Bosnia and Herzegovina to as high as 98 per cent in Belgium. The most urbanized countries or areas in Africa were more than twice as urban as the least urbanized countries or areas in Europe. 3. The percentage urban is projected to increase in nearly all of the world's countries or areas between 2014 and 2050, but substantial heterogeneity will persist.</t>
  </si>
  <si>
    <t>United Nations Department of Economic and Social Affairs</t>
  </si>
  <si>
    <t>8IGSAGW9</t>
  </si>
  <si>
    <t>Tveteras, Sigbjorn; Paredes, Carlos E.; Peña-Torres, Julio</t>
  </si>
  <si>
    <t>Individual Vessel Quotas in Peru: Stopping the Race for Anchovies</t>
  </si>
  <si>
    <t>0738-1360</t>
  </si>
  <si>
    <t>10.5950/0738-1360-26.3.225</t>
  </si>
  <si>
    <t>https://www.journals.uchicago.edu/doi/10.5950/0738-1360-26.3.225</t>
  </si>
  <si>
    <t>In January 2009 a new management regime of individual vessel quotas (IVQs) was put in force in the world's largest fishery, the Peruvian anchovy fishery. Until 2009, the fishery was managed by a regulated open-access system with clear symptoms of the race for fish. We argue that the new regime has stopped the race for fish, reduced the number of vessels participating in the fishery, and prolonged the fishing season. Furthermore, the IVQs appear to have improved profitability in the fishery and increased value-added production in the Peruvian anchovy value chains. This provides support that developing countries with presumed weaker institutions can reap benefits of such management systems. However, there appears to have been setbacks in 2010, as the number of participating vessels has once again increased. This indicates that the institutions that regulate and monitor the fishery must be further strengthened.</t>
  </si>
  <si>
    <t>2011-09</t>
  </si>
  <si>
    <t>225-232</t>
  </si>
  <si>
    <t>5MCD2S63</t>
  </si>
  <si>
    <t>UN Secretariat to the Antarctic Treaty</t>
  </si>
  <si>
    <t>List of Parties to the Antarctic Treaty</t>
  </si>
  <si>
    <t>https://www.ats.aq/devAS/Parties?lang=e</t>
  </si>
  <si>
    <t>4T2CGDGV</t>
  </si>
  <si>
    <t>Tavoni, Alessandro</t>
  </si>
  <si>
    <t>Building up cooperation</t>
  </si>
  <si>
    <t>10.1038/nclimate1962</t>
  </si>
  <si>
    <t>http://www.nature.com/articles/nclimate1962</t>
  </si>
  <si>
    <t>Can we achieve the ambitious mitigation targets needed to avert dangerous global warming? Research now shows that local sanctioning institutions may succeed where global agreements fall short.</t>
  </si>
  <si>
    <t>782-783</t>
  </si>
  <si>
    <t>4NMVW2IY</t>
  </si>
  <si>
    <t>Taylor, Dorceta E.</t>
  </si>
  <si>
    <t>Toxic communities: Environmental racism, industrial pollution, and residential mobility</t>
  </si>
  <si>
    <t>978-1-4798-6178-1</t>
  </si>
  <si>
    <t>New York University Press</t>
  </si>
  <si>
    <t>New York and London</t>
  </si>
  <si>
    <t>KX67NZ8A</t>
  </si>
  <si>
    <t>National Environmental Justice Advisory Council 20-Year Retrospective Report</t>
  </si>
  <si>
    <t>https://www.epa.gov/environmentaljustice/national-environmental-justice-advisory-council-20-year-retrospective-report</t>
  </si>
  <si>
    <t>2019-11-15 12:00:19</t>
  </si>
  <si>
    <t>UKN6A5FZ</t>
  </si>
  <si>
    <t>The future we want. Resolution adopted by the General Assembly on 27 July 2012 (A/RES/66/288)</t>
  </si>
  <si>
    <t>https://sustainabledevelopment.un.org/futurewewant.html</t>
  </si>
  <si>
    <t>288</t>
  </si>
  <si>
    <t>QVG7GUST</t>
  </si>
  <si>
    <t>World Population to 2300</t>
  </si>
  <si>
    <t>https://www.un.org/en/development/desa/population/publications/pdf/trends/WorldPop2300final.pdf</t>
  </si>
  <si>
    <t>R4L9TMTH</t>
  </si>
  <si>
    <t>Tarrant, Michael A.; Green, Gary T.</t>
  </si>
  <si>
    <t>Outdoor Recreation and the Predictive Validity of Environmental Attitudes</t>
  </si>
  <si>
    <t>10.1080/014904099273264</t>
  </si>
  <si>
    <t>1999-03</t>
  </si>
  <si>
    <t>17-30</t>
  </si>
  <si>
    <t>CPRIT8QN</t>
  </si>
  <si>
    <t>UN COMTRADE</t>
  </si>
  <si>
    <t>United Nations Commodity Trade Statistics Database</t>
  </si>
  <si>
    <t>comtrade.un.org/</t>
  </si>
  <si>
    <t>COMTRADE. United Nations Commodity Trade Statistics Database. Nova Iorque, 2010. Disponível em: \textlesshttp://comtrade.un.org/db/\textgreater. Acesso em: 01 set. 2011.</t>
  </si>
  <si>
    <t>ZYY6GWUC</t>
  </si>
  <si>
    <t>USAID</t>
  </si>
  <si>
    <t>Tenure and indigenous peoples. The importance of self-determination, territory, and rights to land and other natural resources</t>
  </si>
  <si>
    <t>5QEHY65L</t>
  </si>
  <si>
    <t>The Equator Principles Association</t>
  </si>
  <si>
    <t>The Equator Principles: A financial industry benchmark for determining, assessing and managing environmental and social risk in projects</t>
  </si>
  <si>
    <t>SJVEQ56G</t>
  </si>
  <si>
    <t>US SIF Foundation</t>
  </si>
  <si>
    <t>Report on US Sustainable, Responsible and Impact Investing Trends</t>
  </si>
  <si>
    <t>The Forum for Sustainable and Responsible Investment. Bloomberg.</t>
  </si>
  <si>
    <t>8J7ZWGZZ</t>
  </si>
  <si>
    <t>Protected Planet Report 2016. How protected areas contribute to achieving global targets for biodiversity</t>
  </si>
  <si>
    <t>https://www.protectedplanet.net/</t>
  </si>
  <si>
    <t>Protected Planet is the online interface for the World Database on Protected Areas (WDPA), and the most comprehensive global database on terrestrial and marine protected areas.</t>
  </si>
  <si>
    <t>Cambridge, UK, and Gland, Switzerland</t>
  </si>
  <si>
    <t>R4UQ8C6Z</t>
  </si>
  <si>
    <t>GEO-6 Regional Assessment for Latin America and the Caribbean</t>
  </si>
  <si>
    <t>http://wedocs.unep.org/bitstream/handle/20.500.11822/7659/GEO_LAC_201611.pdf?isAllowed=y&amp;sequence=1</t>
  </si>
  <si>
    <t>UNEP 2016. GEO-6 Regional Assessment for Latin America and the Caribbean. United Nations Environment Programme, Nairobi, Kenya.</t>
  </si>
  <si>
    <t>FIFNJDF5</t>
  </si>
  <si>
    <t>GEO-6 Regional Assessment for North America</t>
  </si>
  <si>
    <t>UNEP 2016. GEO-6 Regional Assessment for North America. United Nations Environment Programme, Nairobi, Kenya</t>
  </si>
  <si>
    <t>7WU9G49Z</t>
  </si>
  <si>
    <t>GEO-6 Regional Assessment for Asia Pacific</t>
  </si>
  <si>
    <t>9TCFQTJM</t>
  </si>
  <si>
    <t>GEO-6 Regional Assessment for Africa</t>
  </si>
  <si>
    <t>9HPUAHGK</t>
  </si>
  <si>
    <t>GEO-6 Regional Assessment for pan-European region</t>
  </si>
  <si>
    <t>HSKAPVHE</t>
  </si>
  <si>
    <t>van der Sluis, Theo; Pedroli, Bas; Kristensen, Søren B. P.; Lavinia Cosor, Georgia; Pavlis, Evangelos</t>
  </si>
  <si>
    <t>Changing land use intensity in Europe – Recent processes in selected case studies</t>
  </si>
  <si>
    <t>In recent decades the intensification of agricultural production in many European countries has been one of the key components of land-use change. The impact of agricultural intensification varies according to national and local contexts and a greater understanding of the drivers of intensification will help to mitigate against its negative impacts and harness potential benefits. This paper analyses changes in land use intensity in six case studies in Europe. A total of 437 landowners were interviewed and their responses were analysed in relation to changes in land use intensity and agricultural production between 2001 and 2011. In the case studies in Western and Eastern Europe we observed stabilisation during the last decade, and no clear tendency of increase or decrease of land use intensity. The use of fertilizers and pesticides seems to have decreased in our cases in Western Europe, which is contrary to trends in Eastern Europe. Agricultural production remained stable in almost all cases, except for an increase in Austria and Romania which may indicate that the farming efficiency has increased. A statistical analysis showed a division between study areas in Romania and Austria (increasing land use intensity) versus those in the Netherlands, Denmark and Greece (decreasing). In the Mediterranean cases we observe a process where agriculture is becoming increasingly marginalised, at the same time as changes in function with regard to urbanisation and recreational land uses have taken place. Logistic regression highlighted the importance of farm size and farmer type in understanding changes in land use intensity. The dominant pattern of stabilisation which has occurred over the past 10 years may also partly be a result of effective EU and national environmental and agricultural policies, which are increasingly concerned with improving environmental conditions in rural areas.</t>
  </si>
  <si>
    <t>2016-11</t>
  </si>
  <si>
    <t>777-785</t>
  </si>
  <si>
    <t>VKE3HWGP</t>
  </si>
  <si>
    <t>van der Sandt, Joris</t>
  </si>
  <si>
    <t>Mining Conflicts and Indigenous Peoples in Guatemala</t>
  </si>
  <si>
    <t>Guatemala Country Report prepared for the study: Environmental degradation, natural resources and violent conflict in indigenous habitats in Kalimantan-Indonesia, Bayaka-Central African Republic and San Marcos-Guatemala</t>
  </si>
  <si>
    <t>CORDAID</t>
  </si>
  <si>
    <t>5EVHLYTB</t>
  </si>
  <si>
    <t>van de Walle, Dominique</t>
  </si>
  <si>
    <t>Impact evaluation of rural road projects</t>
  </si>
  <si>
    <t>Journal of Development Effectiveness</t>
  </si>
  <si>
    <t>1943-9342</t>
  </si>
  <si>
    <t>10.1080/19439340902727701</t>
  </si>
  <si>
    <t>Very few of the (many) aid-financed rural road projects in developing countries have been the subject of rigorous impact evaluations. Assessing the welfare impacts of rural roads poses a number of problems, with implications for data collection and evaluation methods. This paper surveys the problems and discusses some practical implementation issues related specifically to conducting an impact evaluation of a rural roads project that is assigned to some geographic areas but not to others.</t>
  </si>
  <si>
    <t>2009-03</t>
  </si>
  <si>
    <t>15-36</t>
  </si>
  <si>
    <t>I9C3Z4GE</t>
  </si>
  <si>
    <t>Utting, Peter</t>
  </si>
  <si>
    <t>Trees, people and power: social dimensions of deforestation and forest protection in Central America</t>
  </si>
  <si>
    <t>Earthscan Publications Ltd.</t>
  </si>
  <si>
    <t>ZXHSNUW7</t>
  </si>
  <si>
    <t>Unruh, Jon Darrel; Krol, Maarten S.; Kliot, Nurit</t>
  </si>
  <si>
    <t>Environmental change and its implications for population migration</t>
  </si>
  <si>
    <t>978-1-4020-2877-9</t>
  </si>
  <si>
    <t>313</t>
  </si>
  <si>
    <t>Kluwer Academic Publishers</t>
  </si>
  <si>
    <t>HKTZYWX3</t>
  </si>
  <si>
    <t>Van Dijk, Tessa C.; Van Staalduinen, Marja A.; der Sluijs, Jeroen P.</t>
  </si>
  <si>
    <t>Imidacloprid is one of the most widely used insecticides in the world. Its concentration in surface water exceeds the water quality norms in many parts of the Netherlands. Several studies have demonstrated harmful effects of this neonicotinoid to a wide range of non-target species. Therefore we expected that surface water pollution with imidacloprid would negatively impact aquatic ecosystems. Availability of extensive monitoring data on the abundance of aquatic macro-invertebrate species, and on imidacloprid concentrations in surface water in the Netherlands enabled us to test this hypothesis. Our regression analysis showed a significant negative relationship (P\textless0.001) between macro-invertebrate abundance and imidacloprid concentration for all species pooled. A significant negative relationship was also found for the orders Amphipoda, Basommatophora, Diptera, Ephemeroptera and Isopoda, and for several species separately. The order Odonata had a negative relationship very close to the significance threshold of 0.05 (P = 0.051). However, in accordance with previous research, a positive relationship was found for the order Actinedida. We used the monitoring field data to test whether the existing three water quality norms for imidacloprid in the Netherlands are protective in real conditions. Our data show that macrofauna abundance drops sharply between 13 and 67 ng l−1. For aquatic ecosystem protection, two of the norms are not protective at all while the strictest norm of 13 ng l−1 (MTR) seems somewhat protective. In addition to the existing experimental evidence on the negative effects of imidacloprid on invertebrate life, our study, based on data from large-scale field monitoring during multiple years, shows that serious concern about the far-reaching consequences of the abundant use of imidacloprid for aquatic ecosystems is justified.</t>
  </si>
  <si>
    <t>S5RKNZVW</t>
  </si>
  <si>
    <t>Van de Wauw, Johan; Evens, Roel; Machiels, Lieven</t>
  </si>
  <si>
    <t>Are groundwater overextraction and reduced infiltration contributing to Arsenic related health problems near the Marlin mine (Guatemala)?</t>
  </si>
  <si>
    <t>HKAN7KV5</t>
  </si>
  <si>
    <t>Vale, Petterson Molina</t>
  </si>
  <si>
    <t>The changing climate of climate change economics</t>
  </si>
  <si>
    <t>0921-8009</t>
  </si>
  <si>
    <t>Climate change economics is now four decades old. Much of what it has achieved as a field of academic enquiry can be linked back to issues of integrated assessment modelling. This paper shows that the standard approach is going through a major change in scope as of the last five years. The conventional focus on determining optimal mitigation paths based on modelling the social cost of carbon is being enlarged to embrace promising new waves of research. These are: (1) the economics of insurance against catastrophic risks; (2) the economics of trade and climate; and (3) the economics of climate change adaptation. The paper helps to bridge the gap between economics and climate policy by showing that the analytical toolkit of climate change economics has shifted towards more realistic representations of climatic policy.</t>
  </si>
  <si>
    <t>T6455XDC</t>
  </si>
  <si>
    <t>Urkidi, Leire; Walter, Mariana</t>
  </si>
  <si>
    <t>Dimensions of environmental justice in anti-gold mining movements in Latin America</t>
  </si>
  <si>
    <t>00167185</t>
  </si>
  <si>
    <t>10.1016/j.geoforum.2011.06.003</t>
  </si>
  <si>
    <t>The present article examines two Latin American gold mining conflicts, one in the city of Esquel (Patagonia in Argentina) and the other in Pascua-Lama (Chilean border with Argentina). We identify the emergence of three dimensions of environmental justice (distribution, recognition, participation) in the anti-mining movements of these two cases. The study finds that some dimensions of justice appear first (participation and recognition), while distribution emerges later, as movements jump scales engaging with national and international networks that provide a systemic perspective of the conflicts. The findings are consistent with other studies that refer to environmental justice as multi-scalar and context related. We also point to the relevance of studying decision-making procedures and jumping scales to understand how environmental justice claims are framed in resource extraction conflicts. E© 2011 Elsevier Ltd.</t>
  </si>
  <si>
    <t>3SA655IA</t>
  </si>
  <si>
    <t>Uphoff, Norman; Langholz, Jeff</t>
  </si>
  <si>
    <t>Incentives for avoiding the Tragedy of the Commons</t>
  </si>
  <si>
    <t>03768929</t>
  </si>
  <si>
    <t>10.1017/S0376892998000319</t>
  </si>
  <si>
    <t>Efforts to protect vulnerable environmental resources have focused largely on legal prohibitions and sanctions or on economic rewards or penalties. The role and importance of social and cultural factors have been much less considered. While theoretical arguments have addressed whether state institutions must be involved in resource protection, or whether private incentives can be manipulated to achieve desired outcomes, this preoccupation with either public sector or private sector solutions to the problems of environmental conservation has caused a neglect of social values and community consensus. The analysis offered here seeks to enlarge the debate from being two-sided to three-cornered. By bringing in a third set of considerations, the socio-cultural, the analysis underscores that individual decisions are embedded in community and local contexts. All three kinds of incentives are considered to be potentially of equal importance for resource-conserving behaviour (RCB) vis-g-vis resource-degrading behaviour (RDB). The analysis is concerned first with the strength of different incentives in favour of RCB compared to RDB, comparing legal and economic with socio-cultural considerations affecting RCB and RDB. Efforts to protect vulnerable resources can seek to alter in an RCB direction the attitudes and incentives of people along any or ail of these three dimensions of motivation, or they can seek to make a particular domain of motivation more salient if it is supportive,of environmental conservation. This analysis is proposed in part to get the sociocultural domain taken more seriously alongside the legal and economic domains, as well as to prompt more systematic consideration of different kinds of policies, investments, actions or pronouncements that could shift the net balance of incentives in favour of RCB. While the analysis is admittedly simplified, there is utility in encouraging focused comparisons and evaluations of conservation alternatives. Examples of efforts to promote RCB in Madagascar and Costa Rica are given to illustrate this</t>
  </si>
  <si>
    <t>WCUAQ29I</t>
  </si>
  <si>
    <t>Svolik, Milan W.</t>
  </si>
  <si>
    <t>The politics of authoritarian rule</t>
  </si>
  <si>
    <t>HQ43LLFC</t>
  </si>
  <si>
    <t>Sullivan, R.; Martindale, W.; Feller, E.; Bordon, A.</t>
  </si>
  <si>
    <t>Fiduciary Duty in the 21st Century</t>
  </si>
  <si>
    <t>http://www.unpri.org/wp-content/uploads/Fiduciary-duty-21st-century.pdf</t>
  </si>
  <si>
    <t>UNEP Finance Iniciative/ UNEP Inquiry and the UN Global Compac</t>
  </si>
  <si>
    <t>JQJW58QL</t>
  </si>
  <si>
    <t>Institutions and collective action: Self-governance in irrigation</t>
  </si>
  <si>
    <t>ICS press</t>
  </si>
  <si>
    <t>G7A92EYA</t>
  </si>
  <si>
    <t>Tacconi, Luca; Boscolo, Marco; Brack, Duncan</t>
  </si>
  <si>
    <t>National and International Policies to Control Illegal Forest Activities</t>
  </si>
  <si>
    <t>979-3361-61-1</t>
  </si>
  <si>
    <t>1–69</t>
  </si>
  <si>
    <t>Center for International Forestry Research</t>
  </si>
  <si>
    <t>Jakarta</t>
  </si>
  <si>
    <t>8RLE4V96</t>
  </si>
  <si>
    <t>Illegal logging : law enforcement, livelihoods and the timber trade</t>
  </si>
  <si>
    <t>1-84977-167-7</t>
  </si>
  <si>
    <t>Illegal logging is massively widespread - more than 50 per cent of all timber in some countries - and hugely damaging, yet how can it be tackled without causing poverty in local communities? Written by the world's foremost experts, this book examines the key issues including law and enforcement, supply and demand, corruption, forest certification, poverty, local livelihoods, international trade and biodiversity conservation. It includes key cases studies from forest-rich hotspots in North, South and Central America, equatorial Africa and the dwindling rainforests of Indonesia. In many countries illegal logging now accounts for more than 50 per cent of timber. Once cut, illegal logs feed an insatiable demand for exotic hardwoods in developed and developing countries. The result has been an enormous loss of both revenue and biodiversity, and consequently the issue has risen to the top of the global forest policy agenda as one of the major threats to forests, and donors and national governments are starting to develop initiatives to 'combat' illegal logging.; Yet for such a massive illegal trade, there is surprisingly limited knowledge available as to the major causes of illegal logging and its impacts on biodiversity, people and livelihoods and national economies, and thus plenty of speculation and action without evidence. It is clear that while illegal logging does have negative impacts, it also, controversially, and perhaps paradoxically, benefits many stakeholders, including local communities who have been marginalized by unjust forest policies. While there are clearly no easy answers, this book sorts fact from fiction and explores the many dimensions of the causes, impacts and implications for forests, people, livelihoods and forest policy. The problem of illegal logging / L. Tacconi – The social basis of illegal logging and forestry law enforcement in North America / M.R. Pendleton – From New Order to regional autonomy: shifting dynamics of illegal logging in Kalimantan, Indonesia / A. Casson, K. Obidzinski – Turning in circles: district governance, illegal logging, and environmental decline in Sumatra, Indonesia / J.F. McCarthy – Illegal logging, collusive corruption and fragmented governments in Kalimantan, Indonesia / J. Smith, K. Obidzinski, S. Subarudi and I. Suramenggala – Forest law enforcement and rural livelihoods / D. Kaimowitz – Rural livelihoods, forest law, and the illegal timber trade in Honduras and Nicaragua / A. Wells, F. del G\ldots</t>
  </si>
  <si>
    <t>301</t>
  </si>
  <si>
    <t>EL7CG54G</t>
  </si>
  <si>
    <t>Sze, Julie</t>
  </si>
  <si>
    <t>Noxious New York : the racial politics of urban health and environmental justice</t>
  </si>
  <si>
    <t>978-0-262-19554-6</t>
  </si>
  <si>
    <t>'Noxious New York' examines the culture, politics, and history of the movement for environmental justice in New York City, tracking activism in four neighborhoods on issues of public health, garbage, and energy systems in the context of privatisation, deregulation, and globalisation. Machine generated contents note: Introduction : environmental justice in a moment of danger – 1. What's old is new : public health and planning as historical antecedents to New York City's environmental justice activism – 2. New York City environmental justice campaigns : stigma, blight, and the politics of race and pollution – 3. Childhood asthma in New York City : the politics of gender, race, and recognition – 4. racial geography of New York City garbage : local and global trash politics – 5. Power to the people? : deregulation and environmental justice energy activism – 6. promise and the peril or, can community-based environmental justice initiatives reintegrate planning and public health in the urban environment?.</t>
  </si>
  <si>
    <t>437AKBPA</t>
  </si>
  <si>
    <t>Swenson, Jennifer J.; Carter, Catherine E.; Domec, Jean Christophe; Delgado, Cesar I.</t>
  </si>
  <si>
    <t>Gold mining in the peruvian amazon: Global prices, deforestation, and mercury imports</t>
  </si>
  <si>
    <t>10.1371/journal.pone.0018875</t>
  </si>
  <si>
    <t>Many factors such as poverty, ineffective institutions and environmental regulations may prevent developing countries from managing how natural resources are extracted to meet a strong market demand. Extraction for some resources has reached such proportions that evidence is measurable from space. We present recent evidence of the global demand for a single commodity and the ecosystem destruction resulting from commodity extraction, recorded by satellites for one of the most biodiverse areas of the world. We find that since 2003, recent mining deforestation in Madre de Dios, Peru is increasing nonlinearly alongside a constant annual rate of increase in international gold price (∼18%/yr). We detect that the new pattern of mining deforestation (1915 ha/year, 2006-2009) is outpacing that of nearby settlement deforestation. We show that gold price is linked with exponential increases in Peruvian national mercury imports over time (R(2) = 0.93, p = 0.04, 2003-2009). Given the past rates of increase we predict that mercury imports may more than double for 2011 (∼500 t/year). Virtually all of Peru's mercury imports are used in artisanal gold mining. Much of the mining increase is unregulated/artisanal in nature, lacking environmental impact analysis or miner education. As a result, large quantities of mercury are being released into the atmosphere, sediments and waterways. Other developing countries endowed with gold deposits are likely experiencing similar environmental destruction in response to recent record high gold prices. The increasing availability of satellite imagery ought to evoke further studies linking economic variables with land use and cover changes on the ground.</t>
  </si>
  <si>
    <t>2DHL4N7R</t>
  </si>
  <si>
    <t>Swain, Ashok</t>
  </si>
  <si>
    <t>The Nile River Basin Initiative: Too Many Cooks, Too Little Broth</t>
  </si>
  <si>
    <t>SAIS Review</t>
  </si>
  <si>
    <t>10.1353/sais.2002.0044</t>
  </si>
  <si>
    <t>\textlessp\textgreaterAbstract: Hydropolitics in the Nile River Basin have been dominated by Egypt, which has developed its water-related infrastructure unilaterally. As a result of Egypt's policies, relations with both Ethiopia and Sudan have deteriorated over time, increasing the potential for contentious issues to escalate into conflict. Recent population and agricultural trends have only further exacerbated already tense relations. The challenge lies in cooperation. Basinwide initiatives have been attempted, but, until recently, have largely failed. The most recent Nile Basin Initiative holds the strongest potential for establishing a basinwide framework for cooperation. Nevertheless, a subbasin model would be more appropriate and effective because it would diffuse existing tensions first without jeopardizing basinwide cooperation prematurely.\textless/p\textgreater</t>
  </si>
  <si>
    <t>293-308</t>
  </si>
  <si>
    <t>KIWA7RLU</t>
  </si>
  <si>
    <t>Swallow, B.; Meinzen-Dick, R.</t>
  </si>
  <si>
    <t>Payment for environmental services: Interactions with property rights and collective action</t>
  </si>
  <si>
    <t>Institutions and Sustainability: Political Economy of Agriculture and the Environment-Essays in Honour of Konrad Hagedorn</t>
  </si>
  <si>
    <t>243-265</t>
  </si>
  <si>
    <t>Springer Netherlands</t>
  </si>
  <si>
    <t>Beckmann, Volker; Padmanabhan, Martina</t>
  </si>
  <si>
    <t>2MNXBDHA</t>
  </si>
  <si>
    <t>Thapa, Brijesh</t>
  </si>
  <si>
    <t>The Mediation Effect of Outdoor Recreation Participation on Environmental Attitude-Behavior Correspondence</t>
  </si>
  <si>
    <t>10.1080/00958960903439989</t>
  </si>
  <si>
    <t>2010-03</t>
  </si>
  <si>
    <t>133-150</t>
  </si>
  <si>
    <t>KVBIL5KC</t>
  </si>
  <si>
    <t>Taylor, Paul W.</t>
  </si>
  <si>
    <t>The Ethics of Respect for Nature</t>
  </si>
  <si>
    <t>Environmental Ethics</t>
  </si>
  <si>
    <t>0163-4275</t>
  </si>
  <si>
    <t>10.5840/enviroethics19813321</t>
  </si>
  <si>
    <t>I present the foundational structure for a life-centered theory of environmental ethics. The structure consists of three interrelated components. First is the adopting of a certain ultimate moral attitude toward nature, which I call “respect for nature.” Second is a belief system that constitutes a way of conceiving of the natural world and of our place in it. This belief system underlies and supports the attitude in a way that makes it an appropriate attitude to take toward the Earth's natural ecosystems and their life communities. Third is a system of moral rules and stan- dards for guiding our treatment of those ecosystems and life communities, a set of normative principles which give concrete embodiment or expression to the attitude of respect for nature. The theory set forth and defended here is, I hold, structurally symmetrical with a theory of human ethics based on the principle of respect for persons. I.</t>
  </si>
  <si>
    <t>LCPUNPSM</t>
  </si>
  <si>
    <t>Thapa, Brijesh; Graefe, Alan R.; Meyer, Louisa A.</t>
  </si>
  <si>
    <t>Specialization and Marine Based Environmental Behaviors Among SCUBA Divers</t>
  </si>
  <si>
    <t>10.1080/00222216.2006.11950094</t>
  </si>
  <si>
    <t>601-615</t>
  </si>
  <si>
    <t>NBZJV8MA</t>
  </si>
  <si>
    <t>Thaler, Gregory M.</t>
  </si>
  <si>
    <t>The Land Sparing Complex: Environmental Governance, Agricultural Intensification, and State Building in the Brazilian Amazon</t>
  </si>
  <si>
    <t>Annals of the American Association of Geographers</t>
  </si>
  <si>
    <t>24694460</t>
  </si>
  <si>
    <t>10.1080/24694452.2017.1309966</t>
  </si>
  <si>
    <t>Since 2004, annual deforestation in the Brazilian Amazon has fallen nearly 80 percent, even as agricultural production in the region has increased. Understanding this land use transition requires a theorization of the relationships among environmental governance, agricultural intensification, and state building. Drawing on key informant interviews, municipal-level case studies, and an organizational ethnography of an international environmental organization, I argue that declines in deforestation engineered by new governance arrangements are part of a project of economic development and state building through environmental regulation. This project is implemented by a complex of government, nongovernmental, and corporate actors. I describe the emergence of this complex and the land sparing logic that animates it. Land sparing policy inverts previous logics of state territorialization and environmental conservation with the aim of shifting the Amazonian economy from an extensive mode of extraction to an int...</t>
  </si>
  <si>
    <t>1424-1443</t>
  </si>
  <si>
    <t>LTXCDEDF</t>
  </si>
  <si>
    <t>Tesfaw, Anteneh T.; Pfaff, Alexander; Golden Kroner, Rachel E.; Qin, Siyu; Medeiros, Rodrigo; Mascia, Michael B.</t>
  </si>
  <si>
    <t>Land-use and land-cover change shape the sustainability and impacts of protected areas</t>
  </si>
  <si>
    <t>10.1073/pnas.1716462115</t>
  </si>
  <si>
    <t>Emerging evidence shows that the boundaries of protected areas (PAs) and their level of protection regularly change, yet little is known regarding the underlying causes of these legal changes and their impacts on ecosystems. For PA degazettements (i.e., protection removals) in the state of Rondônia in the Brazilian Amazon we show that the PAs less effective in stemming deforestation are more likely to be degazetted. For those already deforested PAs degazettement had limited, if any, additional impact on deforestation. Consistent with the scientific literature recognizing that governance shapes conservation outcomes, governance that improves PA outcomes also improves their legal durability. Our evidence on such relationships suggests directions for research and the need for policymakers to reexamine conventional wisdom regarding PAs.Protected areas (PAs) remain the dominant policy to protect biodiversity and ecosystem services but have been shown to have limited impact when development interests force them to locations with lower deforestation pressure. Far less known is that such interests also cause widespread tempering, reduction, or removal of protection [i.e., PA downgrading, downsizing, and degazettement (PADDD)]. We inform responses to PADDD by proposing and testing a bargaining explanation for PADDD risks and deforestation impacts. We examine recent degazettements for hydropower development and rural settlements in the state of Rondônia in the Brazilian Amazon. Results support two hypotheses: (i) ineffective PAs (i.e., those where internal deforestation was similar to nearby rates) were more likely to be degazetted and (ii) degazettement of ineffective PAs caused limited, if any, additional deforestation. We also report on cases in which ineffective portions were upgraded. Overall our results suggest that enhancing PAs{$\backslash$textquoteright} ecological impacts enhances their legal durability.</t>
  </si>
  <si>
    <t>2084-2089</t>
  </si>
  <si>
    <t>Q372MH3K</t>
  </si>
  <si>
    <t>Tayanc, M.; Toros, H.</t>
  </si>
  <si>
    <t>Urbanization effects on regional climate change in the case of four large cities of turkey</t>
  </si>
  <si>
    <t>Climatic Change</t>
  </si>
  <si>
    <t>10.1023/A:1005357915441</t>
  </si>
  <si>
    <t>The growing interest in urbanization problems is stimulating detailed studies of their effects on local climate change in the developed world. The absence of such studies in developing countries is restricting many decisions to be made and applied by policymakers. In one developing country, Turkey, results of the study of four urban stations and their neighboring rural sites for the 1951-1990 time period reveal that there is a shift towards the warmer side in the frequency distributions of daily minimum and 21.00 hr temperature difference series. This shift is an indication of urban heat island. The maximum urban heat island intensity trend that is obtained from the temperature differences database agrees well with Oke's (1973) formula for European cities. Seasonal analysis of individual 21.00 hr temperature series suggests that the regional warming is strongest in spring and weakest in autumn and winter. Urban warming is detected to be more or less equally distributed over the year with a slight increase in the autumn months. The Mann-Kendall trend test is applied to the temperature difference series, and the urban heat island effect is found to be significant in all urban sites. On the other hand, almost no significant urban effect on precipitation can be detected.</t>
  </si>
  <si>
    <t>W26723Y4</t>
  </si>
  <si>
    <t>Tanner, Thomas</t>
  </si>
  <si>
    <t>Significant Life Experiences: A New Research Area in Environmental Education</t>
  </si>
  <si>
    <t>10.1080/00958964.1980.9941386</t>
  </si>
  <si>
    <t>1980-07</t>
  </si>
  <si>
    <t>20-24</t>
  </si>
  <si>
    <t>UD49Y5R9</t>
  </si>
  <si>
    <t>Toledo, Víctor M.; Barrera-Bassols, Narciso</t>
  </si>
  <si>
    <t>La memoria biocultural la importancia ecológica de las sabidurías tradicionales</t>
  </si>
  <si>
    <t>978-84-9888-001-4</t>
  </si>
  <si>
    <t>232</t>
  </si>
  <si>
    <t>Icaria</t>
  </si>
  <si>
    <t>Barcelona</t>
  </si>
  <si>
    <t>J7U6SLTT</t>
  </si>
  <si>
    <t>Ticktin, Tamara</t>
  </si>
  <si>
    <t>00218901</t>
  </si>
  <si>
    <t>The harvest of wild non-timber forest products (NTFP) represents an important source of income to millions of people world-wide. Despite growing concern over the conservation of these species, as well as their potential to foster forest conservation, information on the ecological implications of harvest is available only in disparate case studies. * 2Seventy studies that quantify the ecological effects of harvesting NTFP from plant species were reviewed, with the aims of assessing the current state of knowledge and drawing lessons that can provide guidelines for management as well as better directing future ecological research in this area. * 3The case studies illustrated that NTFP harvest can affect ecological processes at many levels, from individual and population to community and ecosystem. However, the majority of research was focused at a population level and on a limited subset of plant parts that are harvested. * 4Tolerance to harvest varies according to life history and the part of plant that is harvested. Moreover, the effects of harvest for any one species are mediated by variation in environmental conditions over space and time, and by human management practices. * 5In order to withstand heavy harvest, specific management practices in addition to gathering are necessary for many NTFP species. Management practices can be carried out at different spatial scales and some are highly effective in fostering population persistence. * 6Synthesis and applications. Substantial advances have been made towards identifying the ecological impacts of NTFP harvest. However, there is a need for longer-term studies that focus on multiple ecological levels (ranging from genes to ecosystems), that assess the mechanisms underlying impacts and that validate current models. Researchers and forest managers need to work with local harvesters in designing and evaluating management practices that can mitigate the negative effects of harvest.</t>
  </si>
  <si>
    <t>TZICV84D</t>
  </si>
  <si>
    <t>Todd, Victoria; Todd, Ian; Gardiner, Jane; Morrin, Erica</t>
  </si>
  <si>
    <t>Marine mammal observer and passive acoustic monitoring handbook</t>
  </si>
  <si>
    <t>Pelagic Publishing Ltd</t>
  </si>
  <si>
    <t>6MRJHIIN</t>
  </si>
  <si>
    <t>Todaro, Michael P.</t>
  </si>
  <si>
    <t>A Model of Labor Migration and Urban Unemployment in Less Developed Countries</t>
  </si>
  <si>
    <t>The American Economic Review</t>
  </si>
  <si>
    <t>00028282</t>
  </si>
  <si>
    <t>10.2307/1811100</t>
  </si>
  <si>
    <t>Rural-Urban migration. Stresses in particular the importance of income$\backslash$ndifferential and probability to find a job</t>
  </si>
  <si>
    <t>1969</t>
  </si>
  <si>
    <t>LDXG3URJ</t>
  </si>
  <si>
    <t>Thompson, W.</t>
  </si>
  <si>
    <t>Encyclopedia of Population</t>
  </si>
  <si>
    <t>0-02-865677-6</t>
  </si>
  <si>
    <t>939-940</t>
  </si>
  <si>
    <t>Macmillan Reference</t>
  </si>
  <si>
    <t>Demeny, Paul; McNicoll, Geoffrey; Hodgson, Dennis</t>
  </si>
  <si>
    <t>ZXYMFNDQ</t>
  </si>
  <si>
    <t>Thiede, Brian; Gray, Clark; Mueller, Valerie</t>
  </si>
  <si>
    <t>Climate variability and inter-provincial migration in South America, 1970–2011</t>
  </si>
  <si>
    <t>10.1016/j.gloenvcha.2016.10.005</t>
  </si>
  <si>
    <t>We examine the effect of climate variability on human migration in South America. Our analyses draw on over 21 million observations of adults aged 15–40 from 25 censuses conducted in eight South American countries. Addressing limitations associated with methodological diversity among prior studies, we apply a common analytic approach and uniform definitions of migration and climate across all countries. We estimate the effects of climate variability on migration overall and also investigate heterogeneity across sex, age, and socioeconomic groups, across countries, and across historical climate conditions. We also disaggregate migration by the rural/urban status of destination. We find that exposure to monthly temperature shocks has the most consistent effects on migration relative to monthly rainfall shocks and gradual changes in climate over multi-year periods. We also find evidence of heterogeneity across demographic groups and countries. Analyses that disaggregate migration by the rural/urban status of destination suggest that much of the climate-related migration is directed toward urban areas. Overall, our results underscore the complexity of environment-migration linkages and challenge simplistic narratives that envision a linear and monolithic migratory response to changing climates.</t>
  </si>
  <si>
    <t>228-240</t>
  </si>
  <si>
    <t>WJQ3KJCR</t>
  </si>
  <si>
    <t>Tscharntke, Teja; Klein, Alexandra M.; Kruess, Andreas; Steffan-Dewenter, Ingolf; Thies, Carsten</t>
  </si>
  <si>
    <t>Landscape perspectives on agricultural intensification and biodiversity - ecosystem service management</t>
  </si>
  <si>
    <t>10.1111/j.1461-0248.2005.00782.x</t>
  </si>
  <si>
    <t>Understanding the negative and positive effects of agricultural land use for the conservation of biodiversity, and its relation to ecosystem services, needs a landscape perspective. Agriculture can contribute to the conservation of high-diversity systems, which may provide important ecosystem services such as pollination and biological control via complementarity and sampling effects. Land-use management is often focused on few species and local processes, but in dynamic, agricultural landscapes, only a diversity of insurance species may guarantee resilience (the capacity to reorganize after disturbance). Interacting species experience their surrounding landscape at different spatial scales, which influences trophic interactions. Structurally complex landscapes enhance local diversity in agroecosystems, which may compensate for local high-intensity management. Organisms with high-dispersal abilities appear to drive these biodiversity patterns and ecosystem services, because of their recolonization ability and larger resources experienced. Agri-environment schemes (incentives for farmers to benefit the environment) need to broaden their perspective and to take the different responses to schemes in simple (high impact) and complex (low impact) agricultural landscapes into account. In simple landscapes, local allocation of habitat is more important than in complex landscapes, which are in total at risk. However, little knowledge of the relative importance of local and landscape management for biodiversity and its relation to ecosystem services make reliable recommendations difficult.</t>
  </si>
  <si>
    <t>857-874</t>
  </si>
  <si>
    <t>YH7L2JCT</t>
  </si>
  <si>
    <t>Traeger, Christian P.</t>
  </si>
  <si>
    <t>Sustainability, limited substitutability, and non-constant social discount rates</t>
  </si>
  <si>
    <t>10.1016/j.jeem.2011.02.001</t>
  </si>
  <si>
    <t>The paper shows how limited substitutability in consumption between different classes of goods affects the magnitude and time development of social discount rates. It decomposes the discount rates into an absolute growth and a relative growth or substitutability effect. The paper relates between-good and intertemporal substitutability to the notions of weak and strong sustainability. It analyzes under which circumstances low as opposed to high between-good substitutability increases the weights given to long-run environmental services. © 2011 Elsevier Inc.</t>
  </si>
  <si>
    <t>215-228</t>
  </si>
  <si>
    <t>FSN3PC2E</t>
  </si>
  <si>
    <t>Tonge, Joanna; Ryan, Maria M.; Moore, Susan A.; Beckley, Lynnath E.</t>
  </si>
  <si>
    <t>The Effect of Place Attachment on Pro-environment Behavioral Intentions of Visitors to Coastal Natural Area Tourist Destinations</t>
  </si>
  <si>
    <t>Journal of Travel Research</t>
  </si>
  <si>
    <t>0047-2875</t>
  </si>
  <si>
    <t>10.1177/0047287514533010</t>
  </si>
  <si>
    <t>It has been hypothesized that as individuals become attached to a place, they are more likely to protect that place. Managers of natural area tourism destinations may be able to use this relationship to assist in sustainably managing such places. An on-site visitor survey was administered at Ningaloo Marine Park, Australia, to examine the effect of a multi-dimensional place attachment construct on pro-environment behavioral intentions. The behaviors encompassed three categories based on the perceived level of commitment and where the behaviors physically occurred. They included on-site actions by visitors, visitors telling others how to act on-site, and off-site actions to conserve the Marine Park. Structural equation modeling revealed place identity directly affecting all three behavioral categories, the effect increasing with the level of commitment required to undertake the pro-environment behaviors. This suggests that a sophisticated understanding of place identity is essential for the management of natural area tourism destinations.</t>
  </si>
  <si>
    <t>730-743</t>
  </si>
  <si>
    <t>LQQTH7PJ</t>
  </si>
  <si>
    <t>van der Ploeg, Frederick</t>
  </si>
  <si>
    <t>Natural Resources: Curse or Blessing?</t>
  </si>
  <si>
    <t>Journal of Economic Literature</t>
  </si>
  <si>
    <t>0022-0515</t>
  </si>
  <si>
    <t>10.1257/jel.49.2.366</t>
  </si>
  <si>
    <t>http://pubs.aeaweb.org/doi/10.1257/jel.49.2.366</t>
  </si>
  <si>
    <t>Are natural resources a curse or a blessing? The empirical evidence suggests that either outcome is possible. This paper surveys a variety of hypotheses and supporting evidence for why some countries benefit and others lose from the presence of natural resources. These include that a resource bonanza induces appreciation of the real exchange rate, deindustrialization, and bad growth prospects, and that these adverse effects are more severe in volatile countries with bad institutions and lack of rule of law, corruption, presidential democracies, and underdeveloped financial systems. Another hypothesis is that a resource boom reinforces rent grabbing and civil conflict especially if institutions are bad, induces corruption especially in nondemocratic countries, and keeps in place bad policies. Finally, resource rich developing economies seem unable to successfully convert their depleting exhaustible resources into other productive assets. The survey also offers some welfare-based fiscal rules for harnessing resource windfalls in developed and developing economies.</t>
  </si>
  <si>
    <t>366-420</t>
  </si>
  <si>
    <t>MHTHR8KA</t>
  </si>
  <si>
    <t>Agenda 21</t>
  </si>
  <si>
    <t>The United Nations programme for action from Rio</t>
  </si>
  <si>
    <t>4MWZ2FSB</t>
  </si>
  <si>
    <t>The Convention on Fishing and Conservation of the Living Resources of the High Seas</t>
  </si>
  <si>
    <t>Recent Developments in the Law of the Sea and the Japanese-Korean Fishery Dispute</t>
  </si>
  <si>
    <t>1966</t>
  </si>
  <si>
    <t>31-43</t>
  </si>
  <si>
    <t>3E48EC8R</t>
  </si>
  <si>
    <t>UNFCCC</t>
  </si>
  <si>
    <t>Adoption of the Paris agreement</t>
  </si>
  <si>
    <t>United Nations Office at Geneva, Geneva Google Scholar</t>
  </si>
  <si>
    <t>FJQHFDGS</t>
  </si>
  <si>
    <t>UNEA</t>
  </si>
  <si>
    <t>Resolutions and Decisions Adopted by the United Nations Environmental Assembly of the United Nations Environment Programme at its First Session on 27 June 2014</t>
  </si>
  <si>
    <t>F6K4JXUA</t>
  </si>
  <si>
    <t>Implementation of Agenda 21, the programme for the further implementation of Agenda 21 and the outcomes of the World Summit on Sustainable Development</t>
  </si>
  <si>
    <t>UN doс. A/RES/64/236 (24 December 2009)</t>
  </si>
  <si>
    <t>NJW8PXRN</t>
  </si>
  <si>
    <t>Global Mercury Assessment 2013: Sources, Emissions, Releases, and Environmental Transport</t>
  </si>
  <si>
    <t>Mercury is a global threat to human and environmental health. This$\backslash$nreport, focusing on anthropogenic emissions of mercury and their$\backslash$ntransport and transformation in the environment, is a contribution$\backslash$nto international efforts to reduce mercury�pollution. Previous UNEP$\backslash$nglobal mercury assessments $\backslash$n$\backslash$nconsidered only atmospheric emissions. The 2013 report is thus the$\backslash$nfirst attempt to compile a global inventory of aquatic releases.$\backslash$nThree types of sources were considered. Point sources are industrial$\backslash$nsites such as power plants or factories, and they release an estimated$\backslash$n185 tonnes of mercury per year. $\backslash$n$\backslash$nContaminated sites, including old mines, landfills, and waste disposal$\backslash$nlocations, release 8 - 33 tonnes per year. Artisanal and small-scale$\backslash$ngold mining was evaluated separately, with total releases to water$\backslash$nand land totalling more than 800 tonnes per year. Deforestation mobilizes$\backslash$nanother 260 tonnes of $\backslash$n$\backslash$nmercury into rivers and lakes. Other sources remain to be quantified,$\backslash$nand so these estimates comprise only a partial total. Thus, anthropogenic$\backslash$nreleases to waters are likely to be at least 1000 tonnes per�year.</t>
  </si>
  <si>
    <t>58RAPJMW</t>
  </si>
  <si>
    <t>Human Development Report 2016. Human Development for Everyone</t>
  </si>
  <si>
    <t>QQ9IHGVI</t>
  </si>
  <si>
    <t>Water for People Water for Life</t>
  </si>
  <si>
    <t>L7II9RNZ</t>
  </si>
  <si>
    <t>Bai, Xuemei; Dawson, Richard J.; Ürge-Vorsatz, D.; Delgado, Gian C.; Salisu, A. Barau; Dhakal, Shobhakar; Dodman, David; Leonardsen, Lykke; Masson-Delmotte, Valerie; Roberts, D. C.; Others</t>
  </si>
  <si>
    <t>Six research priorities for cities and climate change</t>
  </si>
  <si>
    <t>10.1038/d41586-018-02409-z</t>
  </si>
  <si>
    <t>2022-09-23 09:11:11</t>
  </si>
  <si>
    <t>2022-09-23T09:11:11Z</t>
  </si>
  <si>
    <t>23-25</t>
  </si>
  <si>
    <t>TEA8HNU5</t>
  </si>
  <si>
    <t>Bai, Xuemei; Shi, Peijun; Liu, Yansui</t>
  </si>
  <si>
    <t>Society: Realizing China's urban dream</t>
  </si>
  <si>
    <t>1476-4687</t>
  </si>
  <si>
    <t>10.1038/509158a</t>
  </si>
  <si>
    <t>2022-09-23 09:08:38</t>
  </si>
  <si>
    <t>2022-09-23T09:08:38Z</t>
  </si>
  <si>
    <t>158-60</t>
  </si>
  <si>
    <t>C9PH25CY</t>
  </si>
  <si>
    <t>Baer, Madeline</t>
  </si>
  <si>
    <t>Private water, public good: water privatization and state capacity in Chile</t>
  </si>
  <si>
    <t>Studies in Comparative International Development</t>
  </si>
  <si>
    <t>10.1007/s12116-014-9154-2</t>
  </si>
  <si>
    <t>2022-09-23 09:07:56</t>
  </si>
  <si>
    <t>2022-09-23T09:07:56Z</t>
  </si>
  <si>
    <t>141-167</t>
  </si>
  <si>
    <t>35GD8688</t>
  </si>
  <si>
    <t>Bai, Xuemei; McPhearson, Timon; Cleugh, Helen; Nagendra, Harini; Tong, Xin; Zhu, Tong; Zhu, Yong-Guan</t>
  </si>
  <si>
    <t>Linking Urbanization and the Environment: Conceptual and Empirical Advances</t>
  </si>
  <si>
    <t>10.1146/annurev-environ-102016-061128</t>
  </si>
  <si>
    <t>2022-09-23 09:06:31</t>
  </si>
  <si>
    <t>2022-09-23T09:06:31Z</t>
  </si>
  <si>
    <t>215-240</t>
  </si>
  <si>
    <t>5CF2F8EP</t>
  </si>
  <si>
    <t>Bailis, Robert; Ezzati, Majid; Kammen, Daniel M.</t>
  </si>
  <si>
    <t>Mortality and Greenhouse Gas Impacts of Biomass and Petroleum Energy Futures in Africa</t>
  </si>
  <si>
    <t>10.1126/science.1106881</t>
  </si>
  <si>
    <t>2022-09-23 09:00:35</t>
  </si>
  <si>
    <t>2022-09-23T09:00:35Z</t>
  </si>
  <si>
    <t>XCMDMV7Y</t>
  </si>
  <si>
    <t>Bair, Jennifer; Gereffi, Gary</t>
  </si>
  <si>
    <t>Local clusters in global chains: The causes and consequences of export dynamism in Torreon's Blue Jeans industry</t>
  </si>
  <si>
    <t>10.1016/S0305-750X(01)00075-4</t>
  </si>
  <si>
    <t>Using a case study of the export-oriented blue jeans industry in Torreon, Mexico, the authors discuss the role of US buyers in promoting full-package apparel production. While the networks associated with this model yield better development outcomes for firms and workers than those typical of the maquila industry, the Torreon cluster is not adequately described as a “high road” industrial district. The global commodity chains framework is used to assess the developmental implications of the apparel industry's growth in Torreon. By emphasizing the relationship between producers and foreign buyers, this approach provides a useful way to bridge the global-local divide in the literature on industrial clusters in developing countries. © 2001 Elsevier Science Ltd.</t>
  </si>
  <si>
    <t>1885-1903</t>
  </si>
  <si>
    <t>VRBBSZAJ</t>
  </si>
  <si>
    <t>Bai, Xuemei; Chen, Jing; Shi, Peijun</t>
  </si>
  <si>
    <t>Landscape Urbanization and Economic Growth in China: Positive Feedbacks and Sustainability Dilemmas</t>
  </si>
  <si>
    <t>10.1021/es202329f</t>
  </si>
  <si>
    <t>Accelerating urbanization has been viewed as an important instrument for economic development and reducing regional income disparity in some developing countries, including China. Recent studies (Bloom et al. 2008) indicate that demographic urbanization level has no causal effect on economic growth. However, due to the varying and changing definition of urban population, the use of demographic indicators as a sole representing indicator for urbanization might be misleading. Here, we re-examine the causal relationship between urbanization and economic growth in Chinese cities and provinces in recent decades, using built-up areas as a landscape urbanization indicator. Our analysis shows that (1) larger cities, both in terms of population size and built-up area, and richer cities tend to gain more income, have larger built-up area expansion, and attract more population, than poorer cities or smaller cities; and (2) that there is a long-term bidirectional causality between urban built-up area expansion and GD...</t>
  </si>
  <si>
    <t>132-139</t>
  </si>
  <si>
    <t>LRE3S8DC</t>
  </si>
  <si>
    <t>Bailis, Robert; Drigo, Rudi; Ghilardi, Adrian; Masera, Omar</t>
  </si>
  <si>
    <t>The carbon footprint of traditional woodfuels</t>
  </si>
  <si>
    <t>10.1038/nclimate2491</t>
  </si>
  <si>
    <t>266-272</t>
  </si>
  <si>
    <t>MD3JIEWC</t>
  </si>
  <si>
    <t>Baland, Jean-Marie; Platteau, Jean Philippe</t>
  </si>
  <si>
    <t>Collective Action on the Commons: The Role of Inequality</t>
  </si>
  <si>
    <t>Inequality, cooperation, and environmental sustainability</t>
  </si>
  <si>
    <t>978-0-691-12879-5</t>
  </si>
  <si>
    <t>"Would improving the economic, social, and political condition of the world's disadvantaged people slow - or accelerate - environmental degradation? In Inequality, Cooperation, and Environmental Sustainability, leading social scientists provide answers to this difficult question, using new research on the impact of inequality on environmental sustainability. The contributors' findings suggest that inequality may exacerbate environmental problems by making it more difficult for individuals, groups, and nations to cooperate in the design and enforcement of measures to protect natural assets ranging from local commons to the global climate. But a more equal division of a given amount of income could speed the process of environmental degradation - for example, if the poor value the preservation of the environment less than the rich do, or if the consumption patterns of the poor entail proportionally greater environmental degradation than that of the rich. The contributors also find that the effect of inequality on cooperation and environmental sustainability depends critically on the economic and political institutions governing how people interact, and the technical nature of the environmental asset in question."–Jacket. Collective action on the commons : the role of inequality / Jean-Marie Baland and Jean-Philippe Platteau – Inequality and collective action / Pranab Bardhan, Maitreesh Ghatak, and Alexander Karaivanov – Adoption of a new regulation for the governance of common-pool resources by a heterogenous population / Marco A. Janssen and Elinor Ostrom – Inequality and the governance of water resources in Mexico and South India / Pranab Bardhan and Jeff Dayton-Johnson – Managing Pacific salmon : the role of distributional conflicts in coastal Salish fisheries / Sara Singleton – Heterogeneity and collective action for effort regulation : lessons from Senegalese small-scale fisheries / Frederic Gaspart and Jean-Philippe Platteau – Wealth inequality and overexploitation of the commons : field experiments in Colombia / Juan-Camilo Cardenas – Collective action for forest conservation : does heterogeneity matter? / Eswaran Somanathan, Rajagopal Prabhakar, and Bhupendra Singh Mehta – Inequality, collective action, and the environment : evidence from firewood collection in Nepal / Jean-Marie Baland [and others] – Gender inequality, cooperation, and environmental sustainability / Bina Agarwal – Inequality and environmental protection / James K. Boyce.</t>
  </si>
  <si>
    <t>10-35</t>
  </si>
  <si>
    <t>Russell Sage Foundation</t>
  </si>
  <si>
    <t>Baland, Jean-Marie; Bardhan, Pranab K.; Bowles, Samuel</t>
  </si>
  <si>
    <t>2YWTN9BR</t>
  </si>
  <si>
    <t>Baland, Jean-Marie; Platteau, Jean-Philippe</t>
  </si>
  <si>
    <t>Halting degradation of natural resources: is there a role for rural communities?</t>
  </si>
  <si>
    <t>N3JCFGI3</t>
  </si>
  <si>
    <t>Bento, Antonio M.; Goulder, Lawrence H.; Henry, Emeric; Jacobsen, Mark R.; Von Haefen, Roger H.</t>
  </si>
  <si>
    <t>Distributional and efficiency impacts of gasoline taxes: an econometrically based multi-market study</t>
  </si>
  <si>
    <t>10.1257/000282805774670536</t>
  </si>
  <si>
    <t>2022-09-23 09:12:40</t>
  </si>
  <si>
    <t>2022-09-23T09:12:40Z</t>
  </si>
  <si>
    <t>282-287</t>
  </si>
  <si>
    <t>DEDY5RE7</t>
  </si>
  <si>
    <t>Bento, Antonio M.; Jacobsen, Mark</t>
  </si>
  <si>
    <t>Ricardian rents, environmental policy and the ‘double-dividend'hypothesis</t>
  </si>
  <si>
    <t>10.1016/j.jeem.2006.03.006</t>
  </si>
  <si>
    <t>2022-09-23 09:08:34</t>
  </si>
  <si>
    <t>2022-09-23T09:08:34Z</t>
  </si>
  <si>
    <t>17-31</t>
  </si>
  <si>
    <t>4LHHKZL7</t>
  </si>
  <si>
    <t>Local-level management and the commons problem: A comparative study of Turkish coastal fisheries</t>
  </si>
  <si>
    <t>Marine policy</t>
  </si>
  <si>
    <t>10.1016/0308-597X(86)90054-0</t>
  </si>
  <si>
    <t>2022-09-23 09:06:38</t>
  </si>
  <si>
    <t>2022-09-23T09:06:38Z</t>
  </si>
  <si>
    <t>215-229</t>
  </si>
  <si>
    <t>YT4BBXRV</t>
  </si>
  <si>
    <t>Beng-Huat, C.</t>
  </si>
  <si>
    <t>World cities, globalisation and the spread of consumerism: A view of Singapore</t>
  </si>
  <si>
    <t>Urban Studies</t>
  </si>
  <si>
    <t>2022-09-23 08:59:25</t>
  </si>
  <si>
    <t>2022-09-23T08:59:25Z</t>
  </si>
  <si>
    <t>5-6</t>
  </si>
  <si>
    <t>I95NL4CU</t>
  </si>
  <si>
    <t>Bennett, Nathan James; Dearden, Philip</t>
  </si>
  <si>
    <t>From measuring outcomes to providing inputs: Governance, management, and local development for more effective marine protected areas</t>
  </si>
  <si>
    <t>10.1016/j.marpol.2014.05.005</t>
  </si>
  <si>
    <t>https://linkinghub.elsevier.com/retrieve/pii/S0308597X14001353</t>
  </si>
  <si>
    <t>2014-12</t>
  </si>
  <si>
    <t>2022-09-23 08:12:43</t>
  </si>
  <si>
    <t>2022-09-23T08:12:43Z</t>
  </si>
  <si>
    <t>2022-09-22 07:27:12</t>
  </si>
  <si>
    <t>96-110</t>
  </si>
  <si>
    <t>From measuring outcomes to providing inputs</t>
  </si>
  <si>
    <t>TZ8PR7MF</t>
  </si>
  <si>
    <t>Benítez-López, Ana; Alkemade, Rob; Verweij, Pita A.</t>
  </si>
  <si>
    <t>The impacts of roads and other infrastructure on mammal and bird populations: A meta-analysis</t>
  </si>
  <si>
    <t>10.1016/j.biocon.2010.02.009</t>
  </si>
  <si>
    <t>https://linkinghub.elsevier.com/retrieve/pii/S0006320710000480</t>
  </si>
  <si>
    <t>2010-06</t>
  </si>
  <si>
    <t>2022-09-23 07:48:50</t>
  </si>
  <si>
    <t>2022-09-23T07:48:50Z</t>
  </si>
  <si>
    <t>2022-09-22 07:26:48</t>
  </si>
  <si>
    <t>1307-1316</t>
  </si>
  <si>
    <t>The impacts of roads and other infrastructure on mammal and bird populations</t>
  </si>
  <si>
    <t>ipbes-global_chapter2.1_drivers; ipbes-global_chapter3; ipbes-global_chapter6</t>
  </si>
  <si>
    <t>3G2DCJN7</t>
  </si>
  <si>
    <t>Sacred Ecology. Third Edition</t>
  </si>
  <si>
    <t>ipbes-global_chapter1; ipbes-global_chapter2.1_drivers; ipbes-global_chapter2.2_nature; ipbes-global_chapter2.3_ncp</t>
  </si>
  <si>
    <t>SGNJ2JCF</t>
  </si>
  <si>
    <t>Bennett, Elena M.; Solan, Martin; Biggs, Reinette; McPhearson, Timon; Norström, Albert V.; Olsson, Per; Pereira, Laura; Peterson, Garry D.; Raudsepp-Hearne, Ciara; Biermann, Frank; Carpenter, Stephen R.; Ellis, Erle C.; Hichert, Tanja; Galaz, Victor; Lahsen, Myanna; Milkoreit, Manjana; Martin López, Berta; Nicholas, Kimberly A.; Preiser, Rika; Vince, Gaia; Vervoort, Joost M.; Xu, Jianchu</t>
  </si>
  <si>
    <t>Bright spots: seeds of a good Anthropocene</t>
  </si>
  <si>
    <t>15409309</t>
  </si>
  <si>
    <t>10.1002/fee.1309</t>
  </si>
  <si>
    <t>The scale, rate, and intensity of humans' environmental impact has engendered broad discussion about how to find plausible pathways of development that hold the most promise for fostering a better future in the Anthropocene. However, the dominance of dystopian visions of irreversible environmental degradation and societal collapse, along with overly optimistic utopias and business-as-usual scenarios that lack insight and innovation, frustrate progress. Here, we present a novel approach to thinking about the future that builds on experiences drawn from a diversity of practices, worldviews, values, and regions that could accelerate the adoption of pathways to transformative change (change that goes beyond incremental improvements). Using an analysis of 100 initiatives, or " seeds of a good Anthropocene " , we find that emphasizing hopeful elements of existing practice offers the opportunity to: (1) understand the values and features that constitute a good Anthropocene, (2) determine the processes that lead to the emergence and growth of initiatives that fundamentally change human–environmental relationships, and (3) generate creative, bottom-up scenarios that feature well-articulated pathways toward a more positive future.</t>
  </si>
  <si>
    <t>441-448</t>
  </si>
  <si>
    <t>68LCRPBM</t>
  </si>
  <si>
    <t>Bennett, Richard; Phipps, Richard; Strange, Alison; Grey, Peter</t>
  </si>
  <si>
    <t>Environmental and human health impacts of growing genetically modified herbicide-tolerant sugar beet: A life-cycle assessment</t>
  </si>
  <si>
    <t>Plant Biotechnology Journal</t>
  </si>
  <si>
    <t>14677644</t>
  </si>
  <si>
    <t>10.1111/j.1467-7652.2004.00076.x</t>
  </si>
  <si>
    <t>There is ongoing debate concerning the possible environmental and human health impacts of growing genetically modified (GM) crops. Here, we report the results of a life-cycle assessment (LCA) comparing the environmental and human health impacts of conventional sugar beet growing regimes in the UK and Germany with those that might be expected if GM herbicide-tolerant (to glyphosate) sugar beet is commercialized. The results presented for a number of environmental and human health impact categories suggest that growing the GM herbicide-tolerant crop would be less harmful to the environment and human health than growing the conventional crop, largely due to lower emissions from herbicide manufacture, transport and field operations. Emissions contributing to negative environmental impacts, such as global warming, ozone depletion, ecotoxicity of water and acidification and nutrification of soil and water, were much lower for the herbicide-tolerant crop than for the conventional crop. Emissions contributing to summer smog, toxic particulate matter and carcinogenicity, which have negative human health impacts, were also substantially lower for the herbicide-tolerant crop. The environmental and human health impacts of growing GM crops need to be assessed on a case-by-case basis using a holistic approach. LCA is a valuable technique for helping to undertake such assessments.</t>
  </si>
  <si>
    <t>U8M4G5MP</t>
  </si>
  <si>
    <t>Bento, Antonio M.</t>
  </si>
  <si>
    <t>Equity Impacts of Environmental Policy</t>
  </si>
  <si>
    <t>10.1146/annurev-resource-091912-151925</t>
  </si>
  <si>
    <t>This article surveys recent literature on the equity impacts of environ- mental policy. We focus on studies that look at the distribution of costs and benefits of alternative environmental policies. We also ex- amine potentially important trade-offs between efficiency and equity that arise in the context of environmental policy, as well as transition effects. In many of the applications surveyed here, environmental pol- icies can be regressive. Strategies are discussed to reduce this regressiv- ity through the use of revenues from certain policy instruments. With regard to the distribution of the benefits of environmental policy, we conclude that there is a need for more spatially disaggregated studies that simultaneously capture the spatial and socioeconomic impacts of environmental policy</t>
  </si>
  <si>
    <t>181-196</t>
  </si>
  <si>
    <t>XALNXGM3</t>
  </si>
  <si>
    <t>Beierle, Thomas C.; Konisky, David M.</t>
  </si>
  <si>
    <t>What are we gaining from stakeholder involvement? Observations from environmental planning in the Great Lakes</t>
  </si>
  <si>
    <t>Environment and planning C: Government and Policy</t>
  </si>
  <si>
    <t>10.1068/c5s</t>
  </si>
  <si>
    <t>2022-09-23 09:10:48</t>
  </si>
  <si>
    <t>2022-09-23T09:10:48Z</t>
  </si>
  <si>
    <t>515-527</t>
  </si>
  <si>
    <t>D7U8W9B7</t>
  </si>
  <si>
    <t>Belay, Kassa Teka; Van Rompaey, Anton; Poesen, Jean; Van Bruyssel, Simon; Deckers, Jozef; Amare, Kassa</t>
  </si>
  <si>
    <t>Spatial analysis of land cover changes in eastern Tigray (Ethiopia) from 1965 to 2007: are there signs of a forest transition?</t>
  </si>
  <si>
    <t>Land Degradation &amp; Development</t>
  </si>
  <si>
    <t>10.1002/ldr.2275</t>
  </si>
  <si>
    <t>2022-09-23 09:08:49</t>
  </si>
  <si>
    <t>2022-09-23T09:08:49Z</t>
  </si>
  <si>
    <t>680-689</t>
  </si>
  <si>
    <t>XZ45MPAC</t>
  </si>
  <si>
    <t>Béné, Christophe; Belal, Emma; Baba, Malloum Ousman; Ovie, Solomon; Raji, Aminu; Malasha, Isaac; Njaya, Friday; Andi, Mamane Na; Russell, Aaron; Neiland, Arthur</t>
  </si>
  <si>
    <t>Power struggle, dispute and alliance over local resources: analyzing ‘democratic'decentralization of natural resources through the lenses of Africa inland fisheries</t>
  </si>
  <si>
    <t>10.1016/j.worlddev.2009.05.003</t>
  </si>
  <si>
    <t>2022-09-23 09:07:57</t>
  </si>
  <si>
    <t>2022-09-23T09:07:57Z</t>
  </si>
  <si>
    <t>1935-1950</t>
  </si>
  <si>
    <t>Q3NIZ9Z2</t>
  </si>
  <si>
    <t>Belcher, Brian; Schreckenberg, Kathrin; Boaz, A.; Borges, V. L.; Chamberlain, J.; Duran, F.; Frazier, P.; Gautam, K. H.; Greenham, J.; Jones, E. T.; Hammett, T.; Henning, N.; Karki, M.; Kutty, G.; Leakey, R.; Lonner, J.; Mitchell, D.; Richards, B.; Perez, M. Ruiz; Sullivan, C.; Vantomme, P.</t>
  </si>
  <si>
    <t>Commercialisation of Non-timber Forest Products – A Reality Check</t>
  </si>
  <si>
    <t>Development Policy Review</t>
  </si>
  <si>
    <t>10.1111/j.1467-7679.2007.00374.x</t>
  </si>
  <si>
    <t>In this article we review and challenge the pervasive view that commercialisation of non-timber forest products (NTFPs) can (easily) achieve ecosystem and species conservation as well as improving livelihoods. Following a brief review of who and what is involved in NTFP commercialisation, we present the key challenges of commercialising NTFPs beyond the local level, drawing on a wide range of case studies from around the world. We focus on the main ecological and livelihood risks of unconsidered promotion of NTFP commercialisation and end with recommendations for useful interventions. 1</t>
  </si>
  <si>
    <t>2022-09-23 09:01:55</t>
  </si>
  <si>
    <t>2022-09-23T09:01:55Z</t>
  </si>
  <si>
    <t>K8H38XXT</t>
  </si>
  <si>
    <t>Bender, Morris A.; Knutson, Thomas R.; Tuleya, Robert E.; Sirutis, Joseph J.; Vecchi, Gabriel A.; Garner, Stephen T.; Held, Isaac M.</t>
  </si>
  <si>
    <t>Modeled impact of anthropogenic warming on the frequency of intense Atlantic hurricanes</t>
  </si>
  <si>
    <t>2022-09-23 09:00:38</t>
  </si>
  <si>
    <t>2022-09-23T09:00:38Z</t>
  </si>
  <si>
    <t>454-458</t>
  </si>
  <si>
    <t>ML3KK6ZB</t>
  </si>
  <si>
    <t>Beketov, Mikhail A.; Kefford, Ben J.; Schäfer, Ralf B.; Liess, Matthias</t>
  </si>
  <si>
    <t>https://pnas.org/doi/full/10.1073/pnas.1305618110</t>
  </si>
  <si>
    <t>2013-07-02</t>
  </si>
  <si>
    <t>2022-09-23 07:56:54</t>
  </si>
  <si>
    <t>2022-09-23T07:56:54Z</t>
  </si>
  <si>
    <t>2022-09-19 21:16:01</t>
  </si>
  <si>
    <t>11039-11043</t>
  </si>
  <si>
    <t>5YBJ5LJG</t>
  </si>
  <si>
    <t>Bellon, Mauricio R.; Mastretta-Yanes, Alicia; Ponce-Mendoza, Alejandro; Ortiz-Santamaria, Daniel; Oliveros-Galindo, Oswaldo; Perales, Hugo; Acevedo, Francisca; Sarukhan, Jose</t>
  </si>
  <si>
    <t>Evolutionary and food supply implications of ongoing maize domestication by Mexican campesinos.</t>
  </si>
  <si>
    <t>Proceedings. Biological sciences</t>
  </si>
  <si>
    <t>1471-2954 0962-8452</t>
  </si>
  <si>
    <t>10.1098/rspb.2018.1049</t>
  </si>
  <si>
    <t>http://rspb.royalsocietypublishing.org/lookup/doi/10.1098/rspb.2018.1049</t>
  </si>
  <si>
    <t>Maize evolution under domestication is a process that continues today. Case studies suggest that Mexican smallholder family farmers, known as campesinos, contribute importantly to this, but their significance has not been explicitly quantified and analysed as a whole. Here, we examine the evolutionary and food security implications of the scale and scope under which campesinos produce maize. We gathered official municipal-level data on maize production under rainfed conditions and identified campesino agriculture as occurring in municipalities with average yields of less than or equal to 3 t ha(-1) Environmental conditions vary widely in those municipalities and are associated with a great diversity of maize races, representing 85.3% of native maize samples collected in the country. We estimate that in those municipalities, around 1.38 x 10(11) genetically different individual plants are subjected to evolution under domestication each season. This implies that 5.24 x 10(8) mother plants contribute to the next generation with their standing genetic diversity and rare  alleles. Such a large breeding population size also increases the total number of adaptive mutations that may appear and be selected for. We also estimate that campesino agriculture could potentially feed around 54.7 million people in Mexico. These analyses provide insights about the contributions of smallholder agriculture around the world.</t>
  </si>
  <si>
    <t>2018-08-29</t>
  </si>
  <si>
    <t>2022-09-23 07:41:32</t>
  </si>
  <si>
    <t>2022-09-23T07:41:32Z</t>
  </si>
  <si>
    <t>Proc Biol Sci</t>
  </si>
  <si>
    <t>eng</t>
  </si>
  <si>
    <t>(c) 2018 The Author(s).</t>
  </si>
  <si>
    <t>PMID: 30158306  PMCID: PMC6125897</t>
  </si>
  <si>
    <t>U2WQ3UQS</t>
  </si>
  <si>
    <t>Begossi, A.</t>
  </si>
  <si>
    <t>Fishing spots and sea tenure: incipient forms of local management in Atlantic Forest coastal communities</t>
  </si>
  <si>
    <t>10.1007/bf01190138</t>
  </si>
  <si>
    <t>Recent work has dealt with the local management of aquatic resources as an alternative to Hardin's (1968) ”tragedy of the commons.” In communities with no formal management of resources, informal ownership of fishing spots or conflicts with outside competitors may determine the basis for future local management. In this study, I analyze the use of aquatic resources by five fishing communities on the Atlantic Forest coast of southeast Brazil: Buzios Island, Puruba, and Picinguaba in Sao Paulo State, and Jaguanum and Itacuruca Islands at Sepetiba Bay in Rio de Janeiro State. Informal ownership of fishing spots, used for set gillnet fishing, is regulated by kin ties at Buzios Island. The artisanal fishers of Sepetiba Bay, especially those from Jaguanum Island, have a conflict with Bay ”intruders,” such as the shrimp and herring trawlers. Two coastal communities, Puruba and Picinguaba, have conflicts with fishing regulations from a State Park (Parque Estadual da Serra do Mar), created in 1977. The transformation of populated areas of the Atlantic Forest to Extractive Reserves might be a way to avoid conflicts with intruders and with governmental agencies, and to involve local populations in management. Kinship rules at Buzios Island and the territorial behavior of fishers at Sepetiba Bay may form a basis for local organization.</t>
  </si>
  <si>
    <t>387-406</t>
  </si>
  <si>
    <t>8RE4RIT4</t>
  </si>
  <si>
    <t>Béné, Christophe</t>
  </si>
  <si>
    <t>Global change in African fish trade: Engine of development or threat to local food security?</t>
  </si>
  <si>
    <t>OECD Food, Agriculture and Fisheries Working Papers</t>
  </si>
  <si>
    <t>10.1787/230215206300</t>
  </si>
  <si>
    <t>HD7VYMTH</t>
  </si>
  <si>
    <t>Belcher, Brian; Ruíz-Pérez, Manuel; Achdiawan, Ramadhani</t>
  </si>
  <si>
    <t>Global patterns and trends in the use and management of commercial NTFPs: Implications for livelihoods and conservation</t>
  </si>
  <si>
    <t>10.1016/j.worlddev.2004.10.007</t>
  </si>
  <si>
    <t>Understanding of the role and potential of nontimber forest products (NTFPs) for livelihood improvement and conservation has been hindered by a lack of a clear theoretical framework and a functional typology of cases. To help fill this gap, we did a comparative analysis of 61 cases of commercial NTFP production in Africa, Asia, and Latin America. Cases were documented using a standardized set of descriptors organized into categories describing various aspects of the production-to-consumption system. Exploratory analysis yielded useful case groupings by (a) household economic strategy and (b) NTFP production strategy. These groups and their key characteristics are used as a basis for discussing the development and conservation implications of NTFPs. ?? 2005 Elsevier Ltd. All rights reserved.</t>
  </si>
  <si>
    <t>2005-09</t>
  </si>
  <si>
    <t>1435-1452</t>
  </si>
  <si>
    <t>6FZUD3US</t>
  </si>
  <si>
    <t>Badgley, Catherine; Moghtader, Jeremy; Quintero, Eileen; Zakem, Emily; Chappell, M. Jahi; Aviles-Vazquez, Katia; Samulon, Andrea; Perfecto, Ivette</t>
  </si>
  <si>
    <t>Organic agriculture and the global food supply</t>
  </si>
  <si>
    <t>Renewable agriculture and food systems</t>
  </si>
  <si>
    <t>10.1017/S1742170507001640</t>
  </si>
  <si>
    <t>2022-09-23 09:07:31</t>
  </si>
  <si>
    <t>2022-09-23T09:07:31Z</t>
  </si>
  <si>
    <t>86-108</t>
  </si>
  <si>
    <t>RKYYA847</t>
  </si>
  <si>
    <t>Auty, Richard</t>
  </si>
  <si>
    <t>Mining enclave to economic catalyst: large mineral projects in developing countries</t>
  </si>
  <si>
    <t>The Brown Journal of World Affairs</t>
  </si>
  <si>
    <t>2022-09-23 09:07:08</t>
  </si>
  <si>
    <t>2022-09-23T09:07:08Z</t>
  </si>
  <si>
    <t>135-145</t>
  </si>
  <si>
    <t>WWJGBLLP</t>
  </si>
  <si>
    <t>Bae, Jae Soo; Joo, Rin Won; Kim, Yeon-Su</t>
  </si>
  <si>
    <t>Forest transition in South Korea: reality, path and drivers</t>
  </si>
  <si>
    <t>10.1016/j.landusepol.2011.06.007</t>
  </si>
  <si>
    <t>2022-09-23 09:05:11</t>
  </si>
  <si>
    <t>2022-09-23T09:05:11Z</t>
  </si>
  <si>
    <t>198-207</t>
  </si>
  <si>
    <t>37CWKXUY</t>
  </si>
  <si>
    <t>Ayres, Ian; Raseman, Sophie; Shih, Alice</t>
  </si>
  <si>
    <t>Evidence from two large field experiments that peer comparison feedback can reduce residential energy usage</t>
  </si>
  <si>
    <t>The Journal of Law, Economics, and Organization</t>
  </si>
  <si>
    <t>10.1093/jleo/ews020</t>
  </si>
  <si>
    <t>2022-09-23 09:04:58</t>
  </si>
  <si>
    <t>2022-09-23T09:04:58Z</t>
  </si>
  <si>
    <t>992-1022</t>
  </si>
  <si>
    <t>NTIYBX46</t>
  </si>
  <si>
    <t>Babcock, Bruce A.; Lakshminarayan, P. G.; Wu, JunJie; Zilberman, David</t>
  </si>
  <si>
    <t>Targeting tools for the purchase of environmental amenities</t>
  </si>
  <si>
    <t>Land economics</t>
  </si>
  <si>
    <t>10.2307/3147171</t>
  </si>
  <si>
    <t>2022-09-23 08:59:58</t>
  </si>
  <si>
    <t>2022-09-23T08:59:58Z</t>
  </si>
  <si>
    <t>325-339</t>
  </si>
  <si>
    <t>ARRVCJ9U</t>
  </si>
  <si>
    <t>Awasthi, Abhishek Kumar; Zeng, Xianlai; Li, Jinhui</t>
  </si>
  <si>
    <t>Environmental pollution of electronic waste recycling in India: A critical review</t>
  </si>
  <si>
    <t>Environmental Pollution</t>
  </si>
  <si>
    <t>18736424</t>
  </si>
  <si>
    <t>10.1016/j.envpol.2015.11.027</t>
  </si>
  <si>
    <t>http://dx.doi.org/10.1016/j.envpol.2015.11.027</t>
  </si>
  <si>
    <t>The rapid growth of the production of electrical and electronic products has meant an equally rapid growth in the amount of electronic waste (e-waste), much of which is illegally imported to India, for disposal presenting a serious environmental challenge. The environmental impact during e-waste recycling was investigated and metal as well as other pollutants [e.g. polybrominated diphenyl ethers (PBDEs), polychlorinated biphenyls (PCBs)] were found in excessive levels in soil, water and other habitats. The most e-waste is dealt with as general or crudely often by open burning, acid baths, with recovery of only a few materials of value. As resulted of these process; dioxins, furans, and heavy metals are released and harmful to the surrounding environment, engaged workers, and also residents inhabiting near the sites. The informal e-waste sectors are growing rapidly in the developing countries over than in the developed countries because of cheapest labor cost and week legislations systems. It has been confirmed that contaminates are moving through the food chain via root plant translocation system, to the human body thereby threatening human health. We have suggested some possible solution toward in which plants and microbes combine to remediate highly contaminated sites.</t>
  </si>
  <si>
    <t>259-270</t>
  </si>
  <si>
    <t>UNXSBUST</t>
  </si>
  <si>
    <t>Aukema, Juliann E.; McCullough, Deborah G.; Von Holle, Betsy; Liebhold, Andrew M.; Britton, Kerry; Frankel, Susan J.</t>
  </si>
  <si>
    <t>1525-3244</t>
  </si>
  <si>
    <t>https://academic.oup.com/bioscience/article-lookup/doi/10.1525/bio.2010.60.11.5</t>
  </si>
  <si>
    <t>Nonindigenous forest insects and pathogens affect a range of ecosystems, industries, and property owners in the United States. Evaluating temporal patterns in the accumulation of these nonindigenous forest pests can inform regulatory and policy decisions. We compiled a comprehensive species list to assess the accumulation rates of nonindigenous forest insects and pathogens established in the United States. More than 450 nonindigenous insects and at least 16 pathogens have colonized forest and urban trees since European settlement. Approximately 2.5 established nonindigenous forest insects per year were detected in the United States between 1860 and 2006. At least 14% of these insects and all 16 pathogens have caused notable damage to trees. Although sap feeders and foliage feeders dominated the comprehensive list, phloem- and wood-boring insects and foliage feeders were often more damaging than expected. Detections of insects that feed on phloem or wood have increased markedly in recent years.</t>
  </si>
  <si>
    <t>886-897</t>
  </si>
  <si>
    <t>39LXNJAQ</t>
  </si>
  <si>
    <t>Australian Government - Department of the Environment and Energy</t>
  </si>
  <si>
    <t>Register of the status of ratification of the Montreal Protocol and its Amendments</t>
  </si>
  <si>
    <t>February</t>
  </si>
  <si>
    <t>NXRJPQIW</t>
  </si>
  <si>
    <t>Ausubel, Jesse H.; Wernick, Iddo K.; Waggoner, Paul E.</t>
  </si>
  <si>
    <t>00987921</t>
  </si>
  <si>
    <t>Expecting that more and richer people will demand more from the land, cultivating wider fields, logging more forests, and pressing Nature, comes naturally. The past half-century of disciplined and dematerializing demand and more intense and efficient land use encourage a rational hope that humanity's pressure will not overwhelm Nature. Beginning with the examples of crops in the large and fast-developing countries of India and China as well as the United States, we examine the recent half-century. We also look back over the past 150 years when regions like Europe and the United States became the maiden beneficiaries of chemical, biological, and mechanical innovations in agriculture from the Industrial Revolution. Organizing our analysis with the ImPACT identity, we examine the elements contributing to the use of land for crop production, including population, affluence, diet, and the performance of agricultural producers.</t>
  </si>
  <si>
    <t>95UK8CW4</t>
  </si>
  <si>
    <t>Babu, Balakrishnan Ramesh; Parande, Anand Kuber; Basha, Chiya Ahmed</t>
  </si>
  <si>
    <t>Electrical and electronic waste: a global environmental problem</t>
  </si>
  <si>
    <t>Waste Management &amp; Research</t>
  </si>
  <si>
    <t>0734-242X</t>
  </si>
  <si>
    <t>10.1177/0734242X07076941</t>
  </si>
  <si>
    <t>The production of electrical and electronic equipment (EEE) is one of the fastest growing global manufacturing activities. This development has resulted in an increase of waste electric and electronic equipment (WEEE). Rapid economic growth, coupled with urbanization and growing demand for consumer goods, has increased both the consumption of EEE and the production of WEEE, which can be a source of hazardous wastes that pose a risk to the environment and to sustainable economic growth. To address potential environmental problems that could stem from improper management of WEEE, many countries and organizations have drafted national legislation to improve the reuse, recycling and other forms of material recovery from WEEE to reduce the amount and types of materials disposed in landfills. Recycling of waste electric and electronic equipment is important not only to reduce the amount of waste requiring treatment, but also to promote the recovery of valuable materials. EEE is diverse and complex with respect to the materials and components used and waste streams from the manufacturing processes. Characterization of these wastes is of paramount importance for developing a cost-effective and environmentally sound recycling system. This paper offers an overview of electrical and e-waste recycling, including a description of how it is generated and classified, strategies and technologies for recovering materials, and new scientific developments related to these activities. Finally, the e-waste recycling industry in India is also discussed.</t>
  </si>
  <si>
    <t>307-318</t>
  </si>
  <si>
    <t>MJ87VAGS</t>
  </si>
  <si>
    <t>Sebenius, James K.</t>
  </si>
  <si>
    <t>Challenging conventional explanations of international cooperation: negotiation analysis and the case of epistemic communities</t>
  </si>
  <si>
    <t>10.1017/S0020818300001521</t>
  </si>
  <si>
    <t>2022-09-23 09:12:59</t>
  </si>
  <si>
    <t>2022-09-23T09:12:59Z</t>
  </si>
  <si>
    <t>323-365</t>
  </si>
  <si>
    <t>BRHP5M2V</t>
  </si>
  <si>
    <t>Sosa, Milagros; Zwarteveen, Margreet</t>
  </si>
  <si>
    <t>Exploring the politics of water grabbing: The case of large mining operations in the Peruvian Andes</t>
  </si>
  <si>
    <t>'The operations of the large mining company Yanacocha in Cajamarca (Peru) provoke and require a fundamental reshuffling of how rights to water are allocated, resulting in changes in the distribution of the benefits and burdens of accessing water. We use this paper to argue that these changes in water use and tenure can be understood as a form of water grabbing, since they result in a transfer of water control from farmers' collectives and government agencies to the mining company, with the company also assuming de facto responsibility over executing water allocation and safeguarding certain water-quality levels. We illustrate–by using two cases: La Ramada canal and the San JosÃ© reservoir–the companyâ_x0080__x0099_s overt and covert strategies to achieve control over water, showing how these are often backed up by neo-liberal government policies and by permissive local water authorities. Next to active attempts to obtain water rights, these strategies also include skilfully bending and breaking the resistance of (some) farmers through negotiation and offering compensation. The de facto handing over of water governance powers to a multinational mining company raises troubling questions about longer-term water management, such as who controls the mining company, to whom are they accountable, and what will happen after mining operations stop.'</t>
  </si>
  <si>
    <t>2022-09-23 09:12:28</t>
  </si>
  <si>
    <t>2022-09-23T09:12:28Z</t>
  </si>
  <si>
    <t>360-375</t>
  </si>
  <si>
    <t>7WJRJ3U7</t>
  </si>
  <si>
    <t>Shogren, Jason F.; Taylor, Laura O.</t>
  </si>
  <si>
    <t>On behavioral-environmental economics</t>
  </si>
  <si>
    <t>10.1093/reep/rem027</t>
  </si>
  <si>
    <t>2022-09-23 09:11:30</t>
  </si>
  <si>
    <t>2022-09-23T09:11:30Z</t>
  </si>
  <si>
    <t>26-44</t>
  </si>
  <si>
    <t>WC24TVC6</t>
  </si>
  <si>
    <t>Shackleton, Charlie; Shackleton, Sheona</t>
  </si>
  <si>
    <t>The importance of non-timber forest products in rural livelihood security and as safety nets: a review of evidence from South Africa</t>
  </si>
  <si>
    <t>South African Journal of Science</t>
  </si>
  <si>
    <t>Introduction Millions of people throughout the world make extensive use of biological products from the wild. 1,2 These items, commonly termed non-timber forest products (NTFPs), are harvested for both subsistence and commercial use, either regularly or as a fall-back during times of need. They add to peoples' livelihood security, especially for rural dwellers. NTFPs may also have marked cultural significance and value. 3,4 Despite the growing international appreciation of the role of NTFPs in rural subsistence and development, many uncertain-ties remain — particularly for the drier and densely settled savannas of South and southern Africa, 5,6 in contrast to the litera-ture on the value of these products in more tropical areas. This paper attempts to address these uncertainties through a review of data and information from rural South Africa on the extent of use and value of NTFPs at a broad scale, in tandem with analysis of three case studies to illustrate parallels and differences in the commercialization of these products and their role as a safety net. Our approach was to summarize, interpret and review recent data and findings from both published and unpublished sources. We focused on those studies that attempted to include a full inventory of NTFPs used by households, rather than simply one or two. We use the term NTFP in its broadest sense to include any biological resource collected from the wild by rural people for direct consumption or income generation on a small scale. In particular, we draw heavily upon the study of three villages by Shackleton et al., 8,9 and four subsequent studies, spanning 10 villages in three provinces, 10–13 that used the same interview schedule as Shackleton et al., 8 and summarized by Shackleton and Shackleton. 14 In all instances, 30 or more house-holds were sampled per village, complemented by interviews with key informants and group participatory rural appraisal exercises. In most of the studies reviewed the gross direct-use values were calculated as quantity used multiplied by closest available local price. In a few instances where NTFPs were not traded locally, replacement values were used (see original references for details). The same sources were reviewed regard-ing the patterns and extent of commercialization. Additionally, results from three case studies are reviewed, one on wood carvers, one on sellers of marula beer, and one on vendors of palm brushes. These studies involved direct surveys and market ch\ldots</t>
  </si>
  <si>
    <t>2022-09-23 09:11:00</t>
  </si>
  <si>
    <t>2022-09-23T09:11:00Z</t>
  </si>
  <si>
    <t>WKC6NDYH</t>
  </si>
  <si>
    <t>Stern, David I.</t>
  </si>
  <si>
    <t>The rise and fall of the environmental Kuznets curve</t>
  </si>
  <si>
    <t>World development</t>
  </si>
  <si>
    <t>2022-09-23 09:10:58</t>
  </si>
  <si>
    <t>2022-09-23T09:10:58Z</t>
  </si>
  <si>
    <t>1419-1439</t>
  </si>
  <si>
    <t>85CPRQ2E</t>
  </si>
  <si>
    <t>Smil, Vaclav</t>
  </si>
  <si>
    <t>World history and energy</t>
  </si>
  <si>
    <t>Encyclopedia of energy</t>
  </si>
  <si>
    <t>10.1016/B0-12-176480-X/00025-5</t>
  </si>
  <si>
    <t>2022-09-23 09:10:40</t>
  </si>
  <si>
    <t>2022-09-23T09:10:40Z</t>
  </si>
  <si>
    <t>549-561</t>
  </si>
  <si>
    <t>LA4TVQIQ</t>
  </si>
  <si>
    <t>Shi, Peijun; Bai, Xuemei; Kong, Feng; Fang, Jiayi; Gong, Daoyi; Zhou, Tao; Guo, Yan; Liu, Yansui; Dong, Wenjie; Wei, Zhigang; Others</t>
  </si>
  <si>
    <t>Urbanization and air quality as major drivers of altered spatiotemporal patterns of heavy rainfall in China</t>
  </si>
  <si>
    <t>10.1007/s10980-017-0538-3</t>
  </si>
  <si>
    <t>2022-09-23 09:10:14</t>
  </si>
  <si>
    <t>2022-09-23T09:10:14Z</t>
  </si>
  <si>
    <t>1723-1738</t>
  </si>
  <si>
    <t>PT26LPDR</t>
  </si>
  <si>
    <t>Sobrevila, Claudia</t>
  </si>
  <si>
    <t>The Role of Indigenous Peoples in Biodiversity Conservation; The Natural but Often Forgotten Partners</t>
  </si>
  <si>
    <t>https://scholar.google.es/scholar?hl=es&amp;as_sdt=0%2C5&amp;q=The+role+of+indigenous+peoples+in+biodiversity+conservation%3A+the+natural+but+often+forgotten+partners.&amp;btnG=%0Ahttp://www-wds.worldbank.org/external/default/main?pagePK=64193027&amp;piPK=64187937&amp;theSit</t>
  </si>
  <si>
    <t>A principal aim of this study is to get a better sense of what the$\backslash$nWorld Bank (WB) needs to know in order to engage Indigenous Peoples$\backslash$n(IPs) more effectively in biodiversity conservation projects and$\backslash$nprograms. It is in this sense that the reporting is geared to Bank$\backslash$nTask Team leaders, advisors, directors, and managers and also government$\backslash$nand nongovernmental organization (NGO) personnel engaged in biodiversity$\backslash$nconservation programs. Indigenous peoples might also benefit from$\backslash$nthe report's presentation of tools to seeking international funding$\backslash$nfor biodiversity-related activities in their ancestral territories.$\backslash$nIn addition, the report assesses some of the current forms of engagement$\backslash$nwith indigenous peoples in biodiversity and identifies concrete recommendations$\backslash$nfor improving that engagement. These recommendations will give Bank$\backslash$nmanagement an opportunity to lead the way among many development$\backslash$nagencies and governments toward different forms of engaging indigenous$\backslash$npeoples; respecting and realizing the rights to their territories,$\backslash$nculture, and spirituality; enhancing their environment and development;$\backslash$nand satisfying the IPs' aspirations contained in the United Nations$\backslash$ndeclaration on the rights of indigenous peoples. The report's findings$\backslash$nare relevant to other Bank's programs such as the climate change$\backslash$nstrategic framework and the carbon finance initiatives and can be$\backslash$nused to incorporate the lessons learned from 18 years of biodiversity$\backslash$nportfolio experience into these new programs. The findings of this$\backslash$nreport support the contention that engaging IPs more effectively$\backslash$nin biodiversity conservation represents a win-win situation.</t>
  </si>
  <si>
    <t>2022-09-23 09:09:26</t>
  </si>
  <si>
    <t>2022-09-23T09:09:26Z</t>
  </si>
  <si>
    <t>102</t>
  </si>
  <si>
    <t>44300</t>
  </si>
  <si>
    <t>H24TTZYI</t>
  </si>
  <si>
    <t>Sobstyl, J. M.; Emig, T.; Qomi, M. J. Abdolhosseini; Ulm, F. J.; Pellenq, Rj- M.</t>
  </si>
  <si>
    <t>Role of City Texture in Urban Heat Islands at Nighttime</t>
  </si>
  <si>
    <t>Physical Review Letters</t>
  </si>
  <si>
    <t>10.1103/PhysRevLett.120.108701</t>
  </si>
  <si>
    <t>2022-09-23 09:08:36</t>
  </si>
  <si>
    <t>2022-09-23T09:08:36Z</t>
  </si>
  <si>
    <t>108701</t>
  </si>
  <si>
    <t>K2EFJML4</t>
  </si>
  <si>
    <t>Spiller, Chellie; Erakovic, Ljiljana; Henare, Manuka; Pio, Edwina</t>
  </si>
  <si>
    <t>Relational well-being and wealth: Māori businesses and an ethic of care</t>
  </si>
  <si>
    <t>10.1007/s10551-010-0540-z</t>
  </si>
  <si>
    <t>2022-09-23 09:08:22</t>
  </si>
  <si>
    <t>2022-09-23T09:08:22Z</t>
  </si>
  <si>
    <t>153-169</t>
  </si>
  <si>
    <t>FTGIYQ4J</t>
  </si>
  <si>
    <t>Schlager, Edella; Ostrom, Elinor</t>
  </si>
  <si>
    <t>Property-rights regimes and natural resources: a conceptual analysis</t>
  </si>
  <si>
    <t>10.2307/3146375</t>
  </si>
  <si>
    <t>2022-09-23 09:08:05</t>
  </si>
  <si>
    <t>2022-09-23T09:08:05Z</t>
  </si>
  <si>
    <t>249-262</t>
  </si>
  <si>
    <t>H7E4G6Y2</t>
  </si>
  <si>
    <t>Schlager, Edella; Blomquist, William; Tang, Shui Yan</t>
  </si>
  <si>
    <t>Mobile flows, storage, and self-organized institutions for governing common-pool resources</t>
  </si>
  <si>
    <t>10.2307/3146531</t>
  </si>
  <si>
    <t>2022-09-23 09:07:13</t>
  </si>
  <si>
    <t>2022-09-23T09:07:13Z</t>
  </si>
  <si>
    <t>294-317</t>
  </si>
  <si>
    <t>THEZGHLC</t>
  </si>
  <si>
    <t>Schlag, Nicolai; Zuzarte, Fiona</t>
  </si>
  <si>
    <t>Market Barriers to Clean Cooking Fuels in Sub-Saharan Africa: A Review of Literature</t>
  </si>
  <si>
    <t>Fuel</t>
  </si>
  <si>
    <t>In the developing nations of sub-Saharan Africa, providing households with modern energy services is a critical step towards development. A large majority of households in the region rely on traditional biomass fuels for cooking, which represent a significant proportion of energy used in the domestic setting. The disadvantages of these fuels are many: they are inefficient energy carriers and their heat is difficult to control; they produce dangerous emissions; and their current rate of extraction is not sustainable for forests. Transition to clean cooking fuels such as liquefied petroleum gas (LPG) or ethanol would resolve many of these issues as they do not produce dangerous particulate emissions, and are commercially viable, offering a number of socio-economic advantages over traditional options. Despite the benefits of fuel switching, clean cooking fuels are rarely used in households in sub-Saharan Africa. Their failure to attain widespread use can be attributed to a number of market barriers. One of the major issues is cost: clean cooking fuels are prohibitively expensive for many households, and the high price of compatible stoves further discourages their use. Besides the expense, many consumers are hesitant to adopt the new technology, reflecting the lack of public awareness of the relevant issues. At the same time, Africas underdeveloped infrastructure prevents these fuels from being made available in many local marketplaces. To date, this combination of factors has largely stifled the transition to clean cooking fuels. National governments can adopt a number of strategies to address these issues. The creation of clean cooking-fuel initiatives at the national level would be an important first step, after which governments can begin to address the issues more effectively. The introduction of relevant financial instruments would help to tackle the economic barriers to clean cooking fuels, and public outreach and education could overcome socio-cultural obstacles. Through such a policy framework, national governments can play a significant role in encouraging the transition to clean cooking fuels.</t>
  </si>
  <si>
    <t>2022-09-23 09:06:55</t>
  </si>
  <si>
    <t>2022-09-23T09:06:55Z</t>
  </si>
  <si>
    <t>SYC9XTJC</t>
  </si>
  <si>
    <t>Seufert, Verena; Ramankutty, Navin</t>
  </si>
  <si>
    <t>Many shades of gray—The context-dependent performance of organic agriculture</t>
  </si>
  <si>
    <t>Science advances</t>
  </si>
  <si>
    <t>10.1126/sciadv.1602638</t>
  </si>
  <si>
    <t>2022-09-23 09:06:46</t>
  </si>
  <si>
    <t>2022-09-23T09:06:46Z</t>
  </si>
  <si>
    <t>e1602638</t>
  </si>
  <si>
    <t>P8XZ6VBX</t>
  </si>
  <si>
    <t>Stevens, Jason; Dixon, Kingsley</t>
  </si>
  <si>
    <t>Is a science-policy nexus void leading to restoration failure in global mining?</t>
  </si>
  <si>
    <t>Environmental Science &amp; Policy</t>
  </si>
  <si>
    <t>10.1016/j.envsci.2017.01.006</t>
  </si>
  <si>
    <t>2022-09-23 09:06:14</t>
  </si>
  <si>
    <t>2022-09-23T09:06:14Z</t>
  </si>
  <si>
    <t>52-54</t>
  </si>
  <si>
    <t>FT2JQQ4R</t>
  </si>
  <si>
    <t>Selfa, T.; Bain, Carmen; Moreno, R.; Eastmond, A.; Sweitz, S.; Bailey, C.; Martins, T.; Pereira, G. Simas; Medeiros, R.</t>
  </si>
  <si>
    <t>Interrogating social sustainability in the biofuels sector in Latin America: global standards and local experiences in Mexico, Brazil and Colombia</t>
  </si>
  <si>
    <t>Submitted to Environ Manag</t>
  </si>
  <si>
    <t>2022-09-23 09:06:12</t>
  </si>
  <si>
    <t>2022-09-23T09:06:12Z</t>
  </si>
  <si>
    <t>NQN987PA</t>
  </si>
  <si>
    <t>Smith, Joyotee; Obidzinski, Krystof; Subarudi, Subarudi; Suramenggala, Iman</t>
  </si>
  <si>
    <t>Illegal logging, collusive corruption and fragmented governments in Kalimantan, Indonesia</t>
  </si>
  <si>
    <t>10.1505/IFOR.5.3.293.19138</t>
  </si>
  <si>
    <t>2022-09-23 09:05:46</t>
  </si>
  <si>
    <t>2022-09-23T09:05:46Z</t>
  </si>
  <si>
    <t>293-302</t>
  </si>
  <si>
    <t>E7X3DCT4</t>
  </si>
  <si>
    <t>Selden, Thomas M.; Song, Daqing</t>
  </si>
  <si>
    <t>Environmental quality and development: is there a Kuznets curve for air pollution emissions?</t>
  </si>
  <si>
    <t>10.1006/jeem.1994.1031</t>
  </si>
  <si>
    <t>147-162</t>
  </si>
  <si>
    <t>CWZG6BK2</t>
  </si>
  <si>
    <t>Stern, David I.; Common, Michael S.; Barbier, Edward B.</t>
  </si>
  <si>
    <t>Economic growth and environmental degradation: the environmental Kuznets curve and sustainable development</t>
  </si>
  <si>
    <t>10.1016/0305-750X(96)00032-0</t>
  </si>
  <si>
    <t>2022-09-23 09:04:18</t>
  </si>
  <si>
    <t>2022-09-23T09:04:18Z</t>
  </si>
  <si>
    <t>1151-1160</t>
  </si>
  <si>
    <t>E8HP36BX</t>
  </si>
  <si>
    <t>Sterner, Thomas</t>
  </si>
  <si>
    <t>Distributional effects of taxing transport fuel</t>
  </si>
  <si>
    <t>10.1016/j.enpol.2010.03.012</t>
  </si>
  <si>
    <t>2022-09-23 09:04:11</t>
  </si>
  <si>
    <t>2022-09-23T09:04:11Z</t>
  </si>
  <si>
    <t>75-83</t>
  </si>
  <si>
    <t>T58PVMBB</t>
  </si>
  <si>
    <t>Stammer, Detlef; Cazenave, Anny; Ponte, Rui M.; Tamisiea, Mark E.</t>
  </si>
  <si>
    <t>Causes for contemporary regional sea level changes</t>
  </si>
  <si>
    <t>Annual Review of Marine Science</t>
  </si>
  <si>
    <t>2022-09-23 09:03:25</t>
  </si>
  <si>
    <t>2022-09-23T09:03:25Z</t>
  </si>
  <si>
    <t>21-46</t>
  </si>
  <si>
    <t>EBECJ8XW</t>
  </si>
  <si>
    <t>Smit, Barry; Wandel, Johanna</t>
  </si>
  <si>
    <t>Adaptation, adaptive capacity and vulnerability</t>
  </si>
  <si>
    <t>10.1016/j.gloenvcha.2006.03.008</t>
  </si>
  <si>
    <t>282-292</t>
  </si>
  <si>
    <t>LX3ZLSBL</t>
  </si>
  <si>
    <t>Schilizzi, Steven; Latacz-Lohmann, Uwe</t>
  </si>
  <si>
    <t>Assessing the performance of conservation auctions: an experimental study</t>
  </si>
  <si>
    <t>10.3368/le.83.4.497</t>
  </si>
  <si>
    <t>2022-09-23 09:02:07</t>
  </si>
  <si>
    <t>2022-09-23T09:02:07Z</t>
  </si>
  <si>
    <t>497-515</t>
  </si>
  <si>
    <t>D4CU529B</t>
  </si>
  <si>
    <t>Solecki, William; Rosenzweig, Cynthia; Dhakal, Shobhakar; Roberts, Debra; Barau, Aliyu Salisu; Schultz, Seth; Ürge-Vorsatz, Diana</t>
  </si>
  <si>
    <t>City transformations in a 1.5° C warmer world</t>
  </si>
  <si>
    <t>10.1038/s41558-018-0101-5</t>
  </si>
  <si>
    <t>2022-09-23 09:01:58</t>
  </si>
  <si>
    <t>2022-09-23T09:01:58Z</t>
  </si>
  <si>
    <t>177</t>
  </si>
  <si>
    <t>Q6MDEP9T</t>
  </si>
  <si>
    <t>Sexton, S.; Wu, J.; Zilberman, D.</t>
  </si>
  <si>
    <t>How High Gas Prices Triggered the Housing Crisis: Theory and Empirical Evidence. University of California</t>
  </si>
  <si>
    <t>Center for Energy and Environmental Economics Working Paper Series</t>
  </si>
  <si>
    <t>2022-09-23 09:01:12</t>
  </si>
  <si>
    <t>2022-09-23T09:01:12Z</t>
  </si>
  <si>
    <t>THM656HB</t>
  </si>
  <si>
    <t>Schueler, Vivian; Kuemmerle, Tobias; Schröder, Hilmar</t>
  </si>
  <si>
    <t>Impacts of surface gold mining on land use systems in Western Ghana</t>
  </si>
  <si>
    <t>10.1007/s13280-011-0141-9</t>
  </si>
  <si>
    <t>2022-09-23 09:01:07</t>
  </si>
  <si>
    <t>2022-09-23T09:01:07Z</t>
  </si>
  <si>
    <t>528-539</t>
  </si>
  <si>
    <t>99M56F72</t>
  </si>
  <si>
    <t>Seebens, Hanno; Schwartz, Nicole; Schupp, Peter J.; Blasius, Bernd</t>
  </si>
  <si>
    <t>Predicting the spread of marine species introduced by global shipping</t>
  </si>
  <si>
    <t>10.1073/pnas.1524427113</t>
  </si>
  <si>
    <t>5646-5651</t>
  </si>
  <si>
    <t>5PTFQNY2</t>
  </si>
  <si>
    <t>Stranlund, John K.; Ben-Haim, Yakov</t>
  </si>
  <si>
    <t>Price-based vs. quantity-based environmental regulation under Knightian uncertainty: An info-gap robust satisficing perspective</t>
  </si>
  <si>
    <t>10.1016/j.jenvman.2007.01.015</t>
  </si>
  <si>
    <t>2022-09-23 09:00:21</t>
  </si>
  <si>
    <t>2022-09-23T09:00:21Z</t>
  </si>
  <si>
    <t>443-449</t>
  </si>
  <si>
    <t>RZSWM6HJ</t>
  </si>
  <si>
    <t>Sonter, Laura J.; Moran, Chris J.; Barrett, Damian J.; Soares-Filho, Britaldo S.</t>
  </si>
  <si>
    <t>Processes of land use change in mining regions</t>
  </si>
  <si>
    <t>Journal of cleaner production</t>
  </si>
  <si>
    <t>10.1016/j.jclepro.2014.03.084</t>
  </si>
  <si>
    <t>2022-09-23 09:00:17</t>
  </si>
  <si>
    <t>2022-09-23T09:00:17Z</t>
  </si>
  <si>
    <t>494-501</t>
  </si>
  <si>
    <t>Z3FETD54</t>
  </si>
  <si>
    <t>Singh, D.; Singh, A.</t>
  </si>
  <si>
    <t>The acute toxicity of plant origin pesticides into the freshwater fish Channa punctatus</t>
  </si>
  <si>
    <t>CLEAN–Soil, Air, Water</t>
  </si>
  <si>
    <t>2022-09-23 08:59:56</t>
  </si>
  <si>
    <t>2022-09-23T08:59:56Z</t>
  </si>
  <si>
    <t>92-94</t>
  </si>
  <si>
    <t>MRZPZWPB</t>
  </si>
  <si>
    <t>Stern, Paul C.</t>
  </si>
  <si>
    <t>New Environmental Theories: Toward a Coherent Theory of Environmentally Significant Behavior</t>
  </si>
  <si>
    <t>Journal of Social Issues</t>
  </si>
  <si>
    <t>0022-4537, 1540-4560</t>
  </si>
  <si>
    <t>10.1111/0022-4537.00175</t>
  </si>
  <si>
    <t>http://doi.wiley.com/10.1111/0022-4537.00175</t>
  </si>
  <si>
    <t>2000-01</t>
  </si>
  <si>
    <t>2022-09-23 08:03:09</t>
  </si>
  <si>
    <t>2022-09-23T08:03:09Z</t>
  </si>
  <si>
    <t>2022-09-22 07:27:50</t>
  </si>
  <si>
    <t>407-424</t>
  </si>
  <si>
    <t>J Social Isssues</t>
  </si>
  <si>
    <t>New Environmental Theories</t>
  </si>
  <si>
    <t>7SMZBHIC</t>
  </si>
  <si>
    <t>Seebens, Hanno; Blackburn, Tim M.; Dyer, Ellie E.; Genovesi, Piero; Hulme, Philip E.; Jeschke, Jonathan M.; Pagad, Shyama; Pyšek, Petr; Winter, Marten; Arianoutsou, Margarita; Bacher, Sven; Blasius, Bernd; Brundu, Giuseppe; Capinha, César; Celesti-Grapow, Laura; Dawson, Wayne; Dullinger, Stefan; Fuentes, Nicol; Jäger, Heinke; Kartesz, John; Kenis, Marc; Kreft, Holger; Kühn, Ingolf; Lenzner, Bernd; Liebhold, Andrew; Mosena, Alexander; Moser, Dietmar; Nishino, Misako; Pearman, David; Pergl, Jan; Rabitsch, Wolfgang; Rojas-Sandoval, Julissa; Roques, Alain; Rorke, Stephanie; Rossinelli, Silvia; Roy, Helen E.; Scalera, Riccardo; Schindler, Stefan; Štajerová, Kateřina; Tokarska-Guzik, Barbara; van Kleunen, Mark; Walker, Kevin; Weigelt, Patrick; Yamanaka, Takehiko; Essl, Franz</t>
  </si>
  <si>
    <t>http://www.nature.com/articles/ncomms14435</t>
  </si>
  <si>
    <t>Although research on human-mediated exchanges of species has substantially intensified during the last centuries, we know surprisingly little about temporal dynamics of alien species accumulations across regions and taxa. Using a novel database of 45,813 first records of 16,926 established alien species, we show that the annual rate of first records worldwide has increased during the last 200 years, with 37% of all first records reported most recently (1970–2014). Inter-continental and inter-taxonomic variation can be largely attributed to the diaspora of European settlers in the nineteenth century and to the acceleration in trade in the twentieth century. For all taxonomic groups, the increase in numbers of alien species does not show any sign of saturation and most taxa even show increases in the rate of first records over time. This highlights that past efforts to mitigate invasions have not been effective enough to keep up with increasing globalization. Correspondence</t>
  </si>
  <si>
    <t>2022-09-23 08:03:02</t>
  </si>
  <si>
    <t>2022-09-23T08:03:02Z</t>
  </si>
  <si>
    <t>2022-09-19 21:15:47</t>
  </si>
  <si>
    <t>14435</t>
  </si>
  <si>
    <t>ESKUAS6K</t>
  </si>
  <si>
    <t>Sterling, Eleanor J.; Filardi, Christopher; Toomey, Anne; Sigouin, Amanda; Betley, Erin; Gazit, Nadav; Newell, Jennifer; Albert, Simon; Alvira, Diana; Bergamini, Nadia; Blair, Mary; Boseto, David; Burrows, Kate; Bynum, Nora; Caillon, Sophie; Caselle, Jennifer E.; Claudet, Joachim; Cullman, Georgina; Dacks, Rachel; Eyzaguirre, Pablo B.; Gray, Steven; Herrera, James; Kenilorea, Peter; Kinney, Kealohanuiopuna; Kurashima, Natalie; Macey, Suzanne; Malone, Cynthia; Mauli, Senoveva; McCarter, Joe; McMillen, Heather; Pascua, Pua’ala; Pikacha, Patrick; Porzecanski, Ana L.; de Robert, Pascale; Salpeteur, Matthieu; Sirikolo, Myknee; Stege, Mark H.; Stege, Kristina; Ticktin, Tamara; Vave, Ron; Wali, Alaka; West, Paige; Winter, Kawika B.; Jupiter, Stacy D.</t>
  </si>
  <si>
    <t>Biocultural approaches to well-being and sustainability indicators across scales</t>
  </si>
  <si>
    <t>10.1038/s41559-017-0349-6</t>
  </si>
  <si>
    <t>http://www.nature.com/articles/s41559-017-0349-6</t>
  </si>
  <si>
    <t>2022-09-23 07:31:39</t>
  </si>
  <si>
    <t>2022-09-23T07:31:39Z</t>
  </si>
  <si>
    <t>1798-1806</t>
  </si>
  <si>
    <t>ipbes-global_chapter2.1_drivers; ipbes-global_chapter2.2_nature; ipbes-global_chapter2.3_ncp; ipbes-global_chapter3; ipbes-global_chapter6</t>
  </si>
  <si>
    <t>SAE6PM95</t>
  </si>
  <si>
    <t>Schneider, François; Kallis, Giorgos; Martinez-Alier, Joan</t>
  </si>
  <si>
    <t>Crisis or opportunity? Economic degrowth for social equity and ecological sustainability. Introduction to this special issue</t>
  </si>
  <si>
    <t>09596526</t>
  </si>
  <si>
    <t>10.1016/j.jclepro.2010.01.014</t>
  </si>
  <si>
    <t>https://linkinghub.elsevier.com/retrieve/pii/S0959652610000259</t>
  </si>
  <si>
    <t>2022-09-23 07:30:35</t>
  </si>
  <si>
    <t>2022-09-23T07:30:35Z</t>
  </si>
  <si>
    <t>2022-09-22 07:27:04</t>
  </si>
  <si>
    <t>511-518</t>
  </si>
  <si>
    <t>Crisis or opportunity?</t>
  </si>
  <si>
    <t>JE4YNK5J</t>
  </si>
  <si>
    <t>Schouten, Greetje; Leroy, Pieter; Glasbergen, Pieter</t>
  </si>
  <si>
    <t>On the deliberative capacity of private multi-stakeholder governance: The Roundtables on Responsible Soy and Sustainable Palm Oil</t>
  </si>
  <si>
    <t>10.1016/j.ecolecon.2012.08.007</t>
  </si>
  <si>
    <t>https://linkinghub.elsevier.com/retrieve/pii/S0921800912003230</t>
  </si>
  <si>
    <t>2012-11</t>
  </si>
  <si>
    <t>2022-09-23 07:23:28</t>
  </si>
  <si>
    <t>2022-09-23T07:23:28Z</t>
  </si>
  <si>
    <t>2022-09-22 07:26:56</t>
  </si>
  <si>
    <t>42-50</t>
  </si>
  <si>
    <t>On the deliberative capacity of private multi-stakeholder governance</t>
  </si>
  <si>
    <t>SQSE3ITL</t>
  </si>
  <si>
    <t>Schandl, Heinz; Hatfield-Dodds, Steve; Wiedmann, Thomas; Geschke, Arne; Cai, Yiyong; West, James; Newth, David; Baynes, Tim; Lenzen, Manfred; Owen, Anne</t>
  </si>
  <si>
    <t>https://linkinghub.elsevier.com/retrieve/pii/S0959652615008331</t>
  </si>
  <si>
    <t>2022-09-23 06:59:16</t>
  </si>
  <si>
    <t>2022-09-23T06:59:16Z</t>
  </si>
  <si>
    <t>45-56</t>
  </si>
  <si>
    <t>Decoupling global environmental pressure and economic growth</t>
  </si>
  <si>
    <t>G9LMR9C2</t>
  </si>
  <si>
    <t>Simberloff, Daniel; Martin, Jean Louis; Genovesi, Piero; Maris, Virginie; Wardle, David A.; Aronson, James; Courchamp, Franck; Galil, Bella; García-Berthou, Emili; Pascal, Michel; Pyšek, Petr; Sousa, Ronaldo; Tabacchi, Eric; Vilà, Montserrat</t>
  </si>
  <si>
    <t>Impacts of biological invasions: What's what and the way forward</t>
  </si>
  <si>
    <t>Study of the impacts of biological invasions, a pervasive component of global change, has generated remarkable understanding of the mechanisms and consequences of the spread of introduced populations. The growing field of invasion science, poised at a crossroads where ecology, social sciences, resource management, and public perception meet, is increasingly exposed to critical scrutiny from several perspectives. Although the rate of biological invasions, elucidation of their consequences, and knowledge about mitigation are growing rapidly, the very need for invasion science is disputed. Here, we highlight recent progress in understanding invasion impacts and management, and discuss the challenges that the discipline faces in its science and interactions with society. © 2012 Elsevier Ltd.</t>
  </si>
  <si>
    <t>58-66</t>
  </si>
  <si>
    <t>QLF95QKA</t>
  </si>
  <si>
    <t>Silver, Hilary</t>
  </si>
  <si>
    <t>Social Exclusion</t>
  </si>
  <si>
    <t>The Blackwell Encyclopedia of Sociology</t>
  </si>
  <si>
    <t>978-1-4051-6551-8</t>
  </si>
  <si>
    <t>https://onlinelibrary.wiley.com/doi/abs/10.1002/9781405165518.wbeoss150</t>
  </si>
  <si>
    <t>Social exclusion is a rupturing of the social bond. It is a process of declining participation, access, and solidarity. At the societal level, it reflects inadequate social cohesion or integration. At the individual level, it refers to the incapacity to participate in normatively expected social activities and to build meaningful social relations.</t>
  </si>
  <si>
    <t>American Cancer Society</t>
  </si>
  <si>
    <t>DOI: 10.1002/9781405165518.wbeoss150</t>
  </si>
  <si>
    <t>97AIS4YR</t>
  </si>
  <si>
    <t>Seto, Karen C.; Fragkias, Michail; Güneralp, Burak; Reilly, Michael K.</t>
  </si>
  <si>
    <t>A Meta-Analysis of Global Urban Land Expansion</t>
  </si>
  <si>
    <t>10.1371/journal.pone.0023777</t>
  </si>
  <si>
    <t>http://dx.plos.org/10.1371/journal.pone.0023777</t>
  </si>
  <si>
    <t>The conversion of Earth's land surface to urban uses is one of the most irreversible human impacts on the global biosphere. It drives the loss of farmland, affects local climate, fragments habitats, and threatens biodiversity. Here we present a meta-analysis of 326 studies that have used remotely sensed images to map urban land conversion. We report a worldwide observed increase in urban land area of 58,000 km2 from 1970 to 2000. India, China, and Africa have experienced the highest rates of urban land expansion, and the largest change in total urban extent has occurred in North America. Across all regions and for all three decades, urban land expansion rates are higher than or equal to urban population growth rates, suggesting that urban growth is becoming more expansive than compact. Annual growth in GDP per capita drives approximately half of the observed urban land expansion in China but only moderately affects urban expansion in India and Africa, where urban land expansion is driven more by urban population growth. In high income countries, rates of urban land expansion are slower and increasingly related to GDP growth. However, in North America, population growth contributes more to urban expansion than it does in Europe. Much of the observed variation in urban expansion was not captured by either population, GDP, or other variables in the model. This suggests that contemporary urban expansion is related to a variety of factors difficult to observe comprehensively at the global level, including international capital flows, the informal economy, land use policy, and generalized transport costs. Using the results from the global model, we develop forecasts for new urban land cover using SRES Scenarios. Our results show that by 2030, global urban land cover will increase between 430,000 km2 and 12,568,000 km2, with an estimate of 1,527,000 km2 more likely.</t>
  </si>
  <si>
    <t>2011-08</t>
  </si>
  <si>
    <t>e23777</t>
  </si>
  <si>
    <t>9Z657NS8</t>
  </si>
  <si>
    <t>Stehle, Sebastian; Schulz, Ralf</t>
  </si>
  <si>
    <t>https://pnas.org/doi/full/10.1073/pnas.1500232112</t>
  </si>
  <si>
    <t>Significance                            Agricultural systems are drivers of global environmental degradation. Insecticides, in particular, are highly biologically active substances that can threaten the ecological integrity of aquatic and terrestrial ecosystems. Despite widespread insecticide application to croplands worldwide, no comprehensive field data-based evaluation of their risk to global surface waters exists. Our data show, for the first time to our knowledge at the global scale, that more than 50% of detected insecticide concentrations (               n               = 11,300) exceed regulatory threshold levels. This finding indicates that surface water pollution resulting from current agricultural insecticide use constitutes an excessive threat to aquatic biodiversity. Overall, our analysis suggests that fundamental revisions of current regulatory procedures and pesticide application practices are needed to reverse the global environmental impacts of agrochemical-based high-intensity agriculture.                        ,                             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               SW               ) or sediments. Thus, the biological integrity of global water resources is at a substantial risk. RTL               SW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t>
  </si>
  <si>
    <t>2015-05-05</t>
  </si>
  <si>
    <t>2022-09-19 21:16:02</t>
  </si>
  <si>
    <t>5750-5755</t>
  </si>
  <si>
    <t>I8TU5FFA</t>
  </si>
  <si>
    <t>Seto, Karen C.; Guneralp, B.; Hutyra, Lucy R.; Güneralp, Burak; Hutyra, Lucy R.; Guneralp, B.; Hutyra, Lucy R.</t>
  </si>
  <si>
    <t>Global forecasts of urban expansion to 2030 and direct impacts on biodiversity and carbon pools</t>
  </si>
  <si>
    <t>10.1073/pnas.1211658109</t>
  </si>
  <si>
    <t>Urban land-cover change threatens biodiversity and affects ecosystem productivity through loss of habitat, biomass, and carbon storage. However, despite projections that world urban populations will increase to nearly 5 billion by 2030, little is known about future locations, magnitudes, and rates of urban expansion. Here we develop spatially explicit probabilistic forecasts of global urban land-cover change and explore the direct impacts on biodiversity hotspots and tropical carbon biomass. If current trends in population density continue and all areas with high probabilities of urban expansion undergo change, then by 2030, urban land cover will increase by 1.2 million km(2), nearly tripling the global urban land area circa 2000. This increase would result in considerable loss of habitats in key biodiversity hotspots, with the highest rates of forecasted urban growth to take place in regions that were relatively undisturbed by urban development in 2000: the Eastern Afromontane, the Guinean Forests of West Africa, and the Western Ghats and Sri Lanka hotspots. Within the pan-tropics, loss in vegetation biomass from areas with high probability of urban expansion is estimated to be 1.38 PgC (0.05 PgC yr(-1)), equal to similar to 5% of emissions from tropical deforestation and land-use change. Although urbanization is often considered a local issue, the aggregate global impacts of projected urban expansion will require significant policy changes to affect future growth trajectories to minimize global biodiversity and vegetation carbon losses.</t>
  </si>
  <si>
    <t>16083-16088</t>
  </si>
  <si>
    <t>YUUHJSCD</t>
  </si>
  <si>
    <t>Seto, Karen C.; Parnell, Susan; Elmqvist, Thomas</t>
  </si>
  <si>
    <t>A Global Outlook on Urbanization</t>
  </si>
  <si>
    <t>Urbanization, Biodiversity and Ecosystem Services: Challenges and Opportunities</t>
  </si>
  <si>
    <t>1-12</t>
  </si>
  <si>
    <t>Dordrecht</t>
  </si>
  <si>
    <t>UVXPFRPH</t>
  </si>
  <si>
    <t>Stiglitz, Joseph E.</t>
  </si>
  <si>
    <t>The price of inequality</t>
  </si>
  <si>
    <t>978-0-393-34506-3</t>
  </si>
  <si>
    <t>The impact of inequality on societies is now increasingly well understood - higher crime, health problems and mental illness, lower educational achievements, social cohesion and life expectancy. But what are the causes of inequality, why is it growing so rapidly and what are its economic impacts? This exceptional book, by one of the world's most celebrated and original economists, provides authoritative answers to these timely questions. Ch. 1 America's 1 (one) Percent Problem – ch. 2 Rent seeking and the making of an unequal society – ch. 3 Markets and inequality – ch. 4 Why it matters – ch. 5 A democracy in peril – ch. 6 1984 is upon us – ch. 7 Justice for all? How inequality is eroding the Rule of Law – ch. 8 The battle of the budget – ch. 9 A macroeconomic policy and a Central Bank by and for the 1 (one) percent – ch. 10 The way forward: another world is possible.</t>
  </si>
  <si>
    <t>V2SH7DEU</t>
  </si>
  <si>
    <t>Seebens, Hanno; Blackburn, Tim M.; Dyer, Ellie E.; Genovesi, Piero; Hulme, Philip E.; Jeschke, Jonathan M.; Pagad, Shyama; Pyšek, Petr; van Kleunen, Mark; Winter, Marten; Ansong, Michael; Arianoutsou, Margarita; Bacher, Sven; Blasius, Bernd; Brockerhoff, Eckehard G.; Brundu, Giuseppe; Capinha, César; Causton, Charlotte E.; Celesti-Grapow, Laura; Dawson, Wayne; Dullinger, Stefan; Economo, Evan P.; Fuentes, Nicol; Guénard, Benoit; Jäger, Heinke; Kartesz, John; Kenis, Marc; Kühn, Ingolf; Lenzner, Bernd; Liebhold, Andrew M.; Mosena, Alexander; Moser, Dietmar; Nentwig, Wolfgang; Nishino, Misako; Pearman, David; Pergl, Jan; Rabitsch, Wolfgang; Rojas-Sandoval, Julissa; Roques, Alain; Rorke, Stephanie; Rossinelli, Silvia; Roy, Helen E.; Scalera, Riccardo; Schindler, Stefan; Štajerová, Kateřina; Tokarska-Guzik, Barbara; Walker, Kevin; Ward, Darren F.; Yamanaka, Takehiko; Essl, Franz</t>
  </si>
  <si>
    <t>http://www.pnas.org/lookup/doi/10.1073/pnas.1719429115</t>
  </si>
  <si>
    <t>Our ability to predict the identity of future invasive alien species is largely based upon knowledge of prior invasion history. Emerging alien species-those never encountered as aliens before-therefore pose a significant challenge to biosecurity interventions worldwide. Understanding their temporal trends, origins, and the drivers of their spread is pivotal to improving prevention and risk assessment tools. Here, we use a database of 45,984 first records of 16,019 established alien species to investigate the temporal dynamics of occurrences of emerging alien species worldwide. Even after many centuries of invasions the rate of emergence of new alien species is still high: One-quarter of first records during 2000-2005 were of species that had not been previously recorded anywhere as alien, though with large variation across taxa. Model results show that the high proportion of emerging alien species cannot be solely explained by increases in well-known drivers such as the amount of imported commodities from historically important source regions. Instead, these dynamics reflect the incorporation of new regions into the pool of potential alien species , likely as a consequence of expanding trade networks and environmental change. This process compensates for the depletion of the historically important source species pool through successive invasions. We estimate that 1-16% of all species on Earth, depending on the taxonomic group, qualify as potential alien species. These results suggest that there remains a high proportion of emerging alien species we have yet to encounter, with future impacts that are difficult to predict. source species pools | invasive species | drivers | time series | globalization T housands of species have been introduced to regions outside their native ranges by humans, and many have become permanent additions to local faunas and floras. The number of these established alien species has strongly increased worldwide during the past two centuries (1), thereby redefining the classical boundaries of biogeography (2), affecting ecosystem functioning (3), human health (4), and economies (5, 6). Alien species have thus emerged as a defining feature of the Anthropocene (7). The observed growth in alien species numbers has been largely attributed to increases in drivers of alien species introductions, such as import volumes and human mobility and rising establishment rates due to land degradation (8-12). However, alien species numbers in a region may also be affected by changes in the accessibility of source pools of species in the native range (13). For example, it has been shown that "historical" alien bird introductions (AD 1500-1903) were largely driven by European colonial expansion and thus mostly drawn from birds originating in Europe and European colonies, whereas "modern" bird introductions (1983-2000) primarily relate to introductions via the pet bird trade and concern species native to regions close to key trade hubs (14). These new source pools provide many new potential alien species when old source pools start to deplete (the depletion of source pools refers to the proportion of new alien species in that pool, which declines with every newly selected species), thereby maintaining the rate of alien species establishments in new regions. Disentangling the factors underpinning the accumulation of alien species will improve our understanding of past invasion dynamics and result in better-informed predictions of future trajectories of alien species accumulation. To dissect the drivers of emerging alien species we analyzed a global database of 45,984 regional first records of 16,019 established alien species from most major taxonomic groups (vascular plants, mammals, birds, fishes, insects, crustaceans, molluscs, and other invertebrates) (1) during recent centuries (AD 1500-2005). A first record constitutes the year of first detection of an alien species that later has become established in a region (usually a country or an island). From this database we determined the first records of species a pearing for the first time as alien worldwide, Significance Our ability to predict the identity of future invasive alien species is largely based upon knowledge of prior invasion history. Emerging alien species-those never before encountered as aliens-therefore pose a significant challenge to biosecurity interventions worldwide. Using a global database of the first regional records of alien species covering the years 1500-2005 we detected a surprisingly high proportion of species in recent records that have never been recorded as alien before. The high proportion of these emerging alien species mainly resulted from the increased accessibility of new source species pools in the native range. Risk assessment approaches that rely less on invasion history will need to be prioritized.</t>
  </si>
  <si>
    <t>201719429</t>
  </si>
  <si>
    <t>46P3NR25</t>
  </si>
  <si>
    <t>Skjelkvåle, Brit Lisa; Stoddard, John L.; Andersen, T.</t>
  </si>
  <si>
    <t>00496979</t>
  </si>
  <si>
    <t>RK9GSKBN</t>
  </si>
  <si>
    <t>Segura-Moran, L.</t>
  </si>
  <si>
    <t>Oil palm plantations: threats and opportunities for tropical ecosystems</t>
  </si>
  <si>
    <t>https://europa.eu/capacity4dev/unep/document/oil-palm-plantations-threats-and-opportunities-tropical-ecosystems</t>
  </si>
  <si>
    <t>PD289HSY</t>
  </si>
  <si>
    <t>SDSN</t>
  </si>
  <si>
    <t>Solutions for Sustainable Agriculture and Food Systems</t>
  </si>
  <si>
    <t>The Sustainable Development Solutions Network (SDSN) engages scientists, engineers, business and civil society leaders, and development practitioners for evidence-­‐based problem solving. It promotes solutions initiatives that demonstrate the potential of technical and business innovation to support sustainable development (www.unsdsn.org).</t>
  </si>
  <si>
    <t>Sustainable Development Solutions Network</t>
  </si>
  <si>
    <t>44X5S2GE</t>
  </si>
  <si>
    <t>Suding, K. N.</t>
  </si>
  <si>
    <t>Toward an Era of Restoration in Ecology: Successes, Failures, and Opportunities Ahead</t>
  </si>
  <si>
    <t>Annual Review of Ecology, Evolution, and Systematics</t>
  </si>
  <si>
    <t>10.1146/annurev-ecolsys-102710-145115</t>
  </si>
  <si>
    <t>As an inevitable consequence of increased environmental degradation and anticipated future environmental change, societal demand for ecosystem restoration is rapidly increasing. Here, I evaluate successes and failures in restoration, how science is informing these efforts, and ways to better address decision-making and policy needs. Despite the multitude of restoration projects and wide agreement that evaluation is a key to future progress, comprehensive evaluations are rare. Based on the limited available information, restoration outcomes vary widely. Cases of complete recovery are frequently characterized by the persistence of species and abiotic processes that permit natural regeneration. Incomplete recovery is often attributed to a mixture of local and landscape constraints, including shifts in species distributions and legacies of past land use. Lastly, strong species feedbacks and regional shifts in species pools and climate can result in little to no recovery. More forward-looking paradigms, such as enhancing ecosystem services and increasing resilience to future change, are exciting new directions that need more assessment. Increased evidence-based evaluation and cross-disciplinary knowledge transfer will better inform a wide range of critical restoration issues such as how to prioritize sites and interventions, include uncertainty in decision making, incorporate temporal and spatial dependencies, and standardize outcome assessments. As environmental policy increasingly embraces restoration, the opportunities have never been greater.</t>
  </si>
  <si>
    <t>465-487</t>
  </si>
  <si>
    <t>5EVAHC2A</t>
  </si>
  <si>
    <t>Suding, Katharine N.; Higgs, Eric; Palmer, Margaret; Callicott, J. Baird; Anderson, Christopher B.; Baker, Matthew; Gutrich, John J.; Hondula, Kelly L.; LaFevor, Matthew C.; Larson, Brendon M. H.; Randall, Alan; Ruhl, J. B.; Schwartz, Katrina Z. S.</t>
  </si>
  <si>
    <t>Committing to ecological restoration</t>
  </si>
  <si>
    <t>10.1126/science.aaa4216</t>
  </si>
  <si>
    <t>638-640</t>
  </si>
  <si>
    <t>6235</t>
  </si>
  <si>
    <t>MCNNJQSR</t>
  </si>
  <si>
    <t>Smith, Wynet</t>
  </si>
  <si>
    <t>Undercutting Sustainability: The Global Problem of Illegal Logging and Trade</t>
  </si>
  <si>
    <t>Journal of Sustainable Forestry</t>
  </si>
  <si>
    <t>1054-9811</t>
  </si>
  <si>
    <t>10.1300/J091v19n01_02</t>
  </si>
  <si>
    <t>https://doi.org/10.1300/J091v19n01_02 http://www.tandfonline.com/doi/abs/10.1300/J091v19n01_02</t>
  </si>
  <si>
    <t>2004-11</t>
  </si>
  <si>
    <t>7-30</t>
  </si>
  <si>
    <t>NB8ZNPPQ</t>
  </si>
  <si>
    <t>SCA; WRI</t>
  </si>
  <si>
    <t>“Illegal” Logging and Global Wood Markets: The Competitive Impacts on the U.S. Wood Products Industry</t>
  </si>
  <si>
    <t>https://www.illegal-logging.info/sites/files/chlogging/uploads/1_AF_and_PA_summary.pdf</t>
  </si>
  <si>
    <t>American Forest &amp; Paper Association</t>
  </si>
  <si>
    <t>J7EVWPJI</t>
  </si>
  <si>
    <t>Stutzer, Alois; Frey, Bruno S.</t>
  </si>
  <si>
    <t>Stress that Doesn't Pay: The Commuting Paradox</t>
  </si>
  <si>
    <t>Scandinavian Journal of Economics</t>
  </si>
  <si>
    <t>03470520</t>
  </si>
  <si>
    <t>10.1111/j.1467-9442.2008.00542.x</t>
  </si>
  <si>
    <t>http://doi.wiley.com/10.1111/j.1467-9442.2008.00542.x</t>
  </si>
  <si>
    <t>People spend a lot of time commuting and often find it a burden. According to standard economics, the burden of commuting is chosen when compensated either on the labor or on the housing market so that individuals' utility is equalized. However, in a direct test of this strong notion of equilibrium with panel data, we find that people with longer commuting time report systematically lower subjective well-being. This result is robust with regard to a number of alternative explanations. We mention several possibilities of an extended model of human behavior able to explain this “commuting paradox”.</t>
  </si>
  <si>
    <t>2008-06</t>
  </si>
  <si>
    <t>339-366</t>
  </si>
  <si>
    <t>NDLB8T5N</t>
  </si>
  <si>
    <t>Sheriff, Natasja; Joffre, Olivier M.; Hong, M. C.; Barman, B. K.; Haque, ABMM; Rahman, F.; Zhu, J.; Brakel, Martin L. van; Valmonte-Santos, R.; Werthmann, C.</t>
  </si>
  <si>
    <t>Community-based fish culture in seasonal floodplains and irrigation systems</t>
  </si>
  <si>
    <t>Fighting poverty through sustainable water use: Proceedings of the CPWF 2nd International Forum on Water and Food, Addis Ababa, Ethiopia, November 10—14, 2008: Volume II</t>
  </si>
  <si>
    <t>246-249</t>
  </si>
  <si>
    <t>Humphreys, E.; Bayot, R. S.; van Brakel, M.; Gichuki, F.; Svendsen, M.; Wester, P.; Huber-Lee, A.; Cook, S.; Douthwaite, B.; Hoanh, C. T.; Johnson, N.; Nguyen-Khoa, S.; Vidal, A.; MacIntyre, I.; MacIntyre, R.</t>
  </si>
  <si>
    <t>MAZZ8B5F</t>
  </si>
  <si>
    <t>Stoll-kleemann, Susanne; Bender, Svane; Berghofer, Augustin; Bertzky, Monika; Fritz-vietta, Nadine; Schliep, Rainier; Thierfelder, Barbara</t>
  </si>
  <si>
    <t>Linking Governance and Management Perspectives with Conservation Success in Protected Areas and Biosphere Reserves. Discussion Paper 01 of the GoBi Research Group</t>
  </si>
  <si>
    <t>http://citeseerx.ist.psu.edu/viewdoc/summary?doi=10.1.1.474.1324</t>
  </si>
  <si>
    <t>The implementation of protected areas that effectively meet their conservation objectives is one of the principal challenges in the endeavour to halt biodiversity loss. Though more than 100,000 protected areas cover about ten percent of the Earth's terrestrial surface today, their success often leaves a great deal of room for improvement when regarded from the viewpoint of conservation. The overall objective of the interdisciplinary GoBi (Governance of Biodiversity) Research Group is to identify and assess the success and failure factors of pro- tected areas with a focus on biosphere reserves. This serves the higher-level goal of advancing empirical knowledge and conceptual understanding of the results of the establishment of protected areas. We are integrating ecological and socio- economic data in order to identify typical profiles of sets of variables influencing conservation success in protected areas. Typical research questions are, for ex- ample: What are the principal factors influencing the effective functioning of pro- tected areas? How do they work? And how are they connected? We specifically scrutinize governance and management approaches because we believe that they are the key to the success of protected areas but have not yet received the attention they appear to warrant. Also, contrary to other factors in- fluencing the success of protected areas, e.g., invasive species, changes in cli- mate or macro-pressures on resources, governance and management approaches can be relatively easily controlled by those intending to implement PAs. This paper gives an overview over the challenges protected areas are facing in their endeavour to achieve conservation success. Subsequently, GoBi's approach to examining the determinants of conservation success and their relative impor- tance is discussed, and initial theoretical and empirical findings are presented.</t>
  </si>
  <si>
    <t>ECK97FWW</t>
  </si>
  <si>
    <t>Tapping the green market: certification and management of non-timber forest products</t>
  </si>
  <si>
    <t>1-85383-810-1</t>
  </si>
  <si>
    <t>Shanley, P.; Pierce, Alan Robert; Laird, Sarah A.; Guillen, A.</t>
  </si>
  <si>
    <t>5PC92BJD</t>
  </si>
  <si>
    <t>Smith, M. D.; Roheim, C. A.; Crowder, L. B.; Halpern, B. S.; Turnipseed, M.; Anderson, J. L.; Asche, F.; Bourillon, L.; Guttormsen, A. G.; Khan, A.; Liguori, L. A.; McNevin, A.; O'Connor, M. I.; Squires, D.; Tyedmers, P.; Brownstein, C.; Carden, K.; Klinger, D. H.; Sagarin, R.; Selkoe, K. A.</t>
  </si>
  <si>
    <t>Sustainability and Global Seafood</t>
  </si>
  <si>
    <t>10.1126/science.1185345</t>
  </si>
  <si>
    <t>http://www.sciencemag.org/cgi/doi/10.1126/science.1185345</t>
  </si>
  <si>
    <t>Although seafood is the most highly traded food internationally, it is an often overlooked component of global food security. It provides essential local food, livelihoods, and export earnings. Although global capture fisheries production is unlikely to increase, aquaculture is growing considerably. Sustaining seafood's contributions to food security hinges on the ability of institutions, particularly in developing countries, to protect and improve ecosystem health in the face of increasing pressures from international trade. Seafood (fish and shellfish harvested from capture fi sheries and aquaculture production in marine and freshwater environments) contributes at least 15% of average animal protein consumption to 2.9 billion people and as much as 50% for some small island and West African states ( 1). Seafood is the main source of omega-3 fatty acids that are essential for brain development ( 2) and provides important micronutrients for the poor ( 3). As a source of livelihood, capture fisheries and aquaculture employed 43.5 million people in 2006, and 520 million people relied on income from seafood production ( 1). Seafood is also the most highly traded food commodity internationally ( 1). Fish and shellfi sh exports from developing countries exceed the value of coffee, rubber, cocoa, tea, tobacco, meat, and rice combined ( 1).</t>
  </si>
  <si>
    <t>784-786</t>
  </si>
  <si>
    <t>5967</t>
  </si>
  <si>
    <t>LREHWE9M</t>
  </si>
  <si>
    <t>Stoddard, J. L. Jl; Jeffries, D. S. Ds; Lukewille, a; Clair, T. a; Dillon, P. J.; Driscoll, C. T.; Forsius, M.; Johannessen, M.; Kahl, J. S.; Kellogg, J. H.; Kemp, a; Mannio, J.; Monteith, D. T.; Murdoch, P. S.; Patrick, S.; Rebsdorf, a; Skjelkvale, B. L.; Stainton, M. P.; Traaen, T.; van Dam, H.; Webster, K. E.; Wieting, J.; Wilander, a; Lükewille, a</t>
  </si>
  <si>
    <t>Rates of acidic deposition from the atmosphere ('acid rain') have decreased throughout the 1980s and 1990s across large portions of North America and Europe1, 2. Many recent studies have attributed observed reversals in surface-water acidification at national3 and regional4 scales to the declining deposition. To test whether emissions regulations have led to widespread recovery in surface-water chemistry, we analysed regional trends between 1980 and 1995 in indicators of acidification (sulphate, nitrate and base-cation concentrations, and measured (Gran) alkalinity) for 205 lakes and streams in eight regions of North America and Europe. Dramatic differences in trend direction and strength for the two decades are apparent. In concordance with general temporal trends in acidic deposition, lake and stream sulphate concentrations decreased in all regions with the exception of Great Britain; all but one of these regions exhibited stronger downward trends in the 1990s than in the 1980s. In contrast, regional declines in lake and stream nitrate concentrations were rare and, when detected, were very small. Recovery in alkalinity, expected wherever strong regional declines in sulphate concentrations have occurred, was observed in all regions of Europe, especially in the 1990s, but in only one region (of five) in North America. We attribute the lack of recovery in three regions (south/central Ontario, the Adirondack/Catskill mountains and midwestern North America) to strong regional declines in base-cation concentrations that exceed the decreases in sulphate concentrations.</t>
  </si>
  <si>
    <t>HFQVIFBK</t>
  </si>
  <si>
    <t>Stevenson, James R.; Villoria, Nelson; Byerlee, Derek; Kelley, Timothy; Maredia, Mywish</t>
  </si>
  <si>
    <t>Green Revolution research saved an estimated 18 to 27 million hectares from being brought into agricultural production</t>
  </si>
  <si>
    <t>10.1073/pnas.1208065110</t>
  </si>
  <si>
    <t>New estimates of the impacts of germplasm improvement in the major staple crops between 1965 and 2004 on global land-cover change are presented, based on simulations carried out using a global economic model (Global Trade Analysis Project Agro-Ecological Zone), a multicommodity, multiregional computable general equilibrium model linked to a global spatially explicit database on land use. We estimate the impact of removing the gains in cereal productivity attributed to the widespread adoption of improved varieties in developing countries. Here, several different effects–higher yields, lower prices, higher land rents, and trade effects–have been incorporated in a single model of the impact of Green Revolution research (and subsequent advances in yields from crop germplasm improvement) on land-cover change. Our results generally support the Borlaug hypothesis that increases in cereal yields as a result of widespread adoption of improved crop germplasm have saved natural ecosystems from being converted to agriculture. However, this relationship is complex, and the net effect is of a much smaller magnitude than Borlaug proposed. We estimate that the total crop area in 2004 would have been between 17.9 and 26.7 million hectares larger in a world that had not benefited from crop germplasm improvement since 1965. Of these hectares, 12.0-17.7 million would have been in developing countries, displacing pastures and resulting in an estimated 2 million hectares of additional deforestation. However, the negative impacts of higher food prices on poverty and hunger under this scenario would likely have dwarfed the welfare effects of agricultural expansion.</t>
  </si>
  <si>
    <t>8363-8</t>
  </si>
  <si>
    <t>KZTF7MNV</t>
  </si>
  <si>
    <t>Stewart, James; Walshe, Kim</t>
  </si>
  <si>
    <t>Compliance costs and the small fisher: A study of exiters from the New Zealand fishery</t>
  </si>
  <si>
    <t>10.1016/j.marpol.2007.05.004</t>
  </si>
  <si>
    <t>Over 3000 predominantly small-scale fishers have exited the New Zealand's quota management system (QMS) between its inception in 1986 and 2000. This study, based on the Ministry of Fisheries database and a questionnaire sent to the exiters, establishes that compliance costs in general, and those specifically related to the QMS, were one of the most consistent reasons for exit. Uncertainty about future QMS policy and the high cost of quota were also significant factors. It appears that the small fishers' perception of high compliance cost can be supported by industry data. ?? 2007 Elsevier Ltd. All rights reserved.</t>
  </si>
  <si>
    <t>120-131</t>
  </si>
  <si>
    <t>L8VFYAJI</t>
  </si>
  <si>
    <t>Su, Jason G.; Morello-Frosch, Rachel; Jesdale, Bill M.; Kyle, Amy D.; Shamasunder, Bhavna; Jerrett, Michael</t>
  </si>
  <si>
    <t>An Index for Assessing Demographic Inequalities in Cumulative Environmental Hazards with Application to Los Angeles, California</t>
  </si>
  <si>
    <t>10.1021/es901041p</t>
  </si>
  <si>
    <t>Researchers in environmental justice contend that low-income communities and communities of color face greater impacts from environmental hazards. This is also of concern for policy makers. In this context, our paper has two principal objectives. First, we propose a method for creating an index capable of summarizing racial-ethnic and socioeconomic inequalities from the impact of cumulative environmental hazards. Second, we apply the index to Los Angeles County to illustrate the potential applications and complexities of its implementation. Individual environmental inequality indices are calculated based on unequal shares of environmental hazards for racial-ethnic groups and socioeconomic positions. The illustrated hazards include ambient concentrations of particulate matter, nitrogen dioxide, and estimates of cancer risk associated with modeled estimates for diesel particulate matter. The cumulative environmental hazard inequality index (CEHII) then combines individual environmental hazards, using either a multiplicative or an additive model. Significant but modest inequalities exist for both individual and cumulative environmental hazards in Los Angeles. The highest level of inequality among racial-ethnic and socioeconomic groups occurs when a multiplicative model is used to estimate cumulative hazard. The CEHII provides a generalized framework that incorporates environmental hazards and socioeconomic characteristics to assess inequalities in cumulative environmental risks.</t>
  </si>
  <si>
    <t>7626-7634</t>
  </si>
  <si>
    <t>3GFB25HT</t>
  </si>
  <si>
    <t>Sui, Daniel Z.; Zeng, Hui</t>
  </si>
  <si>
    <t>Modeling the dynamics of landscape structure in Asia's emerging desakota regions: a case study in Shenzhen</t>
  </si>
  <si>
    <t>Landscape and Urban Planning</t>
  </si>
  <si>
    <t>01692046</t>
  </si>
  <si>
    <t>10.1016/S0169-2046(00)00136-5</t>
  </si>
  <si>
    <t>The rapid urbanization taking place in Asia since 1970 has exhibited a process different from that of the developed countries in the West. This process has contributed to the emergence of a new landscape in Asia — widely known as the desakota (a combination of two Indonesian words: “desa” for village, “kota” for town) regions described in the McGee–Ginsburg model. These desakota regions are characterized by an intense mix of agricultural and non-agricultural activities that often stretch along corridors between large city cores. Although, the McGee–Ginsburg model captures the socio-demographic dimensions of the rapid urbanization process, little is known about the dynamics of landscape structures in the emerging desakota regions in Asia. By linking remote sensing, landscape characterization indices, and cellular automata modeling with geographic information systems (GIS), this paper develops a GIS-based spatial analysis and modeling approach to study the landscape dynamics of the desakota regions in southeast China. We tested our method using data between 1992 and 1996 for the city of Longhua in the Shenzhen Special Economic Zone — one of the fastest growing areas in southeast China. The results not only confirm the effectiveness of GIS-based spatial analysis and modeling approach in studying the ecological impacts of human activities, but also reveal the salient features of landscape dynamics in the desakota regions. Drawing from the results of this research, we conclude that the pace of urbanization and the size of desakota regions must be controlled in order to create a sustainable future in developing countries.</t>
  </si>
  <si>
    <t>37-52</t>
  </si>
  <si>
    <t>DYWMCUET</t>
  </si>
  <si>
    <t>Storeygard, Adam</t>
  </si>
  <si>
    <t>Farther on down the Road: Transport Costs, Trade and Urban Growth in Sub-Saharan Africa</t>
  </si>
  <si>
    <t>10.1093/restud/rdw020</t>
  </si>
  <si>
    <t>1263</t>
  </si>
  <si>
    <t>2NUXU9XX</t>
  </si>
  <si>
    <t>Schaffartzik, Anke; Mayer, Andreas; Gingrich, Simone; Eisenmenger, Nina; Loy, Christian; Krausmann, Fridolin</t>
  </si>
  <si>
    <t>The global metabolic transition: Regional patterns and trends of global material flows, 1950-2010</t>
  </si>
  <si>
    <t>10.1016/j.gloenvcha.2014.03.013</t>
  </si>
  <si>
    <t>Since the World War II, many economies have transitioned from an agrarian, biomass-based to an industrial, minerals-based metabolic regime. Since 1950, world population grew by factor 2.7 and global material consumption by factor 3.7-71. Gigatonnes per year in 2010. The expansion of the resource base required by human societies is associated with growing pressure on the environment and infringement on the habitats of other species. In order to achieve a sustainability transition, we require a better understanding of the currently ongoing metabolic transition and its potential inertia. In this article, we present a long-term global material flow dataset covering material extraction, trade, and consumption of 177 individual countries between 1950 and 2010. We trace patterns and trends in material flows for six major geographic and economic country groupings and world regions (Western Industrial, the (Former) Soviet Union and its allies, Asia, the Middle East and Northern Africa, Latin America and the Caribbean, and Sub-Saharan Africa) as well as their contribution to the emergence of a global metabolic profile during a period of rapid industrialization and globalization. Global average material use increased from 5.0 to 10.3. tons per capita and year (t/cap/a) between 1950 and 2010. Regional metabolic rates range from 4.5. t/cap/a in Sub-Saharan Africa to 14.8. t/cap/a in the Western Industrial grouping. While we can observe a stabilization of the industrial metabolic profile composed of relatively equal shares of biomass, fossil energy carriers, and construction minerals, we note differences in the degree to which other regions are gravitating toward a similar form of material use. Since 2000, Asia has overtaken the Western Industrial grouping in terms of its share in global resource use although not in terms of its per capita material consumption. We find that at a sub-global level, the roles of the world regions have changed. There are, however, no signs yet that this will lead to stabilization or even a reduction of global resource use. © 2014 The Authors.</t>
  </si>
  <si>
    <t>3SP2JKHL</t>
  </si>
  <si>
    <t>Schaffartzik, Anke; Mayer, Andreas; Eisenmenger, Nina; Krausmann, Fridolin</t>
  </si>
  <si>
    <t>Global patterns of metal extractivism, 1950-2010: Providing the bones for the industrial society's skeleton</t>
  </si>
  <si>
    <t>10.1016/j.ecolecon.2015.12.007</t>
  </si>
  <si>
    <t>During the second half of the 20th century, mining expanded globally and must be considered one of the dominant forms of human intervention into the environment. Metals are strategically important resources for industrialized and industrializing societies. In 2010, the five BRICS countries (Brazil, the Russian Federation, India, China, and South Africa) consumed 54% of the metals mined globally. The analysis of material flow data offers a biophysical perspective on mining as a resource frontier and allows for the identification of patterns in global metals extraction and trade. Since 1950, metal extraction has shifted from the early industrializing countries into the emerging economies. In 2010, only 6% of metals mined stemmed from Europe or North America while 76% were extracted in four countries (Australia, China, India, and Brazil). In the countries hosting large-scale mining operations, socio-ecological pressure ensues the so-called extractivist development path is common. High rates of metal deposit depletion mean that today's metal extractors and exporters may depend on imports of metal from anthropogenic deposits (stocks in buildings, infrastructure, and durable products) in the future. The extractivist path and the shifting of metals from natural to anthropogenic deposits are both associated with potential for conflict.</t>
  </si>
  <si>
    <t>DLSBBJCX</t>
  </si>
  <si>
    <t>Schandl, Heinz; Eisenmenger, Nina</t>
  </si>
  <si>
    <t>Regional Patterns in Global Resource Extraction</t>
  </si>
  <si>
    <t>Journal of Industrial Ecology</t>
  </si>
  <si>
    <t>1088-1980</t>
  </si>
  <si>
    <t>This article presents an account of global resource extraction for the year 1999 by material groups, world regions, and development status. The account is based on materials flow analysis methodology and provides benchmark information for political strategies toward sustainable resource management. It shows that currently around 50 thousand megatons of resources are extracted yearly on a global scale, which results in a yearly global average resource use of around 8 tonnes per capita. Assuming further growth in world regions not yet close to the levels of resource use in the industrial cores—such as India or China—numbers could easily double once these parts of the world come to fully incorporate the industrial mode of production and consumption. This article contributes to information on resource use indicators, complementing and enriching information from economic accounting in order to facilitate political measures toward a sustainable use of resources.</t>
  </si>
  <si>
    <t>CYT3247Z</t>
  </si>
  <si>
    <t>Schneider, Stephen H.</t>
  </si>
  <si>
    <t>245-258</t>
  </si>
  <si>
    <t>FBLCDKZM</t>
  </si>
  <si>
    <t>Schmitz, C.; Biewald, A.; Lotze-Campen, H.; Popp, A.; Dietrich, J. P.; Bodirsky, B.; Krause, M.; Weindl, I.</t>
  </si>
  <si>
    <t>Trading more food: Implications for land use, greenhouse gas emissions, and the food system</t>
  </si>
  <si>
    <t>10.1016/j.gloenvcha.2011.09.013</t>
  </si>
  <si>
    <t>The volume of agricultural trade increased by more than ten times throughout the past six decades and is likely to continue with high rates in the future. Thereby, it largely affects environment and climate. We analyse future trade scenarios covering the period of 2005-2045 by evaluating economic and environmental effects using the global land-use model MAgPIE (" Model of Agricultural Production and its Impact on the Environment" ). This is the first trade study using spatially explicit mapping of land use patterns and greenhouse gas emissions. We focus on three scenarios: the reference scenario fixes current trade patterns, the policy scenario follows a historically derived liberalisation pathway, and the liberalisation scenario assumes a path, which ends with full trade liberalisation in 2045.Further trade liberalisation leads to lower global costs of food. Regions with comparative advantages like Latin America for cereals and oil crops and China for livestock products will export more. In contrast, regions like the Middle East, North Africa, and South Asia face the highest increases of imports. Deforestation, mainly in Latin America, leads to significant amounts of additional carbon emissions due to trade liberalisation. Non-CO 2 emissions will mostly shift to China due to comparative advantages in livestock production and rising livestock demand in the region. Overall, further trade liberalisation leads to higher economic benefits at the expense of environment and climate, if no other regulations are put in place. © 2011 Elsevier Ltd.</t>
  </si>
  <si>
    <t>QNAS8EVT</t>
  </si>
  <si>
    <t>Scheffer, Marten; Carpenter, Stephen R.</t>
  </si>
  <si>
    <t>Catastrophic regime shifts in ecosystems: linking theory to observation</t>
  </si>
  <si>
    <t>Trends in Ecology &amp; Evolution</t>
  </si>
  <si>
    <t>10.1016/j.tree.2003.09.002</t>
  </si>
  <si>
    <t>648-656</t>
  </si>
  <si>
    <t>YDCUGVEV</t>
  </si>
  <si>
    <t>Scruggs, L. A.</t>
  </si>
  <si>
    <t>Political and economic inequality and the environment</t>
  </si>
  <si>
    <t>10.1016/S0921-8009(97)00118-3</t>
  </si>
  <si>
    <t>This paper analyzes and tests the hypothesis that political and economic equality result in lower levels of environmental degradation. Based on formal statements of the argument put forward by Boyce, R., 1994, Ecological Economics, ii, 169-178, I show that equality may or may not be necessary to minimize degradation. Under some plausible conditions, greater inequality may even be conducive to lower degradation. Actual results depend primarily on the intersection between the distribution of preferences across groups and the institutional rules. Two cross-national empirical tests tend to support the contention that distributional issues do not systematically explain variations in environmental quality. The results reinforce the conclusion that assumptions about the structure of preferences and workings of social choice institutions ignore complex interactions which influence the relationship between degradation and equality. (C) 1998 Elsevier Science B.V. All rights reserved.</t>
  </si>
  <si>
    <t>52A48GQJ</t>
  </si>
  <si>
    <t>Scott, Allen J.</t>
  </si>
  <si>
    <t>World Development Report 2009: reshaping economic geography</t>
  </si>
  <si>
    <t>LM9EDE34</t>
  </si>
  <si>
    <t>Schwarz, Kirsten; Fragkias, Michail; Boone, Christopher G.; Zhou, Weiqi; McHale, Melissa; Grove, J. Morgan; O'Neil-Dunne, Jarlath; McFadden, Joseph P.; Buckley, Geoffrey L.; Childers, Dan; Ogden, Laura; Pincetl, Stephanie; Pataki, Diane; Whitmer, Ali; Cadenasso, Mary L.</t>
  </si>
  <si>
    <t>Trees grow on money: Urban tree canopy cover and environmental justice</t>
  </si>
  <si>
    <t>10.1371/journal.pone.0122051</t>
  </si>
  <si>
    <t>This study examines the distributional equity of urban tree canopy (UTC) cover for Baltimore, MD, Los Angeles, CA, New York, NY, Philadelphia, PA, Raleigh, NC, Sacramento, CA, and Washington, D.C. using high spatial resolution land cover data and census data. Data are analyzed at the Census Block Group levels using Spearman's correlation, ordinary least squares regression (OLS), and a spatial autoregressive model (SAR). Across all cities there is a strong positive correlation between UTC cover and median household income. Negative correlations between race and UTC cover exist in bivariate models for some cities, but they are generally not observed using multivariate regressions that include additional variables on income, education, and housing age. SAR models result in higher r-square values compared to the OLS models across all cities, suggesting that spatial autocorrelation is an important feature of our data. Similarities among cities can be found based on shared characteristics of climate, race/ethnicity, and size. Our findings suggest that a suite of variables, including income, contribute to the distribution of UTC cover. These findings can help target simultaneous strategies for UTC goals and environmental justice concerns.</t>
  </si>
  <si>
    <t>8XRF835A</t>
  </si>
  <si>
    <t>Schwartz, Shalom H.</t>
  </si>
  <si>
    <t>Normative Influences on Altruism11This work was supported by NSF Grant SOC 72-05417. I am indebted to L. Berkowitz, R. Dienstbier, H. Schuman, R. Simmons, and R. Tessler for their thoughtful comments on an early draft of this chapter</t>
  </si>
  <si>
    <t>0065-2601</t>
  </si>
  <si>
    <t>1977</t>
  </si>
  <si>
    <t>221-279</t>
  </si>
  <si>
    <t>Berkowitz, Leonard B. T. Advances in Experimental Social Psychology</t>
  </si>
  <si>
    <t>QW7Z7FZP</t>
  </si>
  <si>
    <t>Schroth, Götz; da Fonseca, Gustavo A. B.; Harvey, Celia A.; Gascon, Claude; Vasconcelos, Heraldo L.; Anne-Marie N, Izac</t>
  </si>
  <si>
    <t>Agroforestry and biodiversity conservation in tropical landscapes</t>
  </si>
  <si>
    <t>446YKZ99</t>
  </si>
  <si>
    <t>Schoenberger, Laura; Beban, Alice</t>
  </si>
  <si>
    <t>“They Turn Us into Criminals”: Embodiments of Fear in Cambodian Land Grabbing</t>
  </si>
  <si>
    <t>2469-4452</t>
  </si>
  <si>
    <t>10.1080/24694452.2017.1420462</t>
  </si>
  <si>
    <t>https://doi.org/10.1080/24694452.2017.1420462</t>
  </si>
  <si>
    <t>1338-1353</t>
  </si>
  <si>
    <t>NHV3P7MZ</t>
  </si>
  <si>
    <t>Sedjo, Roger A.; Sohngen, Brent L.</t>
  </si>
  <si>
    <t>Forestry sequestration of CO2 and markets for timber</t>
  </si>
  <si>
    <t>Resources for the Future Washington</t>
  </si>
  <si>
    <t>W7EQFG82</t>
  </si>
  <si>
    <t>Shannon, Graeme; McKenna, Megan F.; Angeloni, Lisa M.; Crooks, Kevin R.; Fristrup, Kurt M.; Brown, Emma; Warner, Katy A.; Nelson, Misty D.; White, Cecilia; Briggs, Jessica; McFarland, Scott; Wittemyer, George</t>
  </si>
  <si>
    <t>Biological Reviews</t>
  </si>
  <si>
    <t>1469185X</t>
  </si>
  <si>
    <t>Global increases in environmental noise levels – arising from expansion of human populations, transportation networks, and resource extraction – have catalysed a recent surge of research into the effects of noise on wildlife. Synthesising a coherent understanding of the biological consequences of noise from this literature is challenging. Taxonomic groups vary in auditory capabilities. A wide range of noise sources and exposure levels occur, and many kinds of biological responses have been observed, ranging from individual behaviours to changes in ecological communities. Also, noise is one of several environmental effects generated by human activities, so researchers must contend with potentially confounding explanations for biological responses. Nonetheless, it is clear that noise presents diverse threats to species and ecosystems and salient patterns are emerging to help inform future natural resource-management decisions. We conducted a systematic and standardised review of the scientific literature published from 1990 to 2013 on the effects of anthropogenic noise on wildlife, including both terrestrial and aquatic studies. Research to date has concentrated predominantly on European and North American species that rely on vocal communication, with approximately two-thirds of the data set focussing on songbirds and marine mammals. The majority of studies documented effects from noise, including altered vocal behaviour to mitigate masking, reduced abundance in noisy habitats, changes in vigilance and foraging behaviour, and impacts on individual fitness and the structure of ecological communities. This literature survey shows that terrestrial wildlife responses begin at noise levels of approximately 40 dBA, and 20% of papers documented impacts below 50 dBA. Our analysis highlights the utility of existing scientific information concerning the effects of anthropogenic noise on wildlife for predicting potential outcomes of noise exposure and implementing meaningful mitigation measures. Future research directions that would support more comprehensive predictions regarding the magnitude and severity of noise impacts include: broadening taxonomic and geographical scope, exploring interacting stressors, conducting larger-scale studies, testing mitigation approaches, standardising reporting of acoustic metrics, and assessing the biological response to noise-source removal or mitigation. The broad volume of existing information concerning the effects of anthrop\ldots</t>
  </si>
  <si>
    <t>982-1005</t>
  </si>
  <si>
    <t>9EBECUA5</t>
  </si>
  <si>
    <t>Seter, Hanne; Theisen, Ole Magnus; Schilling, Janpeter</t>
  </si>
  <si>
    <t>All about water and land? Resource-related conflicts in East and West Africa revisited</t>
  </si>
  <si>
    <t>0343-2521</t>
  </si>
  <si>
    <t>10.1007/s10708-016-9762-7</t>
  </si>
  <si>
    <t>2ZQXYAB7</t>
  </si>
  <si>
    <t>Segerson, Kathleen</t>
  </si>
  <si>
    <t>Uncertainty and incentives for nonpoint pollution control</t>
  </si>
  <si>
    <t>10.1016/0095-0696(88)90030-7</t>
  </si>
  <si>
    <t>In dispersed or nonpoint pollution problems, monitoring of individual polluting actions is difficult and those actions cannot generally be inferred from observed ambient pollution because (i) ambient pollutant levels have a random distribution that is contingent on the level of abatement undertaken and/or (ii) the actions of several polluters contribute to the ambient levels and only combined effects are observable. This paper describes a general incentive scheme for controlling nonpoint pollution. Rewards for environmental quality above a given standard are combined with penalties for substandard quality. The mechanism is discussed in the context of both a single suspected polluter and multiple suspected polluters where free riding must be avoided. © 1988.</t>
  </si>
  <si>
    <t>WWM5L9EK</t>
  </si>
  <si>
    <t>Shengji, P.</t>
  </si>
  <si>
    <t>Natural Resource Management</t>
  </si>
  <si>
    <t>ICIMOD, Kathmandu, Nepal</t>
  </si>
  <si>
    <t>DBD2M2F3</t>
  </si>
  <si>
    <t>Shafik, Nemat; Bandyopadhyay, Sushenjit</t>
  </si>
  <si>
    <t>Economic growth and environmental quality: time-series and cross-country evidence</t>
  </si>
  <si>
    <t>XXJ5MJJV</t>
  </si>
  <si>
    <t>Sletto, Bjørn; Rodriguez, Iokiñe</t>
  </si>
  <si>
    <t>Burning, fire prevention and landscape productions among the Pemon, Gran Sabana, Venezuela: Toward an intercultural approach to wildland fire management in Neotropical Savannas</t>
  </si>
  <si>
    <t>10.1016/j.jenvman.2012.10.041</t>
  </si>
  <si>
    <t>Wildland fire management in savanna landscapes increasingly incorporates indigenous knowledge to pursue strategies of controlled, prescriptive burning to control fuel loads. However, such participatory approaches are fraught with challenges because of contrasting views on the role of fire and the practices of prescribed burning between indigenous and state fire managers. Also, indigenous and state systems of knowledge and meanings associated with fire are not monolithic but instead characterized by conflicts and inconsistencies, which require new, communicative strategies in order to develop successful, intercultural approaches to fire management. This paper is based on long-term research on indigenous Pemon social constructs, rules and regulations regarding fire use, and traditional system of prescribed burning in the Gran Sabana, Venezuela. The authors review factors that act as constraints against successful intercultural fire management in the Gran Sabana, including conflicting perspectives on fire use within state agencies and in indigenous communities, and propose strategies for research and communicative planning to guide future efforts for more participatory and effective fire management. ?? 2012 Elsevier Ltd.</t>
  </si>
  <si>
    <t>C4I4TH6E</t>
  </si>
  <si>
    <t>Six, Katharina D.; Kloster, Silvia; Ilyina, Tatiana; Archer, Stephen D.; Zhang, Kai; Maier-Reimer, Ernst</t>
  </si>
  <si>
    <t>10.1038/nclimate1981</t>
  </si>
  <si>
    <t>Climate change and decreasing seawater pH (ocean acidification) have widely been considered as uncoupled consequences of the anthropogenic CO2 perturbation. Recently, experiments in seawater enclosures (mesocosms) showed that concentrations of dimethylsulphide (DMS), a biogenic sulphur compound, were markedly lower in a low-pH environment. Marine DMS emissions are the largest natural source of atmospheric sulphur and changes in their strength have the potential to alter the Earth's radiation budget. Here we establish observational-based relationships between pH changes and DMS concentrations to estimate changes in future DMS emissions with Earth system model climate simulations. Global DMS emissions decrease by about 18(±3)% in 2100 compared with pre-industrial times as a result of the combined effects of ocean acidification and climate change. The reduced DMS emissions induce a significant additional radiative forcing, of which 83% is attributed to the impact of ocean acidification, tantamount to an equilibrium temperature response between 0.23 and 0.48 K. Our results indicate that ocean acidification has the potential to exacerbate anthropogenic warming through a mechanism that is not considered at present in projections of future climate change.</t>
  </si>
  <si>
    <t>SPXSEPI8</t>
  </si>
  <si>
    <t>Singer, Peter</t>
  </si>
  <si>
    <t>Animal liberation : a new ethics for our treatment of animals</t>
  </si>
  <si>
    <t>0-394-40096-8</t>
  </si>
  <si>
    <t>1975</t>
  </si>
  <si>
    <t>New York Review</t>
  </si>
  <si>
    <t>EJN3YKGZ</t>
  </si>
  <si>
    <t>Sim, D.; Hilmi, H. A.</t>
  </si>
  <si>
    <t>Forestry Extension Methods</t>
  </si>
  <si>
    <t>92-5-102602-5</t>
  </si>
  <si>
    <t>1987</t>
  </si>
  <si>
    <t>Toulouse School of Economics Working Paper</t>
  </si>
  <si>
    <t>XZCTNA2J</t>
  </si>
  <si>
    <t>Shapiro, Joseph S.; Walker, Reed</t>
  </si>
  <si>
    <t>Why is pollution from US manufacturing declining? The roles of trade, regulation, productivity, and preferences</t>
  </si>
  <si>
    <t>65JJRZFM</t>
  </si>
  <si>
    <t>Sister, Chona; Wolch, Jennifer; Wilson, John</t>
  </si>
  <si>
    <t>Got green? addressing environmental justice in park provision</t>
  </si>
  <si>
    <t>03432521</t>
  </si>
  <si>
    <t>10.1007/s10708-009-9303-8</t>
  </si>
  <si>
    <t>We present a pragmatic approach to assist planners in addressing racial inequities in park access. Utilizing the Los Angeles metropolitan region as an example, we used Thiessen polygons to delineate a service area for each park, and described potential park congestion or ‘pressure' in each park service area. Results show that Latinos, African-Americans, and low-income groups in general were likely to live close to parks with higher potential park congestion. On the other hand, predominantly White, high-income areas were typically located close to parks with lower potential park congestion levels. The park service area analysis presented here facilitates the identification of areas with greater park need and provides a pragmatic way to redress existing disparities in park access. Built into a set of web-based decision support tools, the approach fosters greater community participation and empowers local stakeholders in the process of park provision.</t>
  </si>
  <si>
    <t>4A6GSE52</t>
  </si>
  <si>
    <t>Sills, Erin O.; de Sassi, Claudio; Jagger, Pamela; Lawlor, Kathleen; Miteva, Daniela A.; Pattanayak, Subhrendu K.; Sunderlin, William D.</t>
  </si>
  <si>
    <t>Building the evidence base for REDD+: Study design and methods for evaluating the impacts of conservation interventions on local well-being</t>
  </si>
  <si>
    <t>10.1016/j.gloenvcha.2017.02.002</t>
  </si>
  <si>
    <t>Climate change mitigation in developing countries is increasingly expected to generate co-benefits that help meet sustainable development goals. This has been an expectation and a hotly contested issue in REDD+ (reducing emissions from deforestation and forest degradation) since its inception. While the core purpose of REDD+ is to reduce carbon emissions, its legitimacy and success also depend on its impacts on local well-being. To effectively safeguard against negative impacts, we need to know whether and which well-being outcomes can be attributed to REDD+. Yet, distinguishing the effects of choosing particular locations for REDD+ from the effects of the interventions themselves remains a challenge. The Global Comparative Study (GCS) on REDD+ employed a quasi-experimental before-after-control-intervention (BACI) study design to address this challenge and evaluate the impacts of 16 REDD+ pilots across the tropics. We find that the GCS approach allows identification of control groups that represent the counterfactual, thereby permitting attribution of outcomes to REDD+. The GCS experience belies many of the common critiques of the BACI design, especially concerns about collecting baseline data on control groups. Our findings encourage and validate the early planning and up-front investments required to evaluate the local impacts of global climate change mitigation efforts with confidence. The stakes are high, both for the global environment and for local populations directly affected by those efforts. The standards for evidence should be concomitantly high.</t>
  </si>
  <si>
    <t>148-160</t>
  </si>
  <si>
    <t>2IC7U5YZ</t>
  </si>
  <si>
    <t>Sommerville, Matthew; Milner-Gulland, E. J.; Rahajaharison, Michael; Jones, Julia P. G.</t>
  </si>
  <si>
    <t>Impact of a community-based payment for environmental services intervention on forest use in Menabe, Madagascar</t>
  </si>
  <si>
    <t>1523-1739</t>
  </si>
  <si>
    <t>10.1111/j.1523-1739.2010.01526.x</t>
  </si>
  <si>
    <t>Despite the growing interest in conservation approaches that include payments for environmental services (PES), few evaluations of the influence of such interventions on behaviors of individuals have been conducted. We used self-reported changes in six legal and illegal forest-use behaviors to investigate the way in which a PES for biodiversity conservation intervention in Menabe, Madagascar, influenced behavior. Individuals (n =864) from eight intervention communities and five control communities answered questions on their forest-use behaviors before and after the intervention began, as well as on their reasons for changing and their attitudes to various institutions. The payments had little impact on individuals' reported decisions to change behaviors, but it had a strong impact on individuals' attitudes. Payments appeared to legitimize monitoring of behaviors by the implementing nongovernmental organization (NGO), but did not act as a behavioral driver in their own right. Although there were no clear differences between changes in behaviors in the intervention and control communities, the intervention did influence motivations for change. Fear of local forest associations and the implementing NGO were strong motivators for changing behavior in communities with the PES intervention, whereas fear of the national government was the main reason given for change in control communities. Behavioral changes were most stable where fear of local organizations motivated the change. Our results highlight the interactions between different incentives people face when making behavioral decisions and the importance of considering the full range of incentives when designing community-based PES interventions.</t>
  </si>
  <si>
    <t>1488-98</t>
  </si>
  <si>
    <t>DBCQ74JQ</t>
  </si>
  <si>
    <t>Smith, Stephen C.</t>
  </si>
  <si>
    <t>Ending Global Poverty: A Guide to What Works</t>
  </si>
  <si>
    <t>The Heythrop Journal</t>
  </si>
  <si>
    <t>10.1111/j.1468-2265.2007.00333_57.x</t>
  </si>
  <si>
    <t>Over 800 million people suffer from chronic hunger, and over ten million children die each year from preventable causes. These may seem like overwhelming statistics, but as Stephen Smith shows in this call to arms, global poverty is something that we can and should solve within our lifetimes. Ending Global Poverty explores the various traps that keep people mired in poverty, traps like poor nutrition, illiteracy, lack of access to health care, and others and presents eight keys to escaping these traps. Smith gives readers the tools they need to help people overcome poverty and to determine what approaches are most effective in fighting it. For example, celebrities in commercials who encourage viewers to "adopt" a poor child really seem to care, but will sending money to these organizations do the most good? Smith explains how to make an informed decision. Grass-roots programs and organizations are helping people gain the capabilities they need to escape from poverty and this book highlights many of the most promising of these strategies in some of the poorest countries in the world, explaining what they do and what makes them effective.</t>
  </si>
  <si>
    <t>680</t>
  </si>
  <si>
    <t>Z8R2YVS7</t>
  </si>
  <si>
    <t>Smith, Martin D.; Oglend, Atle; Kirkpatrick, A. Justin; Asche, Frank; Bennear, Lori S.; Craig, J. Kevin; Nance, James M.</t>
  </si>
  <si>
    <t>Seafood prices reveal impacts of a major ecological disturbance</t>
  </si>
  <si>
    <t>10.1073/pnas.1617948114</t>
  </si>
  <si>
    <t>Coastal hypoxia (dissolved oxygen ≤ 2 mg/L) is a growing problem worldwide that threatens marine ecosystem services, but little is known about economic effects on fisheries. Here, we provide evidence that hypoxia causes economic impacts on a major fishery. Ecological studies of hypoxia and marine fauna suggest multiple mechanisms through which hypoxia can skew a population's size distribution toward smaller individuals. These mechanisms produce sharp predictions about changes in seafood markets. Hypoxia is hypothesized to decrease the quantity of large shrimp relative to small shrimp and increase the price of large shrimp relative to small shrimp. We test these hypotheses using time series of size-based prices. Naive quantity-based models using treatment/control comparisons in hypoxic and nonhypoxic areas produce null results, but we find strong evidence of the hypothesized effects in the relative prices: Hypoxia increases the relative price of large shrimp compared with small shrimp. The effects of fuel prices provide supporting evidence. Empirical models of fishing effort and bioeconomic simulations explain why quantifying effects of hypoxia on fisheries using quantity data has been inconclusive. Specifically, spatial-dynamic feedbacks across the natural system (the fish stock) and human system (the mobile fishing fleet) confound "treated" and "control" areas. Consequently, analyses of price data, which rely on a market counterfactual, are able to reveal effects of the ecological disturbance that are obscured in quantity data. Our results are an important step toward quantifying the economic value of reduced upstream nutrient loading in the Mississippi Basin and are broadly applicable to other coupled human-natural systems.</t>
  </si>
  <si>
    <t>BTPZ6YPL</t>
  </si>
  <si>
    <t>Smith, V. Kerry</t>
  </si>
  <si>
    <t>Estimating Economic Values for Nature: Methods for Non-market Valuation</t>
  </si>
  <si>
    <t>Edward Elgar Pub</t>
  </si>
  <si>
    <t>Y7AJDIFM</t>
  </si>
  <si>
    <t>Smit, Barry; Pilifosova, Olga; Burton, I.; Challenger, B.; Huq, S.; Klein, R.; Yohe, G.</t>
  </si>
  <si>
    <t>Adaptation to Climate Change in the Context of Sustainable Development and Equity 18</t>
  </si>
  <si>
    <t>Climate change 2001: impacts, adaptation and vulnerability. IPCC Working Group II</t>
  </si>
  <si>
    <t>877-912</t>
  </si>
  <si>
    <t>McCarthy, J. J.; Canziani, O.; Leary, N. A.; Dokken, D. J.; White, K. S.</t>
  </si>
  <si>
    <t>U3CZSKVI</t>
  </si>
  <si>
    <t>Starrett, David A.</t>
  </si>
  <si>
    <t>Property Rights, Public Goods and the Environment</t>
  </si>
  <si>
    <t>Handbook of Environmental Economics</t>
  </si>
  <si>
    <t>Elsevier Science</t>
  </si>
  <si>
    <t>Maler, K. G.; Vincent, Jeff</t>
  </si>
  <si>
    <t>VAC39AGC</t>
  </si>
  <si>
    <t>Srebotnjak, Tanja; Carr, Genevieve; De Sherbinin, Alexander; Rickwood, Carrie</t>
  </si>
  <si>
    <t>Water is an essential resource for life on Earth and available freshwater resources are emerging as a limiting factor not only in quantity but also in quality for human development and ecological stability in a growing number of locations. Water quality is a significant criterion in matching water demand and supply. Securing adequate freshwater quality for both human and ecological needs is thus an important aspect of integrated environmental management and sustainable development. The 2008 Environmental Performance Index (EPI) published by the Yale Center for Environmental Law and Policy (YCELP) and the Center for International Earth Science Information Network (CIESIN) at Columbia University includes a Water Quality Index (WATQI). The WATQI provides a first global effort at reporting and estimating water quality on the basis of five commonly reported quality parameters: dissolved oxygen, electrical conductivity, pH value, and total nitrogen and phosphorus concentrations. This paper explains the motivation and methodology of the EPI WATQI and demonstrates how hot-deck imputation of missing values can expand its geographical coverage and better inform decision-makers on the types and extents of water quality problems in the context of limited globally comparable water quality monitoring data. © 2011 Elsevier Ltd. All rights reserved.</t>
  </si>
  <si>
    <t>VFM3VC2V</t>
  </si>
  <si>
    <t>Spraggon, John</t>
  </si>
  <si>
    <t>Testing ambient pollution instruments with heterogeneous agents</t>
  </si>
  <si>
    <t>10.1016/j.jeem.2003.11.006</t>
  </si>
  <si>
    <t>This paper investigates the ability of ambient pollution instruments to induce a group of heterogeneous agents to choose a target outcome. Six controlled laboratory sessions were conducted with heterogeneous agents facing ambient pollution instruments with lumpsum or proportional fines and bonuses. Sessions are compared with a study of these exogenous targeting instruments and homogeneous agents using complete information and certainty (J. Public Econ. 84 (2) (2002) 427). The data show that contracts can indeed be developed that induce heterogeneous groups to choose the target outcome; however, substantial inefficiency and inequality were observed. © 2003 Elsevier Inc. All rights reserved.</t>
  </si>
  <si>
    <t>837-856</t>
  </si>
  <si>
    <t>XT6CYXI5</t>
  </si>
  <si>
    <t>Spiegel, Samuel J.</t>
  </si>
  <si>
    <t>Governance Institutions, Resource Rights Regimes, and the Informal Mining Sector: Regulatory Complexities in Indonesia</t>
  </si>
  <si>
    <t>10.1016/j.worlddev.2011.05.015</t>
  </si>
  <si>
    <t>This study examines how shifting resource governance regimes affect labor inequities in the small-scale mining sector in Indonesia. It focuses on the implications of governance " decentralization" processes and mining regulation reforms for indigenous and migrant populations who rely on informal (unlicensed) mining for income in Central Kalimantan. While the findings illustrate the territorially uneven impacts of recent reforms, they highlight how dominant paradigms that prioritize the enforcement of property rights schemes have contributed to problems of livelihood insecurity and poor environmental governance. The article urges for more nuanced attention to contested articulations of power as well as local resource rights and institutional arrangements to assist rural communities in reversing marginalization. © 2011 Elsevier Ltd.</t>
  </si>
  <si>
    <t>39Y3S8LU</t>
  </si>
  <si>
    <t>Squires, Victor R.; Glenn, E. P.</t>
  </si>
  <si>
    <t>Salination, Desertification and Soil Erosion</t>
  </si>
  <si>
    <t>The role of food, agriculture, forestry and fisheries in human nutrition / Volume 3.</t>
  </si>
  <si>
    <t>1-84826-586-7</t>
  </si>
  <si>
    <t>Eolss Publishers Co Ltd</t>
  </si>
  <si>
    <t>Squires, Victor R.</t>
  </si>
  <si>
    <t>X6WIWAR4</t>
  </si>
  <si>
    <t>Exogenous targeting instruments as a solution to group moral hazards</t>
  </si>
  <si>
    <t>00472727</t>
  </si>
  <si>
    <t>10.1016/S0047-2727(01)00088-3</t>
  </si>
  <si>
    <t>The ability of four instruments within the general class of exogenous targeting instruments, proposed by Segerson [Journal of Environmental Economic Management 15 (1988) 87], to induce socially optimal outcomes in a group moral hazard environment is investigated in an experiment based on Nalbantian and Schotter [American Economic Review 87 (1997) 314]. Both instruments based on the Holmstrom [Bell Journal of Economics 13 (1982) 324] forcing contract with multiple equilibria, and instruments based on the Segerson study with unique equilibria are tested. My result - that instruments can be designed that mitigate the moral hazard problem at the aggregate level - is a significant advance on the result of Nalbantian and Schotter - that costly monitoring or competitive teams are required to solve the moral hazard problem. It is shown that this result is robust to uncertainty as well as experience. However, none of the instruments insures compliance at the individual level, and as a result hefty fines may be accrued by individuals even when they choose the socially optimal action. © 2002 Elsevier Science B.V. All rights reserved.</t>
  </si>
  <si>
    <t>427-456</t>
  </si>
  <si>
    <t>Y3JSPNUM</t>
  </si>
  <si>
    <t>Stedman, Richard C.</t>
  </si>
  <si>
    <t>Toward a Social Psychology of Place: Predicting Behavior from Place-Based Cognitions, Attitude, and Identity</t>
  </si>
  <si>
    <t>Environment and Behavior</t>
  </si>
  <si>
    <t>0013-9165</t>
  </si>
  <si>
    <t>10.1177/0013916502034005001</t>
  </si>
  <si>
    <t>Sense-of-place writings have proliferated in recent years, yet research suffers from a relative lack of construct clarity and hypothesis testing. This research presents a model of sense of place based in conventional social psychology: cognitions, attitudes, identities, and behavioral intentions located in and fundamentally about place. A survey of property owners in Vilas County, Wisconsin, revealed the importance of symbolic meanings as underpinning both place satisfaction, conceptualized as an attitude toward a setting, and attachment, conceptualized as personal identification with a setting. In turn, attachment, satisfaction, and meanings all have independent effects on willingness to engage in behaviors that maintain or enhance valued attributes of the setting.</t>
  </si>
  <si>
    <t>2002-09</t>
  </si>
  <si>
    <t>561-581</t>
  </si>
  <si>
    <t>8IFJLP4F</t>
  </si>
  <si>
    <t>SPI</t>
  </si>
  <si>
    <t>Social Progress Index 2017</t>
  </si>
  <si>
    <t>M.E. Porter and S. Stern with M. Green. Social Progress Imperative organization</t>
  </si>
  <si>
    <t>Green, M. E. Porter; M, S. Stern with</t>
  </si>
  <si>
    <t>FYM6Y298</t>
  </si>
  <si>
    <t>Bloom, David E.; Canning, David; Fink, Günther</t>
  </si>
  <si>
    <t>Urbanization and the wealth of nations</t>
  </si>
  <si>
    <t>10.1126/science.1153057</t>
  </si>
  <si>
    <t>2022-09-23 09:10:16</t>
  </si>
  <si>
    <t>2022-09-23T09:10:16Z</t>
  </si>
  <si>
    <t>772-775</t>
  </si>
  <si>
    <t>LLC8CN99</t>
  </si>
  <si>
    <t>Blomquist, William</t>
  </si>
  <si>
    <t>Getting out of the commons trap: Variables, process, and results in four groundwater basins</t>
  </si>
  <si>
    <t>Social Science Perspectives Journal</t>
  </si>
  <si>
    <t>16-44</t>
  </si>
  <si>
    <t>A9T5G4CZ</t>
  </si>
  <si>
    <t>Boakes, Elizabeth H.; Mace, Georgina M.; McGowan, Philip J. K.; Fuller, Richard A.</t>
  </si>
  <si>
    <t>Extreme contagion in global habitat clearance</t>
  </si>
  <si>
    <t>Proceedings of the Royal Society of London B: Biological Sciences</t>
  </si>
  <si>
    <t>10.1098/rspb.2009.1771</t>
  </si>
  <si>
    <t>2022-09-23 09:01:28</t>
  </si>
  <si>
    <t>2022-09-23T09:01:28Z</t>
  </si>
  <si>
    <t>1081-1085</t>
  </si>
  <si>
    <t>TCJXASAU</t>
  </si>
  <si>
    <t>newspaperArticle</t>
  </si>
  <si>
    <t>Blinder, Alan</t>
  </si>
  <si>
    <t>Aimed at Zika Mosquitoes, Spray Kills Millions of Honeybees</t>
  </si>
  <si>
    <t>https://www.nytimes.com/2016/09/02/us/south-carolina-pesticide-kills-bees.html</t>
  </si>
  <si>
    <t>NFCYH3RH</t>
  </si>
  <si>
    <t>Bonilla-Silva, Eduardo</t>
  </si>
  <si>
    <t>Racism without racists: Color-blind racism &amp; racial inequality in contemporary American</t>
  </si>
  <si>
    <t>Rowan &amp; Littlefield</t>
  </si>
  <si>
    <t>Maryland</t>
  </si>
  <si>
    <t>AZJLJ8MB</t>
  </si>
  <si>
    <t>Bollen, A.; Ozinga, S.</t>
  </si>
  <si>
    <t>Improving forest governance: A comparison of FLEGT VPAs and their impact</t>
  </si>
  <si>
    <t>978-1-906607-28-9</t>
  </si>
  <si>
    <t>FERN</t>
  </si>
  <si>
    <t>Brussels/London</t>
  </si>
  <si>
    <t>HLYKTAE6</t>
  </si>
  <si>
    <t>Bolin, Bob; Kurtz, Liza C.</t>
  </si>
  <si>
    <t>Race, Class, Ethnicity, and Disaster Vulnerability</t>
  </si>
  <si>
    <t>181-203</t>
  </si>
  <si>
    <t>4YKHAYUR</t>
  </si>
  <si>
    <t>Bongiovanni, Rodolfo; Lowenberg-DeBoer, Jess</t>
  </si>
  <si>
    <t>Precision agriculture and sustainability</t>
  </si>
  <si>
    <t>Precision agriculture</t>
  </si>
  <si>
    <t>1385-2256</t>
  </si>
  <si>
    <t>10.1023/B:PRAG.0000040806.39604.aa</t>
  </si>
  <si>
    <t>359-387</t>
  </si>
  <si>
    <t>FUFFK4NU</t>
  </si>
  <si>
    <t>Blaser, Mario; Feit, Harvey A.; McRae, Glenn</t>
  </si>
  <si>
    <t>In the way of development: Indigenous peoples, life projects, and globalization</t>
  </si>
  <si>
    <t>Idrc</t>
  </si>
  <si>
    <t>LKWYQIUE</t>
  </si>
  <si>
    <t>Blake, David J. H.; Barney, Keith</t>
  </si>
  <si>
    <t>Structural Injustice, Slow Violence? The Political Ecology of a “Best Practice” Hydropower Dam in Lao PDR</t>
  </si>
  <si>
    <t>Journal of Contemporary Asia</t>
  </si>
  <si>
    <t>0047-2336</t>
  </si>
  <si>
    <t>10.1080/00472336.2018.1482560</t>
  </si>
  <si>
    <t>https://doi.org/10.1080/00472336.2018.1482560</t>
  </si>
  <si>
    <t>2018-10</t>
  </si>
  <si>
    <t>808-834</t>
  </si>
  <si>
    <t>KQ2SZD9N</t>
  </si>
  <si>
    <t>Brown, Karida L.; Murphy, Michael W.; Porcelli, Apollonya M.</t>
  </si>
  <si>
    <t>Ruin's Progeny: Race, Environment, and Appalachia's Coal Camp Blacks</t>
  </si>
  <si>
    <t>Du Bois Review: Social Science Research on Race</t>
  </si>
  <si>
    <t>10.1017/S1742058X16000138</t>
  </si>
  <si>
    <t>2022-09-23 09:11:10</t>
  </si>
  <si>
    <t>2022-09-23T09:11:10Z</t>
  </si>
  <si>
    <t>327-344</t>
  </si>
  <si>
    <t>L95PL67P</t>
  </si>
  <si>
    <t>Brown, Katrina</t>
  </si>
  <si>
    <t>Three challenges for a real people-centred conservation</t>
  </si>
  <si>
    <t>Global Ecology and Biogeography</t>
  </si>
  <si>
    <t>10.1046/j.1466-822X.2003.00327.x</t>
  </si>
  <si>
    <t>2022-09-23 09:09:40</t>
  </si>
  <si>
    <t>2022-09-23T09:09:40Z</t>
  </si>
  <si>
    <t>89-92</t>
  </si>
  <si>
    <t>VYX46ADN</t>
  </si>
  <si>
    <t>Brunel, Claire</t>
  </si>
  <si>
    <t>Pollution offshoring and emission reductions in EU and US manufacturing</t>
  </si>
  <si>
    <t>10.1007/s10640-016-0035-1</t>
  </si>
  <si>
    <t>2022-09-23 09:07:48</t>
  </si>
  <si>
    <t>2022-09-23T09:07:48Z</t>
  </si>
  <si>
    <t>621-641</t>
  </si>
  <si>
    <t>M5NDECSI</t>
  </si>
  <si>
    <t>Buda Arango, G.; Trench, T.; Durand, L.</t>
  </si>
  <si>
    <t>El aprovechamiento de palma camedor en la Selva Lacandona, Chiapas, México:¿ Conservación con desarrollo?</t>
  </si>
  <si>
    <t>Estudios sociales (Hermosillo, Son.)</t>
  </si>
  <si>
    <t>2022-09-23 09:04:38</t>
  </si>
  <si>
    <t>2022-09-23T09:04:38Z</t>
  </si>
  <si>
    <t>200-223</t>
  </si>
  <si>
    <t>CQFI8S8F</t>
  </si>
  <si>
    <t>Budiharta, Sugeng; Meijaard, Erik; Gaveau, David L. A.; Struebig, Matthew J.; Wilting, Andreas; Kramer-Schadt, Stephanie; Niedballa, Jürgen; Raes, Niels; Maron, Martine; Wilson, Kerrie A.</t>
  </si>
  <si>
    <t>Restoration to offset the impacts of developments at a landscape scale reveals opportunities, challenges and tough choices</t>
  </si>
  <si>
    <t>10.1016/j.gloenvcha.2018.07.008</t>
  </si>
  <si>
    <t>2022-09-23 09:00:11</t>
  </si>
  <si>
    <t>2022-09-23T09:00:11Z</t>
  </si>
  <si>
    <t>152-161</t>
  </si>
  <si>
    <t>QHDMAP53</t>
  </si>
  <si>
    <t>Brown, Joe; Hamoudi, Amar; Jeuland, Marc; Turrini, Gina</t>
  </si>
  <si>
    <t>Seeing, believing, and behaving: Heterogeneous effects of an information intervention on household water treatment</t>
  </si>
  <si>
    <t>http://dx.doi.org/10.1016/j.jeem.2016.08.005</t>
  </si>
  <si>
    <t>Providing information about environmental health risks only sometimes induces protective action. This raises questions about whether and how risk information is understood and acted upon, and how responses vary across contexts. To characterize such variation, we stratified a randomized experiment related to household water quality across two periurban areas in Cambodia. When we showed specific evidence of water contamination to lower-SES households who were initially more optimistic about water safety, they altered their beliefs about health risk and increased their demand for a treatment product. However, demand for the treatment product among higher and initially more pessimistic SES households did not change significantly. These findings highlight the importance of better understanding heterogeneity in the specific drivers of responses to health risk information.</t>
  </si>
  <si>
    <t>1–171</t>
  </si>
  <si>
    <t>TMHTYFMG</t>
  </si>
  <si>
    <t>Buck, Jennifer M.</t>
  </si>
  <si>
    <t>Reframing the House: Constructive Feminist Global Ecclesiology for the Western Evangelical Church</t>
  </si>
  <si>
    <t>1-4982-7883-3</t>
  </si>
  <si>
    <t>Wipf and Stock Publishers</t>
  </si>
  <si>
    <t>IEU4AQGZ</t>
  </si>
  <si>
    <t>Brownlee, Jason</t>
  </si>
  <si>
    <t>Authoritarianism in an Age of Democratization</t>
  </si>
  <si>
    <t>SZA5KEYL</t>
  </si>
  <si>
    <t>Brown, Oli; Keating, Michael</t>
  </si>
  <si>
    <t>Addressing Natural Resource Conflicts Working Towards More Effective Resolution of National and Sub-National Resource Disputes</t>
  </si>
  <si>
    <t>BSCJX88F</t>
  </si>
  <si>
    <t>The Black metropolis in the twenty-first century : race, power, and politics of place</t>
  </si>
  <si>
    <t>0-7425-4329-3</t>
  </si>
  <si>
    <t>This book brings together key essays that seek to make visible and expand our understanding of the role of government (policies, programs, and investments) in shaping cities and metropolitan regions; the costs and consequences of uneven urban and regional growth patterns; suburban sprawl and public health, transportation, and economic development; and the enduring connection of place, space, and race in the era of increased globalization. Whether intended or unintended, many government policies (housing, transportation, land use, environmental, economic development, education, etc.) have aided. Introduction: The significance of race and place / Robert D. Bullard – The Black metropolis in the era of sprawl / Robert D. Bullard – Structural racism and spatial Jim Crow / John A. Powell – Residential apartheid America style / Joe T. Darden – Dilemma of place and suburbanization of the Black middle class / Sheryll Cashin – Walling in or walling out : gated communities / Edward J. Blakely and Thomas W. Sanchez – Spatial mismatch and job sprawl / Michael A. Stoll – Atlanta : a Black mecca? / Robert D. Bullard, Glenn S. Johnson, and Angel O. Torres – Black New Orleans : before and after Hurricane Katrina / Beverly H. Wright and Robert D. Bullard – Health disparities in Black Los Angeles / J. Eugene Grigsby III – Black political power in the new century / David A. Bositis – Achieving equitable development / Angela Glover Blackwell.</t>
  </si>
  <si>
    <t>Rowman &amp; Littlefield</t>
  </si>
  <si>
    <t>I75G3ACC</t>
  </si>
  <si>
    <t>Altieri, Andrew H.; Harrison, Seamus B.; Seemann, Janina; Collin, Rachel; Diaz, Robert J.; Knowlton, Nancy</t>
  </si>
  <si>
    <t>Tropical dead zones and mass mortalities on coral reefs.</t>
  </si>
  <si>
    <t>http://www.ncbi.nlm.nih.gov/pubmed/28320966http://www.pubmedcentral.nih.gov/articlerender.fcgi?artid=PMC5389270</t>
  </si>
  <si>
    <t>Degradation of coastal water quality in the form of low dissolved oxygen levels (hypoxia) can harm biodiversity, ecosystem function, and human wellbeing. Extreme hypoxic conditions along the coast, leading to what are often referred to as "dead zones," are known primarily from temperate regions. However, little is known about the potential threat of hypoxia in the tropics, even though the known risk factors, including eutrophication and elevated temperatures, are common. Here we document an unprecedented hypoxic event on the Caribbean coast of Panama and assess the risk of dead zones to coral reefs worldwide. The event caused coral bleaching and massive mortality of corals and other reef-associated organisms, but observed shifts in community structure combined with laboratory experiments revealed that not all coral species are equally sensitive to hypoxia. Analyses of global databases showed that coral reefs are associated with more than half of the known tropical dead zones worldwide, with &gt;10% of all coral reefs at elevated risk for hypoxia based on local and global risk factors. Hypoxic events in the tropics and associated mortality events have likely been underreported, perhaps by an order of magnitude, because of the lack of local scientific capacity for their detection. Monitoring and management plans for coral reef resilience should incorporate the growing threat of coastal hypoxia and include support for increased detection and research capacity.</t>
  </si>
  <si>
    <t>2022-09-23 06:29:16</t>
  </si>
  <si>
    <t>2022-09-23T06:29:16Z</t>
  </si>
  <si>
    <t>3660-3665</t>
  </si>
  <si>
    <t>3RBPK8S3</t>
  </si>
  <si>
    <t>Alvarez-Berríos, Nora L.; Aide, T. Mitchell</t>
  </si>
  <si>
    <t>Global demand for gold is another threat for tropical forests</t>
  </si>
  <si>
    <t>10.1088/1748-9326/10/1/014006</t>
  </si>
  <si>
    <t>https://doi.org/10.1088%2F1748-9326%2F10%2F1%2F014006</t>
  </si>
  <si>
    <t>The current global gold rush, driven by increasing consumption in developing countries and uncertainty in financial markets, is an increasing threat for tropical ecosystems. Gold mining causes significant alteration to the environment, yet mining is often overlooked in deforestation analyses because it occupies relatively small areas. As a result, we lack a comprehensive assessment of the spatial extent of gold mining impacts on tropical forests. In this study, we provide a regional assessment of gold mining deforestation in the tropical moist forest biome of South America. Specifically, we analyzed the patterns of forest change in gold mining sites between 2001 and 2013, and evaluated the proximity of gold mining deforestation to protected areas (PAs). The forest cover maps were produced using the Land Mapper web application and images from the MODIS satellite MOD13Q1 vegetation indices 250 m product. Annual maps of forest cover were used to model the incremental change in forest in ∼1600 potential gold mining sites between 2001–2006 and 2007–2013. Approximately 1680 km2 of tropical moist forest was lost in these mining sites between 2001 and 2013. Deforestation was significantly higher during the 2007–2013 period, and this was associated with the increase in global demand for gold after the international financial crisis. More than 90% of the deforestation occurred in four major hotspots: Guianan moist forest ecoregion (41%), Southwest Amazon moist forest ecoregion (28%), Tapajós–Xingú moist forest ecoregion (11%), and Magdalena Valley montane forest and Magdalena–Urabá moist forest ecoregions (9%). In addition, some of the more active zones of gold mining deforestation occurred inside or within 10 km of ∼32 PAs. There is an urgent need to understand the ecological and social impacts of gold mining because it is an important cause of deforestation in the most remote forests in South America, and the impacts, particularly in aquatic systems, spread well beyond the actual mining sites.</t>
  </si>
  <si>
    <t>2020-02-05 09:29:01</t>
  </si>
  <si>
    <t>014006</t>
  </si>
  <si>
    <t>Institute of Physics</t>
  </si>
  <si>
    <t>D9QB262X</t>
  </si>
  <si>
    <t>Alverson, Keith</t>
  </si>
  <si>
    <t>Vulnerability, impacts, and adaptation to sea level rise: Taking an ecosystem-based approach</t>
  </si>
  <si>
    <t>231-235</t>
  </si>
  <si>
    <t>2YRYNJ9Y</t>
  </si>
  <si>
    <t>AMAP</t>
  </si>
  <si>
    <t>AMAP Assessment 2018: Biological Effects of Contaminants on Arctic Wildlife and Fish Key Messages</t>
  </si>
  <si>
    <t>ZZULHVI6</t>
  </si>
  <si>
    <t>Arctic Climate Issues 2011: Changes in Arctic Snow, Water, Ice and Permafrost</t>
  </si>
  <si>
    <t>SWIPA 2011</t>
  </si>
  <si>
    <t>MTNXBFNY</t>
  </si>
  <si>
    <t>Altieri, Miguel A.; Funes-Monzote, Fernando R.; Petersen, Paulo</t>
  </si>
  <si>
    <t>Agroecologically efficient agricultural systems for smallholder farmers: Contributions to food sovereignty</t>
  </si>
  <si>
    <t>1-359-30110-0</t>
  </si>
  <si>
    <t>The realization of the contribution of peasant agriculture to food security in the midst of scenarios of climate change, economic and energy crisis, led to the concepts of food sovereignty and agroecologically based production systems to gain much attention in the developing world in the last two decades. New approaches and technologies involving application of blended modern agricultural science and indigenous knowledge systems and spearheaded by thousands of farmers, NGOs, and some government and academic institutions are proving to enhance food security while conserving agrobiodiversity soil and water resources conservation throughout hundreds of rural communities in the developing world. Case studies from Cuba, Brazil, Philippines, and Africa are presented to demonstrate how the agroecological development paradigm based on the revitalization of small farms which emphasizes diversity, synergy, recycling and integration, and social processes that value community participation and empowerment, proves to be perhaps one of the only viable options to meet present and future food needs. Given the present and predicted near future climate, energy and economic scenarios, agroecology has emerged as one of the most robust pathways towards designing biodiverse, productive, and resilient agroecosystems available today.</t>
  </si>
  <si>
    <t>2EXS3J86</t>
  </si>
  <si>
    <t>Altieri, Miguel A.</t>
  </si>
  <si>
    <t>Agroecology: the science of sustainable agriculture</t>
  </si>
  <si>
    <t>4LSZ3FM5</t>
  </si>
  <si>
    <t>Alpízar, Francisco; Cárdenas, Juan Camilo</t>
  </si>
  <si>
    <t>Field Experiments and Development Economics BT - Experimental Economics: Volume II: Economic Applications</t>
  </si>
  <si>
    <t>978-1-137-53816-1</t>
  </si>
  <si>
    <t>https://doi.org/10.1057/9781137538161_10</t>
  </si>
  <si>
    <t>In this chapter we discuss field experiments in the context of development economics. Given that field experiments are addressed in this chapter for the first time in the book, we start by defining them. Experimental economics was born fundamentally out of laboratory experiments, so it is natural to build our definition based on the existing difference between field and laboratory experiments.</t>
  </si>
  <si>
    <t>182-196</t>
  </si>
  <si>
    <t>Branas-Garza, Pablo; Cabrales, Antonio</t>
  </si>
  <si>
    <t>7AM3V75P</t>
  </si>
  <si>
    <t>Alpízar, Francisco; Requate, Till; Schram, Albert</t>
  </si>
  <si>
    <t>Collective versus random fining: An experimental study on controlling ambient pollution</t>
  </si>
  <si>
    <t>09246460</t>
  </si>
  <si>
    <t>10.1023/B:EARE.0000044608.66145.0c</t>
  </si>
  <si>
    <t>This paper presents an experimental study of two different pollution compliance games: collective vis-à-vis random fining as a means to regulate non-point pollution. Using samples from both Costa Rican coffee mill managers and Costa Rican students, we find that the two games perform equivalently but, although they lead to efficient outcomes through Nash play in the majority of cases, the observed frequency of Nash play is lower than theoretically predicted. Moreover, we reject the hypothesis that managers and students behave equally. Off the equilibrium, managers tend to over-abate, whereas students tend to under-abate. This result suggests the importance of considering subject pool differences in the evaluation of environmental policies by means of experiments, particularly if those policies involve certain forms of management decisions.</t>
  </si>
  <si>
    <t>231-252</t>
  </si>
  <si>
    <t>LEQH572G</t>
  </si>
  <si>
    <t>Álvarez-Farizo, Begoña; Hanley, Nick; Barberán, Ramón; Lázaro, Angelina</t>
  </si>
  <si>
    <t>Choice modeling at the “ market stall ” : Individual versus collective interest in environmental valuation</t>
  </si>
  <si>
    <t>10.1016/j.ecolecon.2006.01.009</t>
  </si>
  <si>
    <t>743-751</t>
  </si>
  <si>
    <t>AAZWKJYJ</t>
  </si>
  <si>
    <t>Liu, Jun; Mauzerall, Denise L.; Chen, Qi; Zhang, Qiang; Song, Yu; Peng, Wei; Klimont, Zbigniew; Qiu, Xinghua; Zhang, Shiqiu; Hu, Min; Others</t>
  </si>
  <si>
    <t>Air pollutant emissions from Chinese households: A major and underappreciated ambient pollution source</t>
  </si>
  <si>
    <t>10.1073/pnas.1604537113</t>
  </si>
  <si>
    <t>2022-09-23 09:13:21</t>
  </si>
  <si>
    <t>2022-09-23T09:13:21Z</t>
  </si>
  <si>
    <t>7756-7761</t>
  </si>
  <si>
    <t>XW427U2B</t>
  </si>
  <si>
    <t>McKean, Margaret A.</t>
  </si>
  <si>
    <t>Designing New Common Property Regimes for New Landscape Futures</t>
  </si>
  <si>
    <t>http://hdl.handle.net/10535/5352</t>
  </si>
  <si>
    <t>"It is conventional to think of common property regimes that are devised by communities who use certain natural resources in common as very traditional social institutions dependent on considerable face-to-fact contact for enforcement, and therefore as unlikely to work in industrialized or commercialized settings. However, I would like us to examine common property regimes as complex systems of reorganizing the strands in the classic bundle of property rights, and to consider the possibility that this re-allocation of strands — reallocation of particular rights, of streams of benefits, of responsibilities for oversight — is exactly what we are finding we must do wherever we face environmental externalities. It does not matter whether the environmental externalities occur in hunter-gatherer societies or in self-contained agricultural settlements or in dense industrial urban settings. In comparing some of the traditional long-lasting and successful common property regimes to new attempts at environmental regulation, we may be able to identify crucial weaknesses or imagine new remedies in our contemporary efforts."</t>
  </si>
  <si>
    <t>2022-09-23 09:12:48</t>
  </si>
  <si>
    <t>2022-09-23T09:12:48Z</t>
  </si>
  <si>
    <t>International Symposium on Landscape Futures</t>
  </si>
  <si>
    <t>TDUTLUQB</t>
  </si>
  <si>
    <t>McKay, J.</t>
  </si>
  <si>
    <t>Development:“Good Governance” or Development for the Greater Good</t>
  </si>
  <si>
    <t>The Sage Handbook of Globalization, Sage, Los Angeles, CA</t>
  </si>
  <si>
    <t>10.4135/9781473906020.n30</t>
  </si>
  <si>
    <t>2022-09-23 09:12:41</t>
  </si>
  <si>
    <t>2022-09-23T09:12:41Z</t>
  </si>
  <si>
    <t>505-523</t>
  </si>
  <si>
    <t>WF3PWLD6</t>
  </si>
  <si>
    <t>Messer, Kent D.</t>
  </si>
  <si>
    <t>Protecting endangered species: When are shoot-on-sight policies the only viable option to stop poaching?</t>
  </si>
  <si>
    <t>10.1016/j.ecolecon.2010.06.017</t>
  </si>
  <si>
    <t>2022-09-23 09:11:25</t>
  </si>
  <si>
    <t>2022-09-23T09:11:25Z</t>
  </si>
  <si>
    <t>2334-2340</t>
  </si>
  <si>
    <t>D7GDIB29</t>
  </si>
  <si>
    <t>Mather, Alexander S.</t>
  </si>
  <si>
    <t>Recent Asian forest transitions in relation to forest-transition theory</t>
  </si>
  <si>
    <t>10.1505/ifor.9.1.491</t>
  </si>
  <si>
    <t>491-502</t>
  </si>
  <si>
    <t>D27VSPAS</t>
  </si>
  <si>
    <t>McGuire, Martin C.; Olson, Mancur</t>
  </si>
  <si>
    <t>The economics of autocracy and majority rule: the invisible hand and the use of force</t>
  </si>
  <si>
    <t>Journal of economic literature</t>
  </si>
  <si>
    <t>2022-09-23 09:11:06</t>
  </si>
  <si>
    <t>2022-09-23T09:11:06Z</t>
  </si>
  <si>
    <t>72-96</t>
  </si>
  <si>
    <t>XMP3B3XD</t>
  </si>
  <si>
    <t>McKean, Margaret A.; Cox, Thomas R.</t>
  </si>
  <si>
    <t>The Japanese experience with scarcity: Management of traditional common lands</t>
  </si>
  <si>
    <t>Environmental Review: ER</t>
  </si>
  <si>
    <t>10.2307/3984155</t>
  </si>
  <si>
    <t>1982</t>
  </si>
  <si>
    <t>2022-09-23 09:11:03</t>
  </si>
  <si>
    <t>2022-09-23T09:11:03Z</t>
  </si>
  <si>
    <t>63-91</t>
  </si>
  <si>
    <t>9XZUDYDK</t>
  </si>
  <si>
    <t>Meadows, Donella H.; Meadows, Dennis L.; Randers, Jorgen; Behrens, William W.</t>
  </si>
  <si>
    <t>The limits to growth</t>
  </si>
  <si>
    <t>2022-09-23 09:10:54</t>
  </si>
  <si>
    <t>2022-09-23T09:10:54Z</t>
  </si>
  <si>
    <t>27</t>
  </si>
  <si>
    <t>B43JIV69</t>
  </si>
  <si>
    <t>McLeod, Karen; Leslie, Heather</t>
  </si>
  <si>
    <t>Why Ecosystem-Based Management?</t>
  </si>
  <si>
    <t>Ecosystem-Based management for the Oceans</t>
  </si>
  <si>
    <t>2022-09-23 09:10:44</t>
  </si>
  <si>
    <t>2022-09-23T09:10:44Z</t>
  </si>
  <si>
    <t>I6NIFRI7</t>
  </si>
  <si>
    <t>Maguire, Lynn A.; Justus, James</t>
  </si>
  <si>
    <t>Why intrinsic value is a poor basis for conservation decisions</t>
  </si>
  <si>
    <t>10.1641/B581002</t>
  </si>
  <si>
    <t>2022-09-23 09:10:28</t>
  </si>
  <si>
    <t>2022-09-23T09:10:28Z</t>
  </si>
  <si>
    <t>910-911</t>
  </si>
  <si>
    <t>JGAJVALI</t>
  </si>
  <si>
    <t>Meyers, Mandara</t>
  </si>
  <si>
    <t>(Un)Equal Protection for the Poor: Exclusionary Zoning and the Need for Stricter Scrutiny</t>
  </si>
  <si>
    <t>Journal of Constitutional Law</t>
  </si>
  <si>
    <t>2022-09-23 09:10:09</t>
  </si>
  <si>
    <t>2022-09-23T09:10:09Z</t>
  </si>
  <si>
    <t>349-376</t>
  </si>
  <si>
    <t>KY9CSJTP</t>
  </si>
  <si>
    <t>Locatelli, Bruno; Catterall, Carla P.; Imbach, Pablo; Kumar, Chetan; Lasco, Rodel; Marín‐Spiotta, Erika; Mercer, Bernard; Powers, Jennifer S.; Schwartz, Naomi; Uriarte, Maria</t>
  </si>
  <si>
    <t>Tropical reforestation and climate change: beyond carbon</t>
  </si>
  <si>
    <t>10.1111/rec.12209</t>
  </si>
  <si>
    <t>2022-09-23 09:10:05</t>
  </si>
  <si>
    <t>2022-09-23T09:10:05Z</t>
  </si>
  <si>
    <t>337-343</t>
  </si>
  <si>
    <t>M3MVYI2F</t>
  </si>
  <si>
    <t>McDermott, Constance L.</t>
  </si>
  <si>
    <t>Trust, legitimacy and power in forest certification: A case study of the FSC in British Columbia</t>
  </si>
  <si>
    <t>10.1016/j.geoforum.2011.11.002</t>
  </si>
  <si>
    <t>2022-09-23 09:09:58</t>
  </si>
  <si>
    <t>2022-09-23T09:09:58Z</t>
  </si>
  <si>
    <t>634-644</t>
  </si>
  <si>
    <t>54KDFF42</t>
  </si>
  <si>
    <t>McMichael, Anthony J.</t>
  </si>
  <si>
    <t>The urban environment and health in a world of increasing globalization: issues for developing countries</t>
  </si>
  <si>
    <t>Bulletin of the World Health Organization</t>
  </si>
  <si>
    <t>2022-09-23 09:09:47</t>
  </si>
  <si>
    <t>2022-09-23T09:09:47Z</t>
  </si>
  <si>
    <t>1117-1126</t>
  </si>
  <si>
    <t>7LLWR9CL</t>
  </si>
  <si>
    <t>McGranahan, Gordon; Balk, Deborah; Anderson, Bridget</t>
  </si>
  <si>
    <t>The rising tide: assessing the risks of climate change and human settlements in low elevation coastal zones</t>
  </si>
  <si>
    <t>Environment and urbanization</t>
  </si>
  <si>
    <t>10.1177/0956247807076960</t>
  </si>
  <si>
    <t>2022-09-23 09:09:25</t>
  </si>
  <si>
    <t>2022-09-23T09:09:25Z</t>
  </si>
  <si>
    <t>17-37</t>
  </si>
  <si>
    <t>Y9QKQIFW</t>
  </si>
  <si>
    <t>Mather, Alexander S.; Fairbairn, J.; Needle, Coby L.</t>
  </si>
  <si>
    <t>The course and drivers of the forest transition: the case of France</t>
  </si>
  <si>
    <t>10.1016/S0743-0167(98)00023-0</t>
  </si>
  <si>
    <t>2022-09-23 09:09:04</t>
  </si>
  <si>
    <t>2022-09-23T09:09:04Z</t>
  </si>
  <si>
    <t>65-90</t>
  </si>
  <si>
    <t>9EGQQ5ZE</t>
  </si>
  <si>
    <t>Mebratu, Desta</t>
  </si>
  <si>
    <t>Sustainability and sustainable development: historical and conceptual review</t>
  </si>
  <si>
    <t>Environmental impact assessment review</t>
  </si>
  <si>
    <t>10.1016/S0195-9255(98)00019-5</t>
  </si>
  <si>
    <t>2022-09-23 09:08:55</t>
  </si>
  <si>
    <t>2022-09-23T09:08:55Z</t>
  </si>
  <si>
    <t>493-520</t>
  </si>
  <si>
    <t>CJNH4VXZ</t>
  </si>
  <si>
    <t>Mayer, Frederick; Gereffi, Gary</t>
  </si>
  <si>
    <t>Regulation and economic globalization: Prospects and limits of private governance</t>
  </si>
  <si>
    <t>Business and Politics</t>
  </si>
  <si>
    <t>10.2202/1469-3569.1325</t>
  </si>
  <si>
    <t>1-25</t>
  </si>
  <si>
    <t>C2J82KE8</t>
  </si>
  <si>
    <t>Mercado, Leida; Alpízar, Francisco; Arguedas, Maureen; Sellare, Jorge; Imbach, Pablo; Brenes, Christian; Aguilar, Amilcar</t>
  </si>
  <si>
    <t>Rapid participatory appraisal for the design and evaluation of payment for ecosystem services: An introduction to an assessment guide</t>
  </si>
  <si>
    <t>Co-investment in ecosystem services: global lessons from payment and incentive schemes. Nairobi: World Agroforestry Centre (ICRAF)</t>
  </si>
  <si>
    <t>2022-09-23 09:08:14</t>
  </si>
  <si>
    <t>2022-09-23T09:08:14Z</t>
  </si>
  <si>
    <t>C86A58DQ</t>
  </si>
  <si>
    <t>Lyngbaek, Anja E.; Muschler, Reinhold G.; Others</t>
  </si>
  <si>
    <t>Productivity and profitability of multistrata organic versus conventional coffee farms in Costa Rica</t>
  </si>
  <si>
    <t>Agroforestry systems</t>
  </si>
  <si>
    <t>10.1023/A:1013332722014</t>
  </si>
  <si>
    <t>2022-09-23 09:08:02</t>
  </si>
  <si>
    <t>2022-09-23T09:08:02Z</t>
  </si>
  <si>
    <t>205-213</t>
  </si>
  <si>
    <t>Y7G8337Z</t>
  </si>
  <si>
    <t>Mato, Yukie; Isobe, Tomohiko; Takada, Hideshige; Kanehiro, Haruyuki; Ohtake, Chiyoko; Kaminuma, Tsuguchika</t>
  </si>
  <si>
    <t>Plastic resin pellets as a transport medium for toxic chemicals in the marine environment</t>
  </si>
  <si>
    <t>10.1021/es0010498</t>
  </si>
  <si>
    <t>2022-09-23 09:07:51</t>
  </si>
  <si>
    <t>2022-09-23T09:07:51Z</t>
  </si>
  <si>
    <t>318-324</t>
  </si>
  <si>
    <t>45Y3RT2R</t>
  </si>
  <si>
    <t>Merino, Leticia; Cendejas, Josefina</t>
  </si>
  <si>
    <t>Peace building from a commons perspective</t>
  </si>
  <si>
    <t>International Journal of the Commons</t>
  </si>
  <si>
    <t>10.18352/ijc.773</t>
  </si>
  <si>
    <t>2022-09-23 09:07:43</t>
  </si>
  <si>
    <t>2022-09-23T09:07:43Z</t>
  </si>
  <si>
    <t>RL3EQ2PR</t>
  </si>
  <si>
    <t>Mekonnen, Mesfin; Hoekstra, Arjen Ysbert</t>
  </si>
  <si>
    <t>National water footprint accounts: the green, blue and grey water footprint of production and consumption</t>
  </si>
  <si>
    <t>KY4PQ6VQ</t>
  </si>
  <si>
    <t>McGregor, Allister; Coulthard, Sarah; Camfield, Laura</t>
  </si>
  <si>
    <t>Measuring what matters: The role of well-being methods in development policy and practice</t>
  </si>
  <si>
    <t>https://www.odi.org/publications/9657-measuring-matters-role-well-being-methods-development-policy-practice</t>
  </si>
  <si>
    <t>2022-09-23 09:07:01</t>
  </si>
  <si>
    <t>2022-09-23T09:07:01Z</t>
  </si>
  <si>
    <t>989GAKV5</t>
  </si>
  <si>
    <t>Mather, Alexander Smith; Fairbairn, J.</t>
  </si>
  <si>
    <t>From floods to reforestation: the forest transition in Switzerland</t>
  </si>
  <si>
    <t>Environment and History</t>
  </si>
  <si>
    <t>10.3197/096734000129342352</t>
  </si>
  <si>
    <t>2022-09-23 09:05:17</t>
  </si>
  <si>
    <t>2022-09-23T09:05:17Z</t>
  </si>
  <si>
    <t>399-421</t>
  </si>
  <si>
    <t>2I3LE3KY</t>
  </si>
  <si>
    <t>Mather, Alexander Smith</t>
  </si>
  <si>
    <t>Forest transition theory and the reforesting of Scotland</t>
  </si>
  <si>
    <t>Scottish Geographical Journal</t>
  </si>
  <si>
    <t>10.1080/00369220418737194</t>
  </si>
  <si>
    <t>2022-09-23 09:05:10</t>
  </si>
  <si>
    <t>2022-09-23T09:05:10Z</t>
  </si>
  <si>
    <t>83-98</t>
  </si>
  <si>
    <t>BSETB8WR</t>
  </si>
  <si>
    <t>Managi, Shunsuke; Hibiki, Akira; Tsurumi, Tetsuya</t>
  </si>
  <si>
    <t>Does trade openness improve environmental quality?</t>
  </si>
  <si>
    <t>Journal of environmental economics and management</t>
  </si>
  <si>
    <t>10.1016/j.jeem.2009.04.008</t>
  </si>
  <si>
    <t>2022-09-23 09:04:17</t>
  </si>
  <si>
    <t>2022-09-23T09:04:17Z</t>
  </si>
  <si>
    <t>346-363</t>
  </si>
  <si>
    <t>6JWEPYMP</t>
  </si>
  <si>
    <t>Lucht, Wolfgang; Prentice, I. Colin; Myneni, Ranga B.; Sitch, Stephen; Friedlingstein, Pierre; Cramer, Wolfgang; Bousquet, Philippe; Buermann, Wolfgang; Smith, Benjamin</t>
  </si>
  <si>
    <t>Climatic Control of the High-Latitude Vegetation Greening Trend and Pinatubo Effect</t>
  </si>
  <si>
    <t>2022-09-23 09:03:37</t>
  </si>
  <si>
    <t>2022-09-23T09:03:37Z</t>
  </si>
  <si>
    <t>5573</t>
  </si>
  <si>
    <t>L4B2EJSH</t>
  </si>
  <si>
    <t>McBean, Gordon</t>
  </si>
  <si>
    <t>Climate change and extreme weather: a basis for action</t>
  </si>
  <si>
    <t>Natural Hazards</t>
  </si>
  <si>
    <t>177-190</t>
  </si>
  <si>
    <t>M7QULLU2</t>
  </si>
  <si>
    <t>Luber, George; McGeehin, Michael</t>
  </si>
  <si>
    <t>Climate change and extreme heat events</t>
  </si>
  <si>
    <t>American journal of preventive medicine</t>
  </si>
  <si>
    <t>2022-09-23 09:03:27</t>
  </si>
  <si>
    <t>2022-09-23T09:03:27Z</t>
  </si>
  <si>
    <t>429-435</t>
  </si>
  <si>
    <t>ADQ2BNNY</t>
  </si>
  <si>
    <t>Metcalf, Gilbert E.</t>
  </si>
  <si>
    <t>A Distributional Analysis of Green Tax Reforms</t>
  </si>
  <si>
    <t>National Tax Journal</t>
  </si>
  <si>
    <t>0028-0283</t>
  </si>
  <si>
    <t>10.1086/NTJ41789423</t>
  </si>
  <si>
    <t>I measure the distributional impact of a shift toward greater reliance on environmental taxes (a green tax reform) using both annual and lifetime income measures to rank households. An environmental tax reform can be designed that has a negligible impact on the income distribution when the funds are rebated to households through reductions in the payroll tax and personal income tax. I also analyze trade-offs among competing goals of efficiency, equity, and ease of administration in the design of a green tax reform.</t>
  </si>
  <si>
    <t>2022-09-23 09:02:34</t>
  </si>
  <si>
    <t>2022-09-23T09:02:34Z</t>
  </si>
  <si>
    <t>655-681</t>
  </si>
  <si>
    <t>3W8PWKNR</t>
  </si>
  <si>
    <t>Designing a carbon tax to reduce US greenhouse gas emissions</t>
  </si>
  <si>
    <t>2022-09-23 09:01:45</t>
  </si>
  <si>
    <t>2022-09-23T09:01:45Z</t>
  </si>
  <si>
    <t>ren015</t>
  </si>
  <si>
    <t>3QAYTSHJ</t>
  </si>
  <si>
    <t>Masó, Mercedes; Garcés, Esther; Pagès, Francesc; Camp, Jordi</t>
  </si>
  <si>
    <t>Drifting plastic debris as a potential vector for dispersing Harmful Algal Bloom (HAB) species</t>
  </si>
  <si>
    <t>Scientia Marina</t>
  </si>
  <si>
    <t>10.3989/scimar.2003.67n1107</t>
  </si>
  <si>
    <t>2022-09-23 09:01:40</t>
  </si>
  <si>
    <t>2022-09-23T09:01:40Z</t>
  </si>
  <si>
    <t>107-111</t>
  </si>
  <si>
    <t>MYFBKF8S</t>
  </si>
  <si>
    <t>Mather, Alexander S.; Needle, C. L.; Fairbairn, J.</t>
  </si>
  <si>
    <t>Environmental Kuznets curves and forest trends</t>
  </si>
  <si>
    <t>2022-09-23 09:01:31</t>
  </si>
  <si>
    <t>2022-09-23T09:01:31Z</t>
  </si>
  <si>
    <t>55-65</t>
  </si>
  <si>
    <t>2MNDUDFN</t>
  </si>
  <si>
    <t>McClanahan, Timothy R.; Castilla, Juan Carlos; White, Alan T.; Defeo, Omar</t>
  </si>
  <si>
    <t>Healing small-scale fisheries by facilitating complex socio-ecological systems</t>
  </si>
  <si>
    <t>10.1007/s11160-008-9088-8</t>
  </si>
  <si>
    <t>2022-09-23 09:01:14</t>
  </si>
  <si>
    <t>2022-09-23T09:01:14Z</t>
  </si>
  <si>
    <t>33-47</t>
  </si>
  <si>
    <t>V2TMSESA</t>
  </si>
  <si>
    <t>Meinzen-Dick, Ruth</t>
  </si>
  <si>
    <t>Property rights and sustainable irrigation: A developing country perspective</t>
  </si>
  <si>
    <t>10.1016/j.agwat.2014.03.017</t>
  </si>
  <si>
    <t>2022-09-23 09:00:18</t>
  </si>
  <si>
    <t>2022-09-23T09:00:18Z</t>
  </si>
  <si>
    <t>GHPF8T42</t>
  </si>
  <si>
    <t>Merino, Leticia</t>
  </si>
  <si>
    <t>Trabajar juntos. Acción colectiva, bienes comunes y múltiples métodos en la práctica</t>
  </si>
  <si>
    <t>Revista mexicana de sociologÃ$\backslash$-a</t>
  </si>
  <si>
    <t>0188-2503</t>
  </si>
  <si>
    <t>679-684</t>
  </si>
  <si>
    <t>Y7EHWIGF</t>
  </si>
  <si>
    <t>McNicoll, Geoffrey</t>
  </si>
  <si>
    <t>World Population Ageing 1950-2050</t>
  </si>
  <si>
    <t>814-816</t>
  </si>
  <si>
    <t>5Z5HYHGM</t>
  </si>
  <si>
    <t>Mazor, Tessa; Doropoulos, Christopher; Schwarzmueller, Florian; Gladish, Daniel W.; Kumaran, Nagalingam; Merkel, Katharina; Di Marco, Moreno; Gagic, Vesna</t>
  </si>
  <si>
    <t>Global mismatch of policy and research on drivers of biodiversity loss</t>
  </si>
  <si>
    <t>10.1038/s41559-018-0563-x</t>
  </si>
  <si>
    <t>http://www.nature.com/articles/s41559-018-0563-x</t>
  </si>
  <si>
    <t>2022-09-23 08:19:48</t>
  </si>
  <si>
    <t>2022-09-23T08:19:48Z</t>
  </si>
  <si>
    <t>1071-1074</t>
  </si>
  <si>
    <t>2859XZZL</t>
  </si>
  <si>
    <t>Maffi, Luisa</t>
  </si>
  <si>
    <t>LINGUISTIC, CULTURAL, AND BIOLOGICAL DIVERSITY</t>
  </si>
  <si>
    <t>Annual Review of Anthropology</t>
  </si>
  <si>
    <t>0084-6570, 1545-4290</t>
  </si>
  <si>
    <t>10.1146/annurev.anthro.34.081804.120437</t>
  </si>
  <si>
    <t>https://www.annualreviews.org/doi/10.1146/annurev.anthro.34.081804.120437</t>
  </si>
  <si>
    <t>Over the past decade, the field of biocultural diversity has arisen as an area of transdisciplinary research concerned with investigating the links between the world's linguistic, cultural, and biological diversity as manifestations of the diversity of life. The impetus for the emergence of this field came from the observation that all three diversities are under threat by some of the same forces and from the perception that loss of diversity at all levels spells dramatic consequences for humanity and the earth. Accordingly, the field of biocultural diversity has developed with both a theoretical and a practical side, the latter focusing on on-the-ground work and policy, as well as with an ethics and human rights component. This review provides some background on the historical antecedents and beginnings of this field and on its philosophical and ethical underpinnings, and then surveys the key literature on biocultural diversity, concentrating on three main aspects: global and regional studies on the links between linguistic, cultural, and biological diversity; the measurement and assessment of biocultural diversity; and the protection and maintenance of biocultural diversity. The review concludes with some considerations about future prospects for this emerging field.</t>
  </si>
  <si>
    <t>2005-10-01</t>
  </si>
  <si>
    <t>2022-09-23 08:04:18</t>
  </si>
  <si>
    <t>2022-09-23T08:04:18Z</t>
  </si>
  <si>
    <t>2022-09-22 07:28:04</t>
  </si>
  <si>
    <t>599-617</t>
  </si>
  <si>
    <t>Annu. Rev. Anthropol.</t>
  </si>
  <si>
    <t>4BK9KK4D</t>
  </si>
  <si>
    <t>Martinez-Alier, Joan; Temper, Leah; Del Bene, Daniela; Scheidel, Arnim</t>
  </si>
  <si>
    <t>Is there a global environmental justice movement?</t>
  </si>
  <si>
    <t>0306-6150, 1743-9361</t>
  </si>
  <si>
    <t>10.1080/03066150.2016.1141198</t>
  </si>
  <si>
    <t>http://www.tandfonline.com/doi/full/10.1080/03066150.2016.1141198</t>
  </si>
  <si>
    <t>2016-05-03</t>
  </si>
  <si>
    <t>2022-09-23 07:59:34</t>
  </si>
  <si>
    <t>2022-09-23T07:59:34Z</t>
  </si>
  <si>
    <t>731-755</t>
  </si>
  <si>
    <t>VA4XT2E2</t>
  </si>
  <si>
    <t>McCarter, Joe; Gavin, Michael C</t>
  </si>
  <si>
    <t>Perceptions of the value of traditional ecological knowledge to formal school curricula: opportunities and challenges from Malekula Island, Vanuatu</t>
  </si>
  <si>
    <t>Journal of Ethnobiology and Ethnomedicine</t>
  </si>
  <si>
    <t>1746-4269</t>
  </si>
  <si>
    <t>10.1186/1746-4269-7-38</t>
  </si>
  <si>
    <t>https://ethnobiomed.biomedcentral.com/articles/10.1186/1746-4269-7-38</t>
  </si>
  <si>
    <t>Abstract                            Background               The integration of traditional ecological knowledge (TEK) into formal school curricula may be a key tool for the revitalisation of biocultural diversity, and has the potential to improve the delivery of educational objectives. This paper explores perceptions of the value of TEK to formal education curricula on Malekula Island, Vanuatu. We conducted 49 interviews with key stakeholders (local TEK experts, educators, and officials) regarding the use of the formal school system to transmit, maintain, and revitalise TEK. Interviews also gathered information on the areas where TEK might add value to school curricula and on the perceived barriers to maintaining and revitalising TEK via formal education programs.                                         Results               Participants reported that TEK had eroded on Malekula, and identified the formal school system as a principal driver. Most interviewees believed that if an appropriate format could be developed, TEK could be included in the formal education system. Such an approach has potential to maintain customary knowledge and practice in the focus communities. Participants identified several specific domains of TEK for inclusion in school curricula, including ethnomedical knowledge, agricultural knowledge and practice, and the reinforcement of respect for traditional authority and values. However, interviewees also noted a number of practical and epistemological barriers to teaching TEK in school. These included the cultural diversity of Malekula, tensions between public and private forms of knowledge, and multiple values of TEK within the community.                                         Conclusions               TEK has potential to add value to formal education systems in Vanuatu by contextualising the content and process of curricular delivery, and by facilitating character development and self-awareness in students. These benefits are congruent with UNESCO-mandated goals for curricular reform and provide a strong argument for the inclusion of TEK in formal school systems. Such approaches may also assist in the maintenance and revitalisation of at-risk systems of ethnobiological knowledge. However, we urge further research attention to the significant epistemological challenges inherent in including TEK in formal school, particularly as participants noted the potential for such approaches to have negative consequences.</t>
  </si>
  <si>
    <t>2011-12</t>
  </si>
  <si>
    <t>2022-09-23 07:57:03</t>
  </si>
  <si>
    <t>2022-09-23T07:57:03Z</t>
  </si>
  <si>
    <t>2022-09-22 07:28:10</t>
  </si>
  <si>
    <t>J Ethnobiology Ethnomedicine</t>
  </si>
  <si>
    <t>Perceptions of the value of traditional ecological knowledge to formal school curricula</t>
  </si>
  <si>
    <t>ZCXATRM8</t>
  </si>
  <si>
    <t>Martínez-Alier, J.</t>
  </si>
  <si>
    <t>The Environmentalism of the Poor: A Study of Ecological Conflicts and Valuation</t>
  </si>
  <si>
    <t>https://books.google.de/books?id=4JIzg4PUotcC</t>
  </si>
  <si>
    <t>2022-09-23 07:50:05</t>
  </si>
  <si>
    <t>2022-09-23T07:50:05Z</t>
  </si>
  <si>
    <t>Edward Elgar Publishing, Incorporated</t>
  </si>
  <si>
    <t>ipbes-global_chapter1; ipbes-global_chapter2.1_drivers; ipbes-global_chapter6</t>
  </si>
  <si>
    <t>YNJ62VPT</t>
  </si>
  <si>
    <t>Mather, A. S.</t>
  </si>
  <si>
    <t>The forest transition</t>
  </si>
  <si>
    <t>https://about.jstor.org/terms</t>
  </si>
  <si>
    <t>2022-09-23 07:49:26</t>
  </si>
  <si>
    <t>2022-09-23T07:49:26Z</t>
  </si>
  <si>
    <t>367-379</t>
  </si>
  <si>
    <t>V64XWYGY</t>
  </si>
  <si>
    <t>Loarie, Scott R.; Duffy, Philip B.; Hamilton, Healy; Asner, Gregory P.; Field, Christopher B.; Ackerly, David D.</t>
  </si>
  <si>
    <t>2022-09-23 07:40:31</t>
  </si>
  <si>
    <t>2022-09-23T07:40:31Z</t>
  </si>
  <si>
    <t>1052-U111</t>
  </si>
  <si>
    <t>7276</t>
  </si>
  <si>
    <t>8WGEBAHZ</t>
  </si>
  <si>
    <t>Martinez-Alier, Joan; Healy, Hali; Temper, Leah; Walter, Mariana; Rodriguez-Labajos, Beatriz; Gerber, Julien-François; Conde, Marta</t>
  </si>
  <si>
    <t>Between science and activism: learning and teaching ecological economics with environmental justice organisations</t>
  </si>
  <si>
    <t>Local Environment</t>
  </si>
  <si>
    <t>1354-9839, 1469-6711</t>
  </si>
  <si>
    <t>10.1080/13549839.2010.544297</t>
  </si>
  <si>
    <t>http://www.tandfonline.com/doi/full/10.1080/13549839.2010.544297</t>
  </si>
  <si>
    <t>2011-01</t>
  </si>
  <si>
    <t>2022-09-23 07:02:50</t>
  </si>
  <si>
    <t>2022-09-23T07:02:50Z</t>
  </si>
  <si>
    <t>2022-09-20 08:39:26</t>
  </si>
  <si>
    <t>17-36</t>
  </si>
  <si>
    <t>Between science and activism</t>
  </si>
  <si>
    <t>4BYNDFQD</t>
  </si>
  <si>
    <t>Malan, H. L.; Appleton, C. C.; Day, J. A.; Dini, J.</t>
  </si>
  <si>
    <t>Wetlands and invertebrate disease hosts: Are we asking for trouble?</t>
  </si>
  <si>
    <t>Water SA</t>
  </si>
  <si>
    <t>03784738</t>
  </si>
  <si>
    <t>10.4314/wsa.v35i5.49202</t>
  </si>
  <si>
    <t>Wetlands provide a range of benefits to society, and yet in South Africa wetlands continue to be affected by human activities. Considerable effort is now being directed towards rehabilitation of degraded wetlands and the construction of artificial systems to treat effluent and stormwater. At the same time, wetlands provide potential habitat for vectors or intermediate hosts (collectively referred to in this document as 'invertebrate disease hosts': IDHs), of parasites implicated in the transmission of such important diseases as malaria and schistosomiasis (bilharzia). The present review considers, for the 2 major IDHs (mosquitoes and schistosome-transmitting snails), the type of habitat required by the water-dependent life stage and the ways in which wetland degradation, rehabilitation and creation may affect the availability of suitable habitat. General practical measures for minimising pest species, particularly mosquitoes, are included. This review also highlights other issues that require research and testing in the South African context, including: the IDHs implicated in less well-known diseases (both of humans and animals) and the control of mosquitoes and schistosome-transmitting snails through bioma-nipulation. We conclude that in regions of the country where the diseases are prevalent there is the likelihood that wetland rehabilitation and creation could inadvertently encourage the IDHs responsible for transmitting malaria and schistosomia-sis. Assessment of the potential risks and benefits of a proposed wetland modification needs to be undertaken in a holistic manner using an adaptive framework that recognises the critical need to balance human and environmental health. Possible ways of controlling IDHs both in an environmentally- and socio-friendly manner need to be investigated using a multi-disciplinary approach engaging invertebrate biologists, health care officials, wetland scientists and also sociologists and economists</t>
  </si>
  <si>
    <t>753-768</t>
  </si>
  <si>
    <t>Y3N3V5C8</t>
  </si>
  <si>
    <t>Liu, Jianguo; Daily, Gretchen C.; Ehrlicht, Paul R.; Luck, Gary W.; Ehrlich, Paul R.; Luck, Gary W.</t>
  </si>
  <si>
    <t>http://dx.doi.org/10.1038/nature01359 http://www.ncbi.nlm.nih.gov/pubmed/12540852 http://www.nature.com/doifinder/10.1038/nature01359</t>
  </si>
  <si>
    <t>Human population size and growth rate are often considered important drivers of biodiversity loss, whereas household dynamics are usually neglected. Aggregate demographic statistics may mask substantial changes in the size and number of households, and their effects on biodiversity. Household dynamics influence per capita consumption and thus biodiversity through, for example, consumption of wood for fuel, habitat alteration for home building and associated activities, and greenhouse gas emissions. Here we report that growth in household numbers globally, and particularly in countries with biodiversity hotspots (areas rich in endemic species and threatened by human activities), was more rapid than aggregate population growth between 1985 and 2000. Even when population size declined, the number of households increased substantially. Had the average household size (that is, the number of occupants) remained static, there would have been 155 million fewer households in hotspot countries in 2000. Reduction in average household size alone will add a projected 233 million additional households to hotspot countries during the period 2000-15. Rapid increase in household numbers, often manifested as urban sprawl, and resultant higher per capita resource consumption in smaller households pose serious challenges to biodiversity conservation.</t>
  </si>
  <si>
    <t>530-533</t>
  </si>
  <si>
    <t>6922</t>
  </si>
  <si>
    <t>Y28W4U6K</t>
  </si>
  <si>
    <t>Merme, Vincent; Ahlers, Rhodante; Gupta, Joyeeta</t>
  </si>
  <si>
    <t>Private equity, public affair: Hydropower financing in the Mekong Basin</t>
  </si>
  <si>
    <t>10.1016/j.gloenvcha.2013.11.007</t>
  </si>
  <si>
    <t>Large-scale hydropower development is increasingly popular. Although international finance is a significant driver of hydropower market expansion, financial data is relatively obscure and literature remains scarce. This article tracks the financial process in hydropower development in the Mekong River Basin. It shows a shift in influence from traditional public international financial institutions to a diverse mix of private actors, who are enticed with attractive terms of trade and complete decision making power over water resource management. Traditional players have now taken on a more facilitating and regulatory role by providing guarantees and mitigating social and environmental impacts partly releasing the new global and regional private actors from these responsibilities. Because hydropower financing involves opaque processes and confidential documents public accountability is severely limited. While the private sector benefits from relatively short term returns, the public sector is left responsible for long term impacts. ?? 2013 Elsevier Ltd.</t>
  </si>
  <si>
    <t>Y5EVPSGG</t>
  </si>
  <si>
    <t>Mace, Georgina M.</t>
  </si>
  <si>
    <t>Whose conservation?</t>
  </si>
  <si>
    <t>10.1126/science.1254704</t>
  </si>
  <si>
    <t>https://www.science.org/doi/10.1126/science.1254704</t>
  </si>
  <si>
    <t>Changes in the perception and goals of nature conservation require a solid scientific basis           ,                             Conservation biology is a mission-driven discipline (                                1                              ) and is therefore subject to both drift and the periodic adoption of fads and fashions (                                2                              ). Although many basic conservation principles, conservation organizations, and initiatives of global reach and impact have persisted almost unchanged for decades, the framing and purpose of conservation have shifted (                                3                              ). These shifts mainly relate to how the relationships between people and nature are viewed, with consequences for the science underpinning conservation.</t>
  </si>
  <si>
    <t>2014-09-26</t>
  </si>
  <si>
    <t>1558-1560</t>
  </si>
  <si>
    <t>6204</t>
  </si>
  <si>
    <t>6APXBPC6</t>
  </si>
  <si>
    <t>Lynch, Abigail J.; Cooke, Steven J.; Deines, Andrew M.; Bower, Shannon D.; Bunnell, David B.; Cowx, Ian G.; Nguyen, Vivian M.; Nohner, Joel; Phouthavong, Kaviphone; Riley, Betsy; Rogers, Mark W.; Taylor, William W.; Woelmer, Whitney; Youn, So-Jung; Beard, T. Douglas</t>
  </si>
  <si>
    <t>The social, economic, and environmental importance of inland fish and fisheries</t>
  </si>
  <si>
    <t>Environmental Reviews</t>
  </si>
  <si>
    <t>1181-8700</t>
  </si>
  <si>
    <t>10.1139/er-2015-0064</t>
  </si>
  <si>
    <t>Though reported capture fisheries are dominated by marine production, inland fish and fisheries make substantial contributions to meeting the challenges faced by individuals, society, and the environment in a changing global landscape. Inland capture fisheries and aquaculture contribute over 40% to the world's reported finfish production from less than 0.01% of the total volume of water on earth. These fisheries provide food for billions and livelihoods for millions of people worldwide. Herein, using supporting evidence from the literature, we review 10 reasons why inland fish and fisheries are important to the individual (food security, economic security, empowerment), to society (cultural services, recreational services, human health and well-being, knowledge transfer and capacity building), and to the environment (ecosystem function and biodiversity, as aquatic “canaries”, the “green food” movement). However, the current limitations to valuing the services provided by inland fish and fisheries make com...</t>
  </si>
  <si>
    <t>Y3PTASB5</t>
  </si>
  <si>
    <t>Liu, Jianguo; Yang, Wu; Li, Shuxin</t>
  </si>
  <si>
    <t>Framing ecosystem services in the telecoupled Anthropocene</t>
  </si>
  <si>
    <t>10.1002/16-0188.1</t>
  </si>
  <si>
    <t>Around the globe, previously isolated localities are rapidly forming connections over increasing spatial extents, through the flow of ecosystem services (ES). With the intensification of human demands, systematic research on ES over distances is urgently needed. We apply a new integrated framework of telecoupling (ie socioeconomic and environmental interactions between different places) to analyze the causes, effects, agents, and dynamics of ES flows. We focus on the world's largest water-transfer project – China's South–North Water Transfer Project – as a basis for discussion about the broad utility of the telecoupling framework and important implications for effective governance of ES across telecoupled human and natural systems. Integration through the use of the telecoupling framework holds promise for creating sustainable solutions and avoiding unintended negative effects across multiple systems in an interconnected world.</t>
  </si>
  <si>
    <t>27-36</t>
  </si>
  <si>
    <t>9UXIDQ7R</t>
  </si>
  <si>
    <t>Lynch, A. J.; Cowx, I. G.; Fluet-Chouinard, E.; Glaser, S. M.; Phang, S. C.; Beard, T. D.; Bower, S. D.; Brooks, J. L.; Bunnell, D. B.; Claussen, J. E.; Cooke, S. J.; Kao, Y. C.; Lorenzen, K.; Myers, B. J. E.; Reid, A. J.; Taylor, J. J.; Youn, S.</t>
  </si>
  <si>
    <t>Inland fisheries – Invisible but integral to the UN Sustainable Development Agenda for ending poverty by 2030</t>
  </si>
  <si>
    <t>10.1016/j.gloenvcha.2017.10.005</t>
  </si>
  <si>
    <t>The United Nations' (UN) 2030 Agenda for Sustainable Development defines the formidable challenge of integrating historically separate economic, social, and environmental goals into a unified ‘plan of action for people, planet, and prosperity.' We highlight the substantial contribution inland fisheries can make towards preventing increased poverty and, in some cases, alleviating poverty (i.e. addressing Sustainable Development Goal [SDG] 1: No Poverty) as an opportunity to inform the next set of development agendas and their associated budgets and priorities. Overlooking the contribution of inland fisheries to poverty prevention and alleviation may undermine the capacity to successfully meet the development goals, especially in rural communities in Low-Income Food-Deficit countries. Inland fisheries are essential for food and economic security as the vast majority are small-scale operations or subsistence, predominantly used by poorer groups. Protecting inland fisheries from diverse threats from other water users and associated sectors requires robust, multi-sectoral, and multinational policies that can be brought about by global initiatives like the SDGs. Without such protection, their vital contribution towards sustainable livelihoods and poverty issues becomes uncertain. Further, integrating inland fisheries into sustainable development frameworks strengthens the likelihood of achieving the UN Agenda for Sustainable Development. In this perspective article, we posit that including inland fisheries in national policy statements and programs can prove beneficial to promoting economic and social growth for the poor, preventing further poverty, and achieving SDG 1 and other SDG targets, especially those related to food security.</t>
  </si>
  <si>
    <t>167-173</t>
  </si>
  <si>
    <t>E2987VXN</t>
  </si>
  <si>
    <t>Martin, G.</t>
  </si>
  <si>
    <t>Farms may cut habitat renewal over E. coli fears</t>
  </si>
  <si>
    <t>SFGate</t>
  </si>
  <si>
    <t>https://www.sfgate.com/news/article/Farms-may-cut-habitat-renewal-over-E-coli-fears-2465049.php</t>
  </si>
  <si>
    <t>W6JUWGNW</t>
  </si>
  <si>
    <t>McKean, M. A.</t>
  </si>
  <si>
    <t>Management of traditional common lands (Iriaichi) in Japan. National Research Council: Proceedings of the Conference on Common Property Resource Management</t>
  </si>
  <si>
    <t>National Academy Press, Washington, DC</t>
  </si>
  <si>
    <t>XAAR3MG9</t>
  </si>
  <si>
    <t>Marshall, E.; Schreckenberg, K.; Newton, A. C.</t>
  </si>
  <si>
    <t>Commercialization of non-timber forest products. Factors influencing sucess. Lessons learned from Mexico and Bolivia and implications for decision makers</t>
  </si>
  <si>
    <t>UNEP-WCMC</t>
  </si>
  <si>
    <t>R6WU3X4S</t>
  </si>
  <si>
    <t>McGranahan, G.; Marcotullio, P. J.; Bai, Xuemei; Balk, Deborah; Braga, T.; Douglas, I.; Elmqvist, T.; Rees, W.; Satterthwaite, D.; Songsore, J.; Others</t>
  </si>
  <si>
    <t>Urban Systems</t>
  </si>
  <si>
    <t>Current State and Trends: Findings of the Condition and Trends Working Group. Ecosystems and Human Well-being</t>
  </si>
  <si>
    <t>795-825</t>
  </si>
  <si>
    <t>Washington D.C.</t>
  </si>
  <si>
    <t>Millennium Ecosystem, Assessment</t>
  </si>
  <si>
    <t>6NTQYIRB</t>
  </si>
  <si>
    <t>McElroy, J. K.</t>
  </si>
  <si>
    <t>The Java Sea purse seine fishery: A modern-day ‘tragedy of the commons'?</t>
  </si>
  <si>
    <t>10.1016/0308-597X(91)90003-T</t>
  </si>
  <si>
    <t>http://linkinghub.elsevier.com/retrieve/pii/0308597X9190003T</t>
  </si>
  <si>
    <t>1991-07</t>
  </si>
  <si>
    <t>255-271</t>
  </si>
  <si>
    <t>R2KVELTE</t>
  </si>
  <si>
    <t>Manning, Dale T.; Taylor, J. Edward; Wilen, James E.</t>
  </si>
  <si>
    <t>General Equilibrium Tragedy of the Commons</t>
  </si>
  <si>
    <t>10.1007/s10640-016-0066-7</t>
  </si>
  <si>
    <t>http://link.springer.com/10.1007/s10640-016-0066-7</t>
  </si>
  <si>
    <t>Many poor economies depend on open access resources for their livelihoods. Households in resource-based economies allocate their time and other factors between resource extraction and other activities. As a result, factors may shift from one sector to another as marginal returns change. This has two important implications. First, it implies potentially strong linkages between resource and non-resource sectors. Second, it means that unmanaged resources cause inefficient allocations of inputs across all sectors, and the effects of resource management spill into other sectors. We construct a local general equilibrium model that accounts for inputs that over-allocate to an open access resource and create a general equilibrium tragedy of the commons. This model describes resource rent dissipation more adequately in economies with mobile factors than a model with slowly dissipating rents. Perfectly mobile factors dissipate rent in every period, but endogenous wages cause labor and capital allocations to change with the resource stock. We use the model to illustrate medium-run impacts of a limit on capital in an artisanal fishery in Honduras. Simulation results reveal that fishery management has economy-wide impacts on prices and wages. Managers in developing countries thus should consider these linkages when implementing policies to conserve fish stocks.</t>
  </si>
  <si>
    <t>2018-01</t>
  </si>
  <si>
    <t>75-101</t>
  </si>
  <si>
    <t>BALJDF3B</t>
  </si>
  <si>
    <t>McCauley, Douglas J.; Woods, Paul; Sullivan, Brian; Bergman, Bjorn; Jablonicky, Caroline; Roan, Aaron; Hirshfield, Michael; Boerder, Kristina; Worm, Boris</t>
  </si>
  <si>
    <t>Ending hide and seek at sea</t>
  </si>
  <si>
    <t>10.1126/science.aad5686</t>
  </si>
  <si>
    <t>http://www.sciencemag.org/lookup/doi/10.1126/science.aad5686</t>
  </si>
  <si>
    <t>1148-1150</t>
  </si>
  <si>
    <t>6278</t>
  </si>
  <si>
    <t>CFR86F8Y</t>
  </si>
  <si>
    <t>LPAA</t>
  </si>
  <si>
    <t>Protection of 400 million hectares of Forests by Indigenous Peoples</t>
  </si>
  <si>
    <t>GC74KPGW</t>
  </si>
  <si>
    <t>Mburu, G.; Kaguna, Z.</t>
  </si>
  <si>
    <t>Community dialogue on ILK relevant for food and water protection in Tharaka, Kenya</t>
  </si>
  <si>
    <t>Indigenous and Local Knowledge of Biodiversity and Ecosystem Services in Africa</t>
  </si>
  <si>
    <t>30-40</t>
  </si>
  <si>
    <t>7GVIITL4</t>
  </si>
  <si>
    <t>Merino, L.; Martínez, A. E.</t>
  </si>
  <si>
    <t>A vuelo de pájaro. Las condiciones de las comunidades con bosques templados en México. Comisión Nacional para el Conocimiento y Uso de la Biodiversidad</t>
  </si>
  <si>
    <t>https://www.biodiversidad.gob.mx/region/EEB/pdf/Volumen%202-cdmx_web.pdf</t>
  </si>
  <si>
    <t>Comisión Nacional para el Conocimiento y Uso de la Biodiversidad</t>
  </si>
  <si>
    <t>Mexico</t>
  </si>
  <si>
    <t>I88ZR2DJ</t>
  </si>
  <si>
    <t>McFarlane, Bonita L.; Boxall, Peter C.</t>
  </si>
  <si>
    <t>Participation in wildlife Conservation by birdwatchers</t>
  </si>
  <si>
    <t>Human Dimensions of Wildlife</t>
  </si>
  <si>
    <t>1087-1209</t>
  </si>
  <si>
    <t>10.1080/10871209609359066</t>
  </si>
  <si>
    <t>1996-09</t>
  </si>
  <si>
    <t>1-14</t>
  </si>
  <si>
    <t>P754UM5N</t>
  </si>
  <si>
    <t>Matthew, Richard; Brown, Oli; Jensen, David</t>
  </si>
  <si>
    <t>From conflict to peacebuilding. The role of natural resources and the environment</t>
  </si>
  <si>
    <t>The United Nations Environment Programme (UNEP) conducts field-based environmental assessments and strengthens national environmental management capacity in countries affected by conflicts and disasters. Using state-of-the-art science and technology, UNEP deploys teams of environmental experts to assess environmental damage and determine risks for human health, livelihoods and security. Since 1999, UNEP has operated in more than twenty-five countries and published eighteen environmental assessment reports. Based on this expertise, UNEP is providing technical assistance to the UN Peacebuilding Commission in assessing the role of natural resources and the environment in conflict and peacebuilding. The main objective of this cooperation is to prevent natural resources and environmental stress from undermining the peacebuilding process while at the same time using environment as a platform for dialogue, cooperation and confidence-building. About UNEP's Expert Advisory Group on Environment, Conflict and Peacebuilding To broaden UNEP's expertise and analytical capacity, an Expert Advisory Group on Environment, Conflict and Peacebuilding was established in February 2008. Coordinated by the International Institute for Sustainable Development (IISD) the advisory group provides independent expertise, develops tools and policy inputs, and identifies best practices in using natural resources and the environment in ways that contribute to peacebuilding. The group is composed of senior experts from academic institutions, non-governmental organizations and think tanks that have demonstrated leadership in environment and conflict issues (see annex 5). About this report</t>
  </si>
  <si>
    <t>844QSVJF</t>
  </si>
  <si>
    <t>Medina, Javier</t>
  </si>
  <si>
    <t>Mirar con los dos ojos, gobernar con los dos cetros</t>
  </si>
  <si>
    <t>Garza Azul</t>
  </si>
  <si>
    <t>KU27KUF3</t>
  </si>
  <si>
    <t>McKittrick, Katherine; Woods, Clyde Adrian</t>
  </si>
  <si>
    <t>Black geographies and the politics of place</t>
  </si>
  <si>
    <t>Between the Lines Toronto</t>
  </si>
  <si>
    <t>I6T6WGUB</t>
  </si>
  <si>
    <t>Suma Qamaña: por una convivialidad postindustrial</t>
  </si>
  <si>
    <t>M2C8ITPC</t>
  </si>
  <si>
    <t>McWhinnie, Stephanie F.</t>
  </si>
  <si>
    <t>The tragedy of the commons in international fisheries: An empirical examination</t>
  </si>
  <si>
    <t>10.1016/j.jeem.2008.07.008</t>
  </si>
  <si>
    <t>Historically, all capture fisheries have proven hard to manage; internationally shared stocks face an additional impediment to effective management. Previous fisheries studies estimate gains from cooperation for particular species or locations, but evidence is lacking on the wider effect that international sharing has in relation to other variables that affect stock status. This paper is an attempt to shed a broader light on the effect of sharing by identifying whether shared fish stocks are systematically more exploited. I compile exploitation status, biological and economic data into a unique two-period panel of more than 200 fish stocks from around the globe with which I test the theoretical implications of sharing. The empirical results from ordered category estimation suggest that shared stocks are indeed more prone to overexploitation.</t>
  </si>
  <si>
    <t>321-333</t>
  </si>
  <si>
    <t>B6XMX4BZ</t>
  </si>
  <si>
    <t>McManus, Patricia S.; Stockwell, Virginia O.; Sundin, George W.; Jones, Alan L.</t>
  </si>
  <si>
    <t>Antibiotic use in plant agriculture</t>
  </si>
  <si>
    <t>Annual Review of Phytopathology</t>
  </si>
  <si>
    <t>0066-4286</t>
  </si>
  <si>
    <t>10.1146/annurev.phyto.40.120301.093927</t>
  </si>
  <si>
    <t>443-465</t>
  </si>
  <si>
    <t>S8XHLNUJ</t>
  </si>
  <si>
    <t>Merchant, Carolyn</t>
  </si>
  <si>
    <t>The death of nature : women, ecology, and the scientific revolution</t>
  </si>
  <si>
    <t>0-06-250595-5</t>
  </si>
  <si>
    <t>"First Harper &amp; Row paperback edition published in 1983"; with new preface. Time line – Introduction: women and ecology – Nature as female – Farm, fen, and forest: European ecology in transition – Organic society and Utopia – The world an organism – Nature as disorder: women and witches – Production, reproduction and the female – Dominion over nature – The mechanical order – Mechanism as power – The management aof nature – Women on nature: Anne Conway and other philosophical feminists – Leibniz and Newton – Epilogue.</t>
  </si>
  <si>
    <t>Harper &amp; Row</t>
  </si>
  <si>
    <t>PIMN89U8</t>
  </si>
  <si>
    <t>Melnychuk, Michael C.; Essington, Timothy E.; Branch, Trevor A.; Heppell, Selina S.; Jensen, Olaf P.; Link, Jason S.; Martell, Steven J. D.; Parma, Ana M.; Pope, John G.; Smith, Anthony D. M.</t>
  </si>
  <si>
    <t>Can catch share fisheries better track management targets?</t>
  </si>
  <si>
    <t>Fish and Fisheries</t>
  </si>
  <si>
    <t>14672960</t>
  </si>
  <si>
    <t>10.1111/j.1467-2979.2011.00429.x</t>
  </si>
  <si>
    <t>Fisheries management based on catch shares – divisions of annual fleet-wide quotas among individuals or groups – has been strongly supported for their economic benefits, but biological consequences have not been rigorously quantified. We used a global meta-analysis of 345 stocks to assess whether fisheries under catch shares were more likely to track management targets set for sustainable harvest than fisheries managed only by fleet-wide quota caps or effort controls. We examined three ratios: catch-to-quota, current exploitation rate to target exploitation rate and current biomass to target biomass. For each, we calculated the mean response, variation around the target and the frequency of undesirable outcomes with respect to these targets. Regional effects were stronger than any other explanatory variable we examined. After accounting for region, we found the effects of catch shares primarily on catch-to-quota ratios: these ratios were less variable over time than in other fisheries. Over-exploitation occurred in only 9% of stocks under catch shares compared to 13% of stocks under fleet-wide quota caps. Additionally, over-exploitation occurred in 41% of stocks under effort controls, suggesting a substantial benefit of quota caps alone. In contrast, there was no evidence for a response in the biomass of exploited populations because of either fleet-wide quota caps or individual catch shares. Thus, for many fisheries, management controls improve under catch shares in terms of reduced variation in catch around quota targets, but ecological benefits in terms of increased biomass may not be realized by catch shares alone.</t>
  </si>
  <si>
    <t>267-290</t>
  </si>
  <si>
    <t>TXHHWULC</t>
  </si>
  <si>
    <t>Mekonnen, Mesfin M.; Pahlow, Markus; Aldaya, Maite M.; Zarate, Erika; Hoekstra, Arjen Y.</t>
  </si>
  <si>
    <t>Sustainability, efficiency and equitability of water consumption and pollution in latin America and the Caribbean</t>
  </si>
  <si>
    <t>Sustainability (Switzerland)</t>
  </si>
  <si>
    <t>20711050</t>
  </si>
  <si>
    <t>This paper assesses the sustainability, efficiency and equity of water use in Latin America and the Caribbean (LAC) by means of a geographic Water Footprint Assessment (WFA). It aims to provide understanding of water use from both a production and consumption point of view. The study identifies priority basins and areas from the perspectives of blue water scarcity, water pollution and deforestation. Wheat, fodder crops and sugarcane are identified as priority products related to blue water scarcity. The domestic sector is the priority sector regarding water pollution from nitrogen. Soybean and pasture are priority products related to deforestation. We estimate that consumptive water use in crop production could be reduced by 37% and nitrogen-related water pollution by 44% if water footprints were reduced to certain specified benchmark levels. The average WF per consumer in the region is 28% larger than the global average and varies greatly, from 912 m3/year per capita in Nicaragua to 3468 m3/year in Bolivia. Ironically, the LAC region shows significant levels of undernourishment, although there is abundant water and food production in the region and substantial use of land and water for producing export crops like soybean.</t>
  </si>
  <si>
    <t>YXLMR9FV</t>
  </si>
  <si>
    <t>Merino-Pérez, Leticia</t>
  </si>
  <si>
    <t>Conservación o Deterioro: El impacto de las políticas públicas en las instituciones comunitarias y en las prácticas de uso de los recursos forestales</t>
  </si>
  <si>
    <t>Instituto Nacional de Ecologia</t>
  </si>
  <si>
    <t>EU8IKYSK</t>
  </si>
  <si>
    <t>Menzies, Diane; Ruru, Jacinta</t>
  </si>
  <si>
    <t>Indigenous peoples' rights to landscape in Aotearoa New Zealand</t>
  </si>
  <si>
    <t>The Right to Landscape: Contesting Landscape and Human Rights</t>
  </si>
  <si>
    <t>Oxon</t>
  </si>
  <si>
    <t>Egoz, Shelley; Makhzoumi, Jala; Pungetti, Gloria</t>
  </si>
  <si>
    <t>KQPGB6XG</t>
  </si>
  <si>
    <t>Mendelsohn, Robert; Schlesinger, Michael; Williams, Larry</t>
  </si>
  <si>
    <t>Comparing impacts across climate models</t>
  </si>
  <si>
    <t>Integrated Assessment</t>
  </si>
  <si>
    <t>1389-5176</t>
  </si>
  <si>
    <t>10.1023/A:1019111327619</t>
  </si>
  <si>
    <t>In this paper we combine a climate-forecasting model, COSMIC, with a global impact model, GIM, to compare the market impacts of climate change projected by 14 general circulation models. Given a specific date (2100), carbon dioxide concentration (612 ppmv), and global temperature sensitivity (2.5°C), predicted impacts to economies are calculated using climate-response functions from Experimental and Cross-sectional evidence. The Cross-sectional impact model predicts small global benefits across all climate models, whereas the Experimental impact model predicts a range from small benefits to small damages. High-latitude countries are less sensitive to temperature increases than low-latitude countries because they are currently cool. Uniform global temperature changes overestimate global damages because they underestimate the benefits in polar regions and overestimate the damages in tropical regions compared to the GCM predictions.</t>
  </si>
  <si>
    <t>37-48</t>
  </si>
  <si>
    <t>PL5M9EMM</t>
  </si>
  <si>
    <t>Mertens, B.; Poccard-Chapuis, R.; Piketty, M. G.; Lacques, A. E.; Venturieri, A.</t>
  </si>
  <si>
    <t>Crossing spatial analyses and livestock economics to understand deforestation processes in the Brazilian Amazon: the case of São Félix do Xingú in South Pará</t>
  </si>
  <si>
    <t>Agricultural Economics</t>
  </si>
  <si>
    <t>1574-0862</t>
  </si>
  <si>
    <t>10.1111/j.1574-0862.2002.tb00121.x</t>
  </si>
  <si>
    <t>269-294</t>
  </si>
  <si>
    <t>5I4PR9Z9</t>
  </si>
  <si>
    <t>Meyerson, Frederick A. B.; Merino, Leticia; Durand, Jorge</t>
  </si>
  <si>
    <t>Migration and environment in the context of globalization</t>
  </si>
  <si>
    <t>La migración humana y el crecimiento de la población, aunado a las tendencias de la globalización, afectan sub- stancialmente al medioambiente y los esfuerzos de conservación. En el continente americano, el movimiento de personas, capital, bienes y servicios ha causado diferentes tipos de cambios en los ecosistemas, incluyendo de- forestación. La urbanización, tendencia dominante en el continente americano, es un arma de dos filos para la conservación, ya que, por un lado, desplaza a las poblaciones humanas fuera de las áreas rurales y protegidas, pero por otro lado, incrementa la demanda de energía, bienes y servicios. La migración hacia zonas boscosas y el abandono de tierras rurales marginadas exponen retos ecológicos opuestos, pero igualmente difíciles. Además, el cambio climático previsto complicará los flujos migratorios y la conservación de los ecosistemas, particularmente en los países en desarrollo cuya capacidad económica y tecnológica es limitada. Sin embargo, una mejor integración de los datos y de las teorías ecológicas, demográficas y sociales, encaminarán a desarrol- lar modelos predictivos que ayudarán a entender y proyectar los patrones de migración humana y su relación dinámica con el cambio ecológico. Este trabajo interdisciplinario puede encaminarnos hacia el desarrollo de políticas e intervenciones de conservación exitosas.</t>
  </si>
  <si>
    <t>VDBU7E6M</t>
  </si>
  <si>
    <t>Luan, Ivy Ong Bee</t>
  </si>
  <si>
    <t>Singapore Water Management Policies and Practices</t>
  </si>
  <si>
    <t>International Journal of Water Resources Development</t>
  </si>
  <si>
    <t>0790-0627</t>
  </si>
  <si>
    <t>10.1080/07900620903392190</t>
  </si>
  <si>
    <t>This paper explains Singapore's holistic approach and effective governance on water management in Singapore. Since gaining independence, an enabling environment which includes a strong political will has pushed the country successfully to achieve self-sufficiency in water. There are also legal/regulatory and institutional frameworks put in place to ensure effective implementation of its water management policies. The institutional framework has facilitated an integrated ‘whole-of-government' approach to land-use planning, water management, a sound built environment and pollution control. Lastly, the technical framework that comes under its national water agency has effectively managed the entire water cycle as a single system for the whole country.</t>
  </si>
  <si>
    <t>UZEFCDJ7</t>
  </si>
  <si>
    <t>Lu, Xin; Wrathall, David J.; Sunds??y, P. l Roe; Nadiruzzaman, Md; Wetter, Erik; Iqbal, Asif; Qureshi, Taimur; Tatem, Andrew; Canright, Geoffrey; Eng??-Monsen, Kenth; Bengtsson, Linus</t>
  </si>
  <si>
    <t>Unveiling hidden migration and mobility patterns in climate stressed regions: A longitudinal study of six million anonymous mobile phone users in Bangladesh</t>
  </si>
  <si>
    <t>10.1016/j.gloenvcha.2016.02.002</t>
  </si>
  <si>
    <t>Climate change is likely to drive migration from environmentally stressed areas. However quantifying short and long-term movements across large areas is challenging due to difficulties in the collection of highly spatially and temporally resolved human mobility data. In this study we use two datasets of individual mobility trajectories from six million de-identified mobile phone users in Bangladesh over three months and two years respectively. Using data collected during Cyclone Mahasen, which struck Bangladesh in May 2013, we show first how analyses based on mobile network data can describe important short-term features (hours-weeks) of human mobility during and after extreme weather events, which are extremely hard to quantify using standard survey based research. We then demonstrate how mobile data for the first time allow us to study the relationship between fundamental parameters of migration patterns on a national scale. We concurrently quantify incidence, direction, duration and seasonality of migration episodes in Bangladesh. While we show that changes in the incidence of migration episodes are highly correlated with changes in the duration of migration episodes, the correlation between in- and out-migration between areas is unexpectedly weak. The methodological framework described here provides an important addition to current methods in studies of human migration and climate change.</t>
  </si>
  <si>
    <t>EWKB3XUK</t>
  </si>
  <si>
    <t>Liu, Wei; Vogt, Christine A.; Luo, Junyan; He, Guangming; Frank, Kenneth A.; Liu, Jianguo</t>
  </si>
  <si>
    <t>Drivers and Socioeconomic Impacts of Tourism Participation in Protected Areas</t>
  </si>
  <si>
    <t>10.1371/journal.pone.0035420</t>
  </si>
  <si>
    <t>QB7MV8KG</t>
  </si>
  <si>
    <t>Liu, Jianguo; Hull, Vanessa; Yang, Wu; Viña, Andrés; Chen, Xiaodong; Ouyang, Zhiyun; Zhang, Hemin; Liu, Wei; Lupi, Frank</t>
  </si>
  <si>
    <t>Energy Transition from Fuelwood to Electricity</t>
  </si>
  <si>
    <t>Pandas and People: Coupling Human and Natural Systems for Sustainability</t>
  </si>
  <si>
    <t>ZY5F8YCB</t>
  </si>
  <si>
    <t>Lubell, Mark; Zahran, Sammy; Vedlitz, Arnold</t>
  </si>
  <si>
    <t>Collective Action and Citizen Responses to Global Warming</t>
  </si>
  <si>
    <t>Political Behavior</t>
  </si>
  <si>
    <t>10.1007/s11109-006-9025-2</t>
  </si>
  <si>
    <t>391-413</t>
  </si>
  <si>
    <t>IJI9SPSR</t>
  </si>
  <si>
    <t>Malaj, Egina; von der Ohe, Peter C.; Grote, Matthias; Kühne, Ralph; Mondy, Cédric P.; Usseglio-Polatera, Philippe; Brack, Werner; Schäfer, Ralf B.</t>
  </si>
  <si>
    <t>Protection of freshwater ecosystems from organic pollutants is important to preserve biodiversity and the goods they provide to society, such as clean drinking water and recreation. Organic chemicals have been shown to adversely impact freshwater ecosystems in local and regional studies. Nevertheless, due to paucity of studies on larger spatial scales, it remains unknown how widespread the risk from organic chemicals is. For the first time, to our knowledge, we provide strong evidence that chemicals threaten the ecological integrity and consequently the biodiversity of almost half of the water bodies on a continental scale, based on the analysis of governmental monitoring data from 4,000 European sites. Due to limitations associated with the monitoring programs, our results are likely to underestimate the actual risks.Organic chemicals can contribute to local and regional losses of freshwater biodiversity and ecosystem services. However, their overall relevance regarding larger spatial scales remains unknown. Here, we present, to our knowledge, the first risk assessment of organic chemicals on the continental scale comprising 4,000 European monitoring sites. Organic chemicals were likely to exert acute lethal and chronic long-term effects on sensitive fish, invertebrate, or algae species in 14% and 42% of the sites, respectively. Of the 223 chemicals monitored, pesticides, tributyltin, polycyclic aromatic hydrocarbons, and brominated flame retardants were the major contributors to the chemical risk. Their presence was related to agricultural and urban areas in the upstream catchment. The risk of potential acute lethal and chronic long-term effects increased with the number of ecotoxicologically relevant chemicals analyzed at each site. As most monitoring programs considered in this study only included a subset of these chemicals, our assessment likely underestimates the actual risk. Increasing chemical risk was associated with deterioration in the quality status of fish and invertebrate communities. Our results clearly indicate that chemical pollution is a large-scale environmental problem and requires far-reaching, holistic mitigation measures to preserve and restore ecosystem health.</t>
  </si>
  <si>
    <t>9549-9554</t>
  </si>
  <si>
    <t>9U8PTW4F</t>
  </si>
  <si>
    <t>Madajewicz, Malgosia; Pfaff, Alexander; van Geen, Alexander; Graziano, Joseph; Hussein, Iftikhar; Momotaj, Hasina; Sylvi, Roksana; Ahsan, Habibul</t>
  </si>
  <si>
    <t>Can information alone change behavior? Response to arsenic contamination of groundwater in Bangladesh</t>
  </si>
  <si>
    <t>10.1016/j.jdeveco.2006.12.002</t>
  </si>
  <si>
    <t>2007-11</t>
  </si>
  <si>
    <t>731-754</t>
  </si>
  <si>
    <t>ITX6JGXF</t>
  </si>
  <si>
    <t>MacDicken, Kenneth G.; Sola, Phosiso; Hall, John E.; Sabogal, Cesar; Tadoum, Martin; de Wasseige, Carlos</t>
  </si>
  <si>
    <t>Global progress toward sustainable forest management</t>
  </si>
  <si>
    <t>10.1016/j.foreco.2015.02.005</t>
  </si>
  <si>
    <t>Sustainable forest management (SFM) is many things to many people – yet a common thread is the production of forest goods and services for the present and future generations. The promise of sustainability is rooted in the two premises; first that ecosystems have the potential to renew themselves and second that economic activities and social perceptions or values that define human interaction with the environment are choices that can be modified to ensure the long term productivity and health of the ecosystem. SFM addresses a great challenge in matching the increasing demands of a growing human population while maintaining ecological functions of healthy forest ecosystems. This paper does not seek to define SFM, but rather provides analyses of key indicators for the national-scale enabling environment to gain a global insight into progress in implementing enabling and implementing SFM at the national and operational levels. Analyses of the Global Forest Resources Assessment 2015 (FRA) country report data are used to provide insights into the current state of progress in implementing the enabling conditions for SFM. Over 2.17 billion ha of the world's forest area are predicted by governments to remain in permanent forest land use, of which some 1.1 billion ha are covered by all of the SFM tools investigated in FRA 2015. At the global scale, SFM-related policies and regulations are reported to be in place on 97% of global forest area. While the number of countries with national forest inventories has increased over that past ten years from 48 to 112, only 37% of forests in low income countries are covered by forest inventories. Forest management planning and monitoring of plans has increased substantially as has forest management certification, which exceeded a total of over 430 million ha in 2014. However, 90% of internationally verified certification is in the boreal and temperate climatic domains – only 6% of permanent forests in the tropical domain have been certified as of 2014. Results show that more work is needed to expand the extent and depth of work on establishing the enabling conditions that support SFM over the long term and suggests where those needs are greatest.</t>
  </si>
  <si>
    <t>47-56</t>
  </si>
  <si>
    <t>I6W66R9N</t>
  </si>
  <si>
    <t>Lujala, Päivi</t>
  </si>
  <si>
    <t>The spoils of nature: Armed civil conflict and rebel access to natural resources</t>
  </si>
  <si>
    <t>10.1177/0022343309350015</t>
  </si>
  <si>
    <t>https://doi.org/10.1177/0022343309350015</t>
  </si>
  <si>
    <t>Why is armed civil conflict more common in resource-dependent countries than in others? Several studies have attempted to unravel mechanisms on why natural resources are linked to armed conflict, but no coherent picture has yet emerged. This article seeks to address this puzzle by concentrating on the issue of how rebel access to natural resources affects conflict. It uses data on gemstone and hydrocarbon localities throughout the world and controls for the spatial and temporal overlap of resources and conflict. The results show that the location of resources is crucial to their impact on conflict duration. If resources are located inside the actual conflict zone, the duration of conflict is doubled. Interestingly, oil and gas reserves have this effect on duration regardless of whether there has been production or not. In addition, a country-level analysis suggests that oil production increases the risk of conflict onset when located onshore; offshore production has no effect on onset. These results support the assertion that natural resources play a central role in armed civil conflicts because of the incentives and opportunities they present for rebel groups.</t>
  </si>
  <si>
    <t>15-28</t>
  </si>
  <si>
    <t>6URDRQDQ</t>
  </si>
  <si>
    <t>Majuru, Batsirai; Suhrcke, Marc; Hunter, Paul R.</t>
  </si>
  <si>
    <t>How Do Households Respond to Unreliable Water Supplies ? A Systematic Review</t>
  </si>
  <si>
    <t>10.3390/ijerph13121222</t>
  </si>
  <si>
    <t>1222</t>
  </si>
  <si>
    <t>SKK2BURB</t>
  </si>
  <si>
    <t>Macedo, M. N.; DeFries, R. S.; Morton, D. C.; Stickler, C. M.; Galford, G. L.; Shimabukuro, Y. E.</t>
  </si>
  <si>
    <t>From 2006 to 2010, deforestation in the Amazon frontier state of Mato Grosso decreased to 30% of its historical average (1996– 2005) whereas agricultural production reached an all-time high. This study combines satellite data with government deforestation and production statistics to assess land-use transitions and potential market and policy drivers associated with these trends. In the forested region of the state, increased soy production from 2001 to 2005 was entirely due to cropland expansion into previously cleared pasture areas (74%) or forests (26%). From 2006 to 2010, 78% of production increases were due to expansion (22% to yield increases), with 91% on previously cleared land. Cropland expansion fell from 10 to 2% of deforestation between the two periods, with pasture expansion accounting for most remaining deforestation. Declining deforestation coincided with a collapse of commodity markets and implementation of policy measures to reduce deforestation. Soybean profitability has since increased to pre- 2006 levels whereas deforestation continued to decline, suggesting that antideforestation measures may have influenced the agricultural sector. We found little evidence of direct leakage of soy expansion into cerrado in Mato Grosso during the late 2000s, although indirect land-use changes and leakage to more distant regions are possible. This study provides evidence that reduced deforestation and increased agricultural production can occur simultaneously in tropical forest frontiers, provided that land is available and policies promote the efficient use of already-cleared lands (intensification) while restricting deforestation. It remains uncertain whether government- and industry-led policies can contain deforestation if future market conditions favor another boom in agricultural expansion.</t>
  </si>
  <si>
    <t>ZCF5XMKZ</t>
  </si>
  <si>
    <t>Ma, Shan; Swinton, Scott M.</t>
  </si>
  <si>
    <t>Valuation of ecosystem services from rural landscapes using agricultural land prices ☆</t>
  </si>
  <si>
    <t>10.1016/j.ecolecon.2011.04.004</t>
  </si>
  <si>
    <t>1649-1659</t>
  </si>
  <si>
    <t>8Z6ESEYG</t>
  </si>
  <si>
    <t>Lüthi, Dieter; Le Floch, Martine; Bereiter, Bernhard; Blunier, Thomas; Barnola, Jean-Marc; Siegenthaler, Urs; Raynaud, Dominique; Jouzel, Jean; Fischer, Hubertus; Kawamura, Kenji; Stocker, Thomas F.</t>
  </si>
  <si>
    <t>Changes in past atmospheric carbon dioxide concentrations can be determined by measuring the composition of air trapped in ice cores from Antarctica. So far, the Antarctic Vostok and EPICA Dome C ice cores have provided a composite record of atmospheric carbon dioxide levels over the past 650,000 years. Here we present results of the lowest 200 m of the Dome C ice core, extending the record of atmospheric carbon dioxide concentration by two complete glacial cycles to 800,000 yr before present. From previously published data and the present work, we find that atmospheric carbon dioxide is strongly correlated with Antarctic temperature throughout eight glacial cycles but with significantly lower concentrations between 650,000 and 750,000 yr before present. Carbon dioxide levels are below 180 parts per million by volume (p.p.m.v.) for a period of 3,000 yr during Marine Isotope Stage 16, possibly reflecting more pronounced oceanic carbon storage. We report the lowest carbon dioxide concentration measured in an ice core, which extends the pre-industrial range of carbon dioxide concentrations during the late Quaternary by about 10 p.p.m.v. to 172-300 p.p.m.v.</t>
  </si>
  <si>
    <t>VKR27CPD</t>
  </si>
  <si>
    <t>Mastrorillo, Marina; Licker, Rachel; Bohra-Mishra, Pratikshya; Fagiolo, Giorgio; D. Estes, Lyndon; Oppenheimer, Michael</t>
  </si>
  <si>
    <t>The influence of climate variability on internal migration flows in South Africa</t>
  </si>
  <si>
    <t>10.1016/j.gloenvcha.2016.04.014</t>
  </si>
  <si>
    <t>This work investigates the impact of climate variability on internal migration flows in post-apartheid South Africa. We combine information from South African censuses and climatic data to build a panel database covering the waves 1997-2001 and 2007-2011. The database enables the examination of the effect of spatiotemporal variability in temperature and precipitation on inter-district migration flows defined by five-year intervals. We employ a gravity approach where bilateral migration flows are explained by climate variability at the origin, along with a number of geographic, socio-economic and demographic factors traditionally identified as potential drivers of migration. Overall, we find that an increase in positive temperature extremes as well as positive and negative excess rainfall at the origin act as a push effect and enhance out-migration. However, the significance of the effect of climate on migration greatly varies by migrant characteristics. Particularly, flows of black and low-income South African migrants are strongly influenced by climatic variables whereas those of white and high-income migrants exhibit a weak impact. We also argue that agriculture may function as a transmission channel through which adverse climatic conditions affect migration.</t>
  </si>
  <si>
    <t>CYRTB6D3</t>
  </si>
  <si>
    <t>Marshall, Stephen</t>
  </si>
  <si>
    <t>Cities design evolution</t>
  </si>
  <si>
    <t>QUWNAGRE</t>
  </si>
  <si>
    <t>Marlier, Miriam E.; DeFries, Ruth S.; Kim, Patrick S.; Koplitz, Shannon N.; Jacob, Daniel J.; Mickley, Loretta J.; Myers, Samuel S.</t>
  </si>
  <si>
    <t>Fire emissions and regional air quality impacts from fires in oil palm, timber, and logging concessions in Indonesia</t>
  </si>
  <si>
    <t>10.1088/1748-9326/10/8/085005</t>
  </si>
  <si>
    <t>Fires associated with agricultural and plantation development in Indonesia impact ecosystem services and release emissions into the atmosphere that degrade regional air quality and contribute to greenhouse gas concentrations. In this study, we estimate the relative contributions of the oil palm, timber (for wood pulp and paper), and logging industries in Sumatra and Kalimantan to land cover change, fire activity, and regional population exposure to smoke concentrations. Concessions for these three industries cover 21% and 49% of the land area in Sumatra and Kalimantan respectively, with the highest overall area in lowlands on mineral soils instead of more carbon-rich peatlands. In 2012, most remaining forest area was located in logging concessions for both islands, and for all combined concessions, there was higher remaining lowland and peatland forest area in Kalimantan (45% and 46%, respectively) versus Sumatra (20% and 27%, respectively). Emissions from all combined concessions comprised 41% of total fire emissions (within and outside of concession boundaries) in Sumatra and 27% in Kalimantan for the 2006 burning season, which had high fire activity relative to decadal emissions. Most fire emissions were observed in concessions located on peatlands and non-forested lowlands, the latter of which could include concessions that are currently under production, cleared in preparation for production, or abandoned lands. For the 2006 burning season, timber concessions from Sumatra (47% of area and 88% of emissions) and oil palm concessions from Kalimantan (33% of area and 67% of emissions) contributed the most to concession-related fire emissions from each island. Although fire emissions from concessions were higher in Kalimantan, emissions from Sumatra contributed 63% of concession-related smoke concentrations for the population-weighted region because fire sources were located closer to population centers. In order to protect regional public health, our results highlight the importance of limiting the use of fire by the timber and oil palm industries, particularly on concessions that contain peatlands and non-forest, by such methods as improving monitoring systems, local-level management, and enforcement of existing fire bans.</t>
  </si>
  <si>
    <t>VBF42AT8</t>
  </si>
  <si>
    <t>Manfredo, Michael J.; Yuan, Susan M.; McGuire, Francis A.</t>
  </si>
  <si>
    <t>The Influence of Attitude Accessibility on Attitude-Behavior Relationships: Implications for Recreation Research</t>
  </si>
  <si>
    <t>10.1080/00222216.1992.11969883</t>
  </si>
  <si>
    <t>157-170</t>
  </si>
  <si>
    <t>SKJPJNSJ</t>
  </si>
  <si>
    <t>Masera, Omar R.; Saatkamp, Barbara D.; Kammen, Daniel M.</t>
  </si>
  <si>
    <t>From Linear Fuel Switching to Multiple Cooking Strategies: A Critique and Alternative to the Energy Ladder Model</t>
  </si>
  <si>
    <t>10.1016/S0305-750X(00)00076-0</t>
  </si>
  <si>
    <t>Promoting sustainable development requires evaluating the technical and policy options that will facilitate the adoption and use of energy efficient and less polluting cooking stoves and practices. The transition from traditional to modern fuels and devices has been explained by the "energy ladder" model that suggests that with increasing affluence, a progression is expected from traditional biomass fuels to more advanced and less polluting fuels. In this paper we evaluate the energy ladder model utilizing data from a four-year (1992-96) case study of a village in Mexico and from a large-scale survey from four states of Mexico. We show that an alternate "multiple fuel" model of stove and fuel management based on the observed pattern of household accumulation of energy options, rather than the simple progression depicted in the traditional energy ladder scenario, more accurately depicts cooking fuel use patterns in rural households. The "multiple fuel" model integrates four factors demonstrated to be essential in household decision making under conditions of resource scarcity or uncertainty: (a) economics of fuel and stove type and access conditions to fuels, (b) technical characteristics of cookstoves and cooking practices; (c) cultural preferences; and (d) health impacts. This model also allows better estimates of the expected fuelwood demand and indoor air pollution in rural households. © 2000 Elsevier Science Ltd. All rights reserved.</t>
  </si>
  <si>
    <t>2083-2103</t>
  </si>
  <si>
    <t>G5CIP8HZ</t>
  </si>
  <si>
    <t>Masera, O.; Bailis, Robert; Drigo, Rudi; Ghilardi, Adrian; Ruiz-Mercado, Ilse</t>
  </si>
  <si>
    <t>Environmental Burden of Traditional Bioenergy Use</t>
  </si>
  <si>
    <t>10.1146/annurev-environ-102014-021318</t>
  </si>
  <si>
    <t>Approximately 40% of the global population relies on traditional bioenergy, accounting for 9% of global energy use and 55% of global wood harvest. However, knowledge about the environmental impacts of traditional bioenergy is fragmented. This review addresses several persistent questions and summarizes recent research on land cover change (LCC) and pollution emissions resulting from traditional bioenergy use. We also review recent studies analyzing transitions from traditional bioenergy to cleaner stoves and fuels. Between 27 and 34% of the wood fuel harvest in 2009 was unsustainable, with large geographical variations. Approximately 200 million rural people live in wood fuel “hotspots,” concentrated in South Asia and East Africa, creating risks of wood-fuel-driven degradation. Different fuels and stoves show variation in climate-forcing emissions. Many, but not all, nontraditional stoves result in lower emissions than traditional models. Traditional bioenergy makes substantial contributions to anthropogenic black carbon (BC) emissions (18–30%) and small contributions to total anthropogenic climate impacts (2–8%). Transitions from traditional fuels and devices have proven difficult. Stacking, i.e., the use of multiple devices and fuels to satisfy household energy needs, is common, showing the need to shift stove interventions from the common approach that promotes one fuel and one device to integrated approaches that incorporate deep understanding of local needs and practices, and multiple fuels and devices, while monitoring residual use of traditional technologies.</t>
  </si>
  <si>
    <t>121-150</t>
  </si>
  <si>
    <t>9PHAKPRN</t>
  </si>
  <si>
    <t>Matta, Jagannadha R.; Alavalapati, Janaki R. R.</t>
  </si>
  <si>
    <t>Perceptions of collective action and its success in community based natural resource management: An empirical analysis</t>
  </si>
  <si>
    <t>10.1016/j.forpol.2005.06.014</t>
  </si>
  <si>
    <t>Community based natural resource management (CBNRM) has received considerable attention in recent years and is being actively encouraged across the world as a successful strategy in promoting natural resource governance. Its efficacy in the field, however, is highly variable. The present study, based on an empirical analysis of the Joint Forest Management program in Tamil Nadu, India, explores the variation in the perceptions of collective action among community members, and analyzes the factors influencing perceptions of its performance. The results underline the need for a shared understanding of the collective action among community members for the joint venture's success and sustainability. Further, the analysis highlights the role of costs and benefits entailed in collective action in influencing the perceptions of its performance. The authors suggest careful consideration of differences in community members' understanding of the collective action and its impacts, before and during the implementation of CBNRM strategies. ?? 2005 Elsevier B.V. All rights reserved.</t>
  </si>
  <si>
    <t>274-284</t>
  </si>
  <si>
    <t>T5DL6L82</t>
  </si>
  <si>
    <t>Matos, G.; Miller, L.; Barry, J.</t>
  </si>
  <si>
    <t>Historical Global Statistics for Mineral and Material Commodities</t>
  </si>
  <si>
    <t>US Geological Survey Data Series 896</t>
  </si>
  <si>
    <t>P4BWKRHN</t>
  </si>
  <si>
    <t>Mather, Alexander S.; Needle, C. L.</t>
  </si>
  <si>
    <t>The forest transition: A theoretical basis</t>
  </si>
  <si>
    <t>Area</t>
  </si>
  <si>
    <t>00040894</t>
  </si>
  <si>
    <t>10.1111/j.1475-4762.1998.tb00055.x</t>
  </si>
  <si>
    <t>Summary A theoretical basis for the forest transition (the change from contraction to expansion of national forest area) is suggested in terms of increasing agricultural adjustment to land quality. This adjustment, operating through a process of learning by farmers, results in the concentration of agricultural production in smaller areas of better land, and the agricultural abandonment of larger areas of poorer land, which are then available for reforestation through natural regeneration or planting.</t>
  </si>
  <si>
    <t>117-124</t>
  </si>
  <si>
    <t>SMABD7WB</t>
  </si>
  <si>
    <t>Fearnside, Philip M.</t>
  </si>
  <si>
    <t>Deforestation and International Economic Development Projects in Brazilian Amazonia</t>
  </si>
  <si>
    <t>08888892, 15231739</t>
  </si>
  <si>
    <t>10.1111/j.1523-1739.1987.tb00035.x</t>
  </si>
  <si>
    <t>International economic development projects speed deforestation in Brazil's Amazon region. Highways financed by these projects form a key link in a positive feedback relationship between deforestation and population migration. Roads facilitate entry of settlers whose land claims (established by deforestation) justify building more roads. Deforestation is explosive in Rondonia, site of the World Bank-financed POLONOROESTE project. Increased deforestation is likely in Acre, where highway improvement financed by the Interamerican Development Bank is under way, and (if funded) in the Grande Carajas agricultural program area. Deforested areas are usually converted to low-diversity cattle pasture to secure land claims at minimal cost. Pasture also facilitates obtaining land titles. Profits from land sales are enhanced by road improvements and by titling. Government and development project efforts to encourage nonpasture uses are unlikely to be effective in the absence of reforms limiting the profitability of land speculation. Economic development projects in Brazilian Amazonia share many common patterns that lead to heavy impact on the region's natural ecosystems. High-level decisions make the projects irreversible before environmental and land capability studies are made–or even in spite of negative indications that are already known. Previous commitments to preserving natural habitats and tribal areas are frequently reneged. Environmental measures are often mere symbolic actions serving only to tranquilize public concern during the key period when the development is not yet a fait accompli. Projects in Amazonia are often undertaken to alleviate social problems outside the region, especially by absorbing migrants who leave southern and northeastern Brazil because of population growth, agricultural transformation, and land tenure concentration. If they are to be effective, measures addressing these problems must be applied directly in the migrant source areas. Financing Brazil's agrarian reform efforts in these areas represents a major opportunity for international lending agencies to help slow Amozonian deforestation.</t>
  </si>
  <si>
    <t>2022-09-23 09:12:47</t>
  </si>
  <si>
    <t>2022-09-23T09:12:47Z</t>
  </si>
  <si>
    <t>214-221</t>
  </si>
  <si>
    <t>EJTCVR2Q</t>
  </si>
  <si>
    <t>Ermolin, Ilya; Svolkinas, Linas</t>
  </si>
  <si>
    <t>Who owns sturgeon in the Caspian? New theoretical model of social responses towards state conservation policy</t>
  </si>
  <si>
    <t>10.1007/s10531-016-1211-x</t>
  </si>
  <si>
    <t>2022-09-23 09:10:27</t>
  </si>
  <si>
    <t>2022-09-23T09:10:27Z</t>
  </si>
  <si>
    <t>2929-2945</t>
  </si>
  <si>
    <t>DBAQ8Z7U</t>
  </si>
  <si>
    <t>Ezzine-de-Blas, Driss; Dutilly, Céline</t>
  </si>
  <si>
    <t>The policyscape as a conceptual framework to study the combination of conservation and development policies in the territory: the case of Mexico</t>
  </si>
  <si>
    <t>Living territories to transform</t>
  </si>
  <si>
    <t>174</t>
  </si>
  <si>
    <t>ZQYVI8C2</t>
  </si>
  <si>
    <t>Farber, Stephen; Griner, Brian</t>
  </si>
  <si>
    <t>Valuing watershed quality improvements using conjoint analysis</t>
  </si>
  <si>
    <t>10.1016/S0921-8009(00)00153-1</t>
  </si>
  <si>
    <t>63-76</t>
  </si>
  <si>
    <t>LLBDYVEU</t>
  </si>
  <si>
    <t>Ezzine-de-Blas, Driss; Wunder, Sven; Ruiz-Pérez, Manuel; Moreno-Sanchez, Rocio del Pilar</t>
  </si>
  <si>
    <t>Global Patterns in the Implementation of Payments for Environmental Services</t>
  </si>
  <si>
    <t>10.1371/journal.pone.0149847</t>
  </si>
  <si>
    <t>https://dx.plos.org/10.1371/journal.pone.0149847</t>
  </si>
  <si>
    <t>2016-03-03</t>
  </si>
  <si>
    <t>2022-09-23 08:19:35</t>
  </si>
  <si>
    <t>2022-09-23T08:19:35Z</t>
  </si>
  <si>
    <t>2022-09-22 07:28:12</t>
  </si>
  <si>
    <t>e0149847</t>
  </si>
  <si>
    <t>García-Gallego, Aurora</t>
  </si>
  <si>
    <t>6VZSWTAS</t>
  </si>
  <si>
    <t>Eriksen, Marcus; Lebreton, Laurent C. M.; Carson, Henry S.; Thiel, Martin; Moore, Charles J.; Borerro, Jose C.; Galgani, Francois; Ryan, Peter G.; Reisser, Julia</t>
  </si>
  <si>
    <t>https://dx.plos.org/10.1371/journal.pone.0111913</t>
  </si>
  <si>
    <t>2014-12-10</t>
  </si>
  <si>
    <t>2022-09-23 07:56:14</t>
  </si>
  <si>
    <t>2022-09-23T07:56:14Z</t>
  </si>
  <si>
    <t>2022-09-19 21:16:58</t>
  </si>
  <si>
    <t>e111913</t>
  </si>
  <si>
    <t>Plastic Pollution in the World's Oceans</t>
  </si>
  <si>
    <t>ipbes-global_chapter2.1_drivers; ipbes-global_chapter3; ipbes-global_chapter4</t>
  </si>
  <si>
    <t>Dam, Hans G.</t>
  </si>
  <si>
    <t>H68CZCUX</t>
  </si>
  <si>
    <t>Fa, John E.; Currie, Dominic; Meeuwig, Jessica</t>
  </si>
  <si>
    <t>Bushmeat and food security in the Congo Basin: Linkages between wildlife and people's future</t>
  </si>
  <si>
    <t>10.1017/S0376892903000067</t>
  </si>
  <si>
    <t>Tropical moist forests in Africa are concentrated in the Congo Basin. A variety of animals in these forests, in particular mammals, are hunted for their meat, termed bushmeat. This paper investigates current and future trends of bushmeat protein, and non-bushmeat protein supply, for inhabitants of the main Congo Basin countries. Since most bushmeat is derived from forest mammals, published extraction (E) and produc- tion (P) estimates of mammal populations were used to calculate the per person protein supplied by these. Current bushmeat protein supply may range from 30g person?1 day?1 in the Democratic Republic of Congo, to 180 g person?1 day?1 in Gabon. Future bushmeat protein supplies were predicted for the next 50 years by employing current E:P ratios, and controlling for known deforestation and population growth rates. At current exploitation rates, bushmeat protein supply would drop 81% in all countries in less than 50 years; only three countries would be able to maintain a protein supply above the recommended daily require- ment of 52g person?1 day?1. However, if bushmeat harvests were reduced to a sustainable level, all coun- tries except Gabon would be dramatically affected by the loss of wild protein supply. The dependence on bushmeat protein is emphasized by the fact that four out of the five countries studied do not produce suffi- cient amounts of non-bushmeat protein to feed their populations. These findings imply that a significant number of forest mammals could become extinct rela- tively soon, and that protein malnutrition is likely to increase dramatically if food security in the region is not promptly resolved. Keywords:</t>
  </si>
  <si>
    <t>71-78</t>
  </si>
  <si>
    <t>M7P947TX</t>
  </si>
  <si>
    <t>FAO; ITPS</t>
  </si>
  <si>
    <t>Status of the World's Soil Resources (SWSR) - Main report</t>
  </si>
  <si>
    <t>http://www.fao.org/3/a-i5199e.pdf</t>
  </si>
  <si>
    <t>FAO, ITPS</t>
  </si>
  <si>
    <t>ipbes-global_chapter2.1_drivers; ipbes-global_chapter2.2_nature; ipbes-global_chapter2.3_ncp; ipbes-global_glossary</t>
  </si>
  <si>
    <t>IWWK59UM</t>
  </si>
  <si>
    <t>The State of World Fisheries and Aquaculture 2016. Contributing to food security and nutrition for all</t>
  </si>
  <si>
    <t>http://www.fao.org/3/a-i5555e.pdf ftp://ftp.fao.org/docrep/fao/011/i0250e/i0250e.pdf</t>
  </si>
  <si>
    <t>ipbes-global_chapter2.1_drivers; ipbes-global_chapter2.2_nature; ipbes-global_chapter2.3_ncp; ipbes-global_chapter4; ipbes-global_chapter5</t>
  </si>
  <si>
    <t>TSH3YDP8</t>
  </si>
  <si>
    <t>The State of World Fisheries and Aquaculture - Opportunities and challenges</t>
  </si>
  <si>
    <t>978-92-5-108275-1</t>
  </si>
  <si>
    <t>2N83HNB7</t>
  </si>
  <si>
    <t>The state of the world's land and water resources for food and agriculture (SOLAW) – Managing systems at risk</t>
  </si>
  <si>
    <t>Q89MJZRT</t>
  </si>
  <si>
    <t>Rethinking public policy in agriculture. Lessons from distant and recent history</t>
  </si>
  <si>
    <t>978-92-5-106437-5</t>
  </si>
  <si>
    <t>http://www.fao.org/3/i1217e/i1217e.pdf</t>
  </si>
  <si>
    <t>Chang, Ha-Joon</t>
  </si>
  <si>
    <t>QD9CG9QY</t>
  </si>
  <si>
    <t>Pesticides indicators</t>
  </si>
  <si>
    <t>http://www.fao.org/faostat/en/#data/EP</t>
  </si>
  <si>
    <t>TQYR9HG3</t>
  </si>
  <si>
    <t>http://www.fao.org/faostat/en/#data/EF</t>
  </si>
  <si>
    <t>NIGS5TCY</t>
  </si>
  <si>
    <t>Review of the state of world marine fishery resources</t>
  </si>
  <si>
    <t>http://www.fao.org/3/y5852e/Y5852E00.htm</t>
  </si>
  <si>
    <t>457</t>
  </si>
  <si>
    <t>7DSRR7JC</t>
  </si>
  <si>
    <t>The State of Food and Agriculture. Biofuels: Prospects, Risks and Opportunities</t>
  </si>
  <si>
    <t>CUDGB5AS</t>
  </si>
  <si>
    <t>The State of World Fisheries and Aquaculture 1998</t>
  </si>
  <si>
    <t>B9D5U3UH</t>
  </si>
  <si>
    <t>Fisheries management. 4. Marine protected areas and fisheries.</t>
  </si>
  <si>
    <t>978-92-5-106790-1</t>
  </si>
  <si>
    <t>This document on Marine protected areas (MPAs) and fisheries has been developed to provide information and guidance on the use of marine protected areas (MPAs) in the context of fisheries. As MPA implementation moves ahead in the arena of marine biodiversity conservation, many people feel that the fisheries aspects are not fully understood nor always appropriately taken into account, and that guidance specific to this sector is needed. These Guidelines look specifically at fisheries features of MPAs, but also address the interface between fisheries management and biodiversity conservation and provide support for MPAs with multiple objectives. The document highlights the need for increased coordination across sectors and agencies/departments. Integration of diverse interests and viewpoints is required if we are to successfully manage our oceans and their resources for future generations. As with all fisheries management, good governance – including adequate stakeholder participation – is key to successful and equitable management outcomes.</t>
  </si>
  <si>
    <t>198</t>
  </si>
  <si>
    <t>FAO Technical Guidelines for Responsible Fisheries</t>
  </si>
  <si>
    <t>Suppl. 4</t>
  </si>
  <si>
    <t>IFFUZ69N</t>
  </si>
  <si>
    <t>The State of World Fisheries and Aquaculture 2008</t>
  </si>
  <si>
    <t>DBIQ7SE9</t>
  </si>
  <si>
    <t>The state of food and agriculture</t>
  </si>
  <si>
    <t>236</t>
  </si>
  <si>
    <t>QDM59TT2</t>
  </si>
  <si>
    <t>The State of World Fisheries and Aquaculture 2006</t>
  </si>
  <si>
    <t>QZYG249L</t>
  </si>
  <si>
    <t>FAO Statement on Biotechnology</t>
  </si>
  <si>
    <t>http://www.fao.org/biotech/fao-statement-on-biotechnology/en/</t>
  </si>
  <si>
    <t>HI7J52PG</t>
  </si>
  <si>
    <t>Access to improved sanitation facilities (%)</t>
  </si>
  <si>
    <t>https://landportal.org/book/indicators/indfaofsec3</t>
  </si>
  <si>
    <t>9G53YAUX</t>
  </si>
  <si>
    <t>FAOSTAT</t>
  </si>
  <si>
    <t>http://www.fao.org/faostat</t>
  </si>
  <si>
    <t>FAOSTAT provides time-series and cross sectional data relating to food and agriculture for some 200 countries.</t>
  </si>
  <si>
    <t>SYZ395ST</t>
  </si>
  <si>
    <t>Fisheries and Aquaculture Statistics</t>
  </si>
  <si>
    <t>978-92-5-006975-3</t>
  </si>
  <si>
    <t>http://www.fao.org/3/a-i7989t.pdf</t>
  </si>
  <si>
    <t>Today, the global community faces multiple and interlinked challenges ranging from the impacts of the ongoing financial and economic crisis to greater climate change vulnerabilities and extreme weather events. At the same time, it must also reconcile meeting the pressing food and nutrition needs of a growing population with finite natural resources. This edition of The State of World Fisheries and Aquaculture shows how these issues affect fisheries and aquaculture sector and how the sector is attempting to address them in a sustainable manner.Fisheries and aquaculture make crucial contributions to the world's well- being and prosperity. In the last five decades, world fish food supply has outpaced global population growth, and today fish constitutes an important source of nutritious food and animal protein for much of the world's population. In addition, the sector provides livelihoods and income, both directly and indirectly, for a significant share of the world's population.</t>
  </si>
  <si>
    <t>1–230</t>
  </si>
  <si>
    <t>8XJAA2TF</t>
  </si>
  <si>
    <t>State of the World 's Forests</t>
  </si>
  <si>
    <t>ISBN 978-92-5-107292-9</t>
  </si>
  <si>
    <t>http://www.fao.org/3/i3010e/i3010e00.htm</t>
  </si>
  <si>
    <t>2012 edition of State of the World's Forests focuses on the critical role that forests play in sustainable production and consumption systems. In this milestone tenth edition, it is appropriate to take a look back to understand the important role that forests and forestry have played in shaping the world as it is today.</t>
  </si>
  <si>
    <t>9L9XWT6L</t>
  </si>
  <si>
    <t>The Charcoal transition. Greening the charcoal value chain to mitigate climate change and improve local livelihoods</t>
  </si>
  <si>
    <t>van Dam, J.</t>
  </si>
  <si>
    <t>ZU39FBX7</t>
  </si>
  <si>
    <t>ESA</t>
  </si>
  <si>
    <t>CCI Land cover</t>
  </si>
  <si>
    <t>https://www.esa-landcover-cci.org/?q=node/164</t>
  </si>
  <si>
    <t>2017-04-01 00:00:00</t>
  </si>
  <si>
    <t>V2IDCVC3</t>
  </si>
  <si>
    <t>Fan, Shenggen; Zhang, Xiaobo</t>
  </si>
  <si>
    <t>Infrastructure and regional economic development in rural China</t>
  </si>
  <si>
    <t>China Economic Review</t>
  </si>
  <si>
    <t>1043951X</t>
  </si>
  <si>
    <t>10.1016/j.chieco.2004.03.001</t>
  </si>
  <si>
    <t>http://linkinghub.elsevier.com/retrieve/pii/S1043951X04000136</t>
  </si>
  <si>
    <t>Infrastructure affects rural development through many channels, such as improved agricultural productivity, increased rural nonfarm employment, and rural migration into urban sectors. However, the role of infrastructure has not been paid enough attention in the literature due to lack of reliable data on various infrastructure indicators. By using newly available detailed data on rural infrastructure from the Agricultural Census and other official sources, this paper uses a traditional source accounting approach to identify the specific role of rural infrastructure and other public capital in explaining productivity difference among regions, throwing new lights on how to allocate limited public resources for both growth and regional equity purposes. ?? 2004 Published by Elsevier Inc.</t>
  </si>
  <si>
    <t>2004-01</t>
  </si>
  <si>
    <t>203-214</t>
  </si>
  <si>
    <t>5ZIKK94F</t>
  </si>
  <si>
    <t>Global food losses and food waste – Extent, causes and prevention</t>
  </si>
  <si>
    <t>ZX8B26GV</t>
  </si>
  <si>
    <t>The Sunken Billions</t>
  </si>
  <si>
    <t>978-0-8213-7790-1</t>
  </si>
  <si>
    <t>Economic losses in marine fisheries resulting from poor management, inefficiencies, and overfishing add up to US$50 billion per year. Taken over the last three decades, these losses total over US$2 trillion, a figure roughly equivalent to the GDP of Italy.The Sunken Billions: The Economic Justification for Fisheries Reform argues that well-managed marine fisheries could turn most of these losses into sustainable economic benefits for millions of fishers and coastal communities.According to this book, the bulk of losses occur in two main ways. First, depleted fish stocks mean that there are fewer fish to catch, and therefore the cost of finding and catching them is greater than it might be. Second, fleet overcapacity means that the economic benefits of fishing are dissipated due to redundant investment and operating costs. The book stresses that the figure of US$50 billion represents a conservative estimate, as it excludes losses to recreational fisheries and marine tourism as well as losses due to illegal fishing.The Sunken Billions argues that strengthened fishing rights can provide fishers and fishing communities with incentives to operate in an economically efficient and socially responsible manner. Phasing out subsidies that enhance redundant fishing capacity and harvesting effort will improve efficiency. Greater transparency in allocation of fish resources and greater public accountability for fisheries management and health of fish stocks will help eco-labeling initiatives to certify sustainable fisheries.</t>
  </si>
  <si>
    <t>2009-02</t>
  </si>
  <si>
    <t>June 2015</t>
  </si>
  <si>
    <t>XX3N7IV3</t>
  </si>
  <si>
    <t>The ecosystem approach to fisheries: issues, terminology, principles, institutional foundations, implementation and outlook</t>
  </si>
  <si>
    <t>71</t>
  </si>
  <si>
    <t>5YDR4WDU</t>
  </si>
  <si>
    <t>Global Forest Resources Assessment 2015. Desk reference</t>
  </si>
  <si>
    <t>978-92-5-108821-0</t>
  </si>
  <si>
    <t>sustainably managed forests provide essential goods and services and thus play a vital part in sustainable development. reliable and up-to-date information on the state of forest resources is crucial to support decision-making for investment and policymaking in forestry and sustainable development. Fao, at the request of its member countries, regularly monitors the world´s forests and their management and uses through the Global Forest resources assessment (Fra). more information on the Fra 2015 process, other publications and online database is available on the Fra web site (www.fao.org/forestry/fra ). the Fra process is coordinated by the Forestry Department at Fao headquarters in rome in coordination with partners in the collaborative Forest resources Questionnaire (cFrQ). these six partners are: the central african Forest commission (comIFac/ oFac), Fao, Forest euroPe, the International tropical timber organization (Itto), the montréal Process, and the united nations economic commission for europe (unece).</t>
  </si>
  <si>
    <t>244</t>
  </si>
  <si>
    <t>4JDLDYMN</t>
  </si>
  <si>
    <t>Voluntary Guidelines on the Responsible Governance of Tenure of Land, Fisheries and Forests in the Context of National Food Security</t>
  </si>
  <si>
    <t>http://www.fao.org/tenure/voluntary-guidelines/en/</t>
  </si>
  <si>
    <t>Food and Agriculture Organization</t>
  </si>
  <si>
    <t>FVPT8MP2</t>
  </si>
  <si>
    <t>The State of Food and Agriculture: Leveraging Food Systems for Inclusive Rural Transformation</t>
  </si>
  <si>
    <t>978-92-5-109873-8</t>
  </si>
  <si>
    <t>DMIU5RM5</t>
  </si>
  <si>
    <t>Elmqvist, T.; Colding, J.; Barthel, S.; Borgstrom, S.; Duit, A.; Lundberg, J.; Andersson, E.; Ahrné, K.; Ernston, H.; Folke, C.; Bengtsson, J.</t>
  </si>
  <si>
    <t>The Dynamics of Social-Ecological Systems in Urban Landscapes: Stockholm and the National Urban Park, Sweden</t>
  </si>
  <si>
    <t>10.1196/annals.1319.017</t>
  </si>
  <si>
    <t>308-322</t>
  </si>
  <si>
    <t>LVM76FBB</t>
  </si>
  <si>
    <t>Ellis, Evan</t>
  </si>
  <si>
    <t>China on the Ground in Latin America: Challenges for the Chinese and Impacts on the Region</t>
  </si>
  <si>
    <t>2DV9CD4B</t>
  </si>
  <si>
    <t>Essington, Timothy E.; Melnychuk, Michael C.; Branch, Trevor a; Heppell, Selina S.; Jensen, Olaf P.; Link, Jason S.; Martell, Steven J. D.; Parma, Ana M.; Pope, John G.; Smith, Anthony D. M.</t>
  </si>
  <si>
    <t>Catch shares, fisheries, and ecological stewardship: a comparative analysis of resource responses to a rights-based policy instrument</t>
  </si>
  <si>
    <t>10.1111/j.1755-263X.2012.00226.x</t>
  </si>
  <si>
    <t>2012-06</t>
  </si>
  <si>
    <t>6TKTCN3I</t>
  </si>
  <si>
    <t>Epstein, Paul R.; Buonocore, Jonathan J.; Eckerle, Kevin; Hendryx, Michael; Stout Iii, Benjamin M.; Heinberg, Richard; Clapp, Richard W.; May, Beverly; Reinhart, Nancy L.; Ahern, Melissa M.; Doshi, Samir K.; Glustrom, Leslie</t>
  </si>
  <si>
    <t>Full cost accounting for the life cycle of coal</t>
  </si>
  <si>
    <t>10.1111/j.1749-6632.2010.05890.x</t>
  </si>
  <si>
    <t>Each stage in the life cycle of coal-extraction, transport, processing, and combustion-generates a waste stream and carries multiple hazards for health and the environment. These costs are external to the coal industry and are thus often considered "externalities." We estimate that the life cycle effects of coal and the waste stream generated are costing the U.S. public a third to over one-half of a trillion dollars annually. Many of these so-called externalities are, moreover, cumulative. Accounting for the damages conservatively doubles to triples the price of electricity from coal per kWh generated, making wind, solar, and other forms of nonfossil fuel power generation, along with investments in efficiency and electricity conservation methods, economically competitive. We focus on Appalachia, though coal is mined in other regions of the United States and is burned throughout the world.</t>
  </si>
  <si>
    <t>2011-02</t>
  </si>
  <si>
    <t>XG6GHXFI</t>
  </si>
  <si>
    <t>Engel, Stefanie; Pagiola, Stefano; Wunder, Sven</t>
  </si>
  <si>
    <t>Designing payments for environmental services in theory and practice: An overview of the issues</t>
  </si>
  <si>
    <t>ECOLOGICAL ECONOMICS</t>
  </si>
  <si>
    <t>10.1016/j.ecolecon.2008.03.011</t>
  </si>
  <si>
    <t>Payments for environmental services (PES) have attracted increasing interest as a mechanism to translate external, non-market values of the environment into real financial incentives for local actors to provide environmental services (ES). In this introductory paper, we set the stage for the rest of this Special Issue of Ecological Economics by reviewing the main issues arising in PES design and implementation and discussing these in the light of environmental economics. We start with a discussion of PES definition and scope. We proceed to review some of the principal dimensions and design characteristics of PES programs and then analyze how PES compares to alternative policy instruments. Finally, we examine in detail two important aspects of PES programs: their effectiveness and their distributional implications. PES is not a silver bullet that can be used to address any environmental problem, but a tool tailored to address a specific set of problems: those in which ecosystems are mismanaged because many of their benefits are externalities from the perspective of ecosystem managers. PES is based on the beneficiary-pays rather than the polluter-pays principle, and as such is attractive in settings where ES providers are poor, marginalized landholders or powerful groups of actors. An important distinction within PES is between user-financed PES in which the buyers are the users of the ES, and government-financed PES in which the buyers are others (typically the government) acting on behalf of ES users. In practice, PES programs differ in the type and scale of ES demand, the payment source, the type of activity paid for, the performance measure used, as well as the payment mode and amount. The effectiveness and efficiency of PES depends crucially on program design. (C) 2008 Published by Elsevier B.V.</t>
  </si>
  <si>
    <t>2008-05</t>
  </si>
  <si>
    <t>663-674</t>
  </si>
  <si>
    <t>8AX9LJT3</t>
  </si>
  <si>
    <t>Elmqvist, T.; Fragkias, M.; Goodness, J.; Güneralp, B.; Marcotullio, P. J.; McDonald, R. I.; Parnell, S.; Schewenius, M.; Sendstad, M.; Seto, Karen C.; Wilkinson, C.</t>
  </si>
  <si>
    <t>Urbanization, biodiversity and ecosystem services: challenges and opportunities: a global assessment</t>
  </si>
  <si>
    <t>T9TP9U8X</t>
  </si>
  <si>
    <t>Fafchamps, Marcel; Hill, Ruth Vargas</t>
  </si>
  <si>
    <t>Price Transmission and Trader Entry in Domestic Commodity Markets</t>
  </si>
  <si>
    <t>0013-0079</t>
  </si>
  <si>
    <t>10.1086/588155</t>
  </si>
  <si>
    <t>World market price transmission on consumer and producer by means of survey on different steps of value chain International fluctuations are rapidly reflected in domestic prices paid by exporters and large traders but not in farm-gate prices. Occasional traders enter the market and take advantage of farmers ignorance of increased prices.</t>
  </si>
  <si>
    <t>729-766</t>
  </si>
  <si>
    <t>3MK3FZFW</t>
  </si>
  <si>
    <t>Ervin, Jamison; Sekhran, A.; Dinu, A.; Gidda, S.; Vergeichik, M.; Mee, J.</t>
  </si>
  <si>
    <t>Protected areas for the 21st century: Lessons from UNDP/GEF's Portfolio</t>
  </si>
  <si>
    <t>6QDJV3CW</t>
  </si>
  <si>
    <t>Emanuel, Kerry</t>
  </si>
  <si>
    <t>Assessing the present and future probability of Hurricane Harvey{$\backslash$textquoteright}s rainfall</t>
  </si>
  <si>
    <t>Natural disasters such as the recent Hurricanes Harvey, Irma, and Maria highlight the need for quantitative estimates of the risk of such disasters. Statistically based risk assessment suffers from short records of often poor quality, and in the case of meteorological hazards, from the fact that the underlying climate is changing. This study shows how a recently developed physics-based risk assessment method can be applied to assessing the probabilities of extreme hurricane rainfall, allowing for quantitative assessment of hurricane flooding risks in all locations affected by such storms, regardless of the presence or quality of historical hurricane records.We estimate, for current and future climates, the annual probability of areally averaged hurricane rain of Hurricane Harvey{$\backslash$textquoteright}s magnitude by downscaling large numbers of tropical cyclones from three climate reanalyses and six climate models. For the state of Texas, we estimate that the annual probability of 500 mm of area-integrated rainfall was about 1% in the period 1981{$\backslash$textendash}2000 and will increase to 18% over the period 2081{$\backslash$textendash}2100 under Intergovernmental Panel on Climate Change (IPCC) AR5 representative concentration pathway 8.5. If the frequency of such event is increasingly linearly between these two periods, then in 2017 the annual probability would be 6%, a sixfold increase since the late 20th century.</t>
  </si>
  <si>
    <t>DXTUMC6R</t>
  </si>
  <si>
    <t>Fay, Marianne; Opal, Charlotte</t>
  </si>
  <si>
    <t>Urbanization without growth: A not so uncommon phenomenon</t>
  </si>
  <si>
    <t>DL5XTYP9</t>
  </si>
  <si>
    <t>Falkner, Robert; Stephan, Hannes; Vogler, John</t>
  </si>
  <si>
    <t>International Climate Policy after Copenhagen: Towards a 'Building Blocks' Approach</t>
  </si>
  <si>
    <t>Global Policy</t>
  </si>
  <si>
    <t>17585880</t>
  </si>
  <si>
    <t>10.1111/j.1758-5899.2010.00045.x</t>
  </si>
  <si>
    <t>This article reviews the options for future international$\backslash$r$\backslash$nclimate policy after the 2009 Copenhagen conference.$\backslash$r$\backslash$nIt argues that a major reassessment of the current$\backslash$r$\backslash$napproach to building a climate regime is required. This$\backslash$r$\backslash$napproach, which we refer to as the ‘global deal'$\backslash$r$\backslash$nstrategy, is predicated on the idea of negotiating a$\backslash$r$\backslash$ncomprehensive, universal and legally binding treaty$\backslash$r$\backslash$nthat prescribes, in a top-down fashion, generally$\backslash$r$\backslash$napplicable policies based on previously agreed$\backslash$r$\backslash$nprinciples. From a review of the history of the ‘global$\backslash$r$\backslash$ndeal' strategy from Rio (1992) to Kyoto (1997) and$\backslash$r$\backslash$nbeyond we conclude that this approach has been$\backslash$r$\backslash$nproducing diminishing returns for some time, and that$\backslash$r$\backslash$nit is time to consider an alternative path – if not goal –$\backslash$r$\backslash$nfor climate policy. The alternative that, in our view, is$\backslash$r$\backslash$nmost likely to move the world closer towards a$\backslash$r$\backslash$nworking international climate regime is a ‘building$\backslash$r$\backslash$nblocks' approach, which develops different elements of$\backslash$r$\backslash$nclimate governance in an incremental fashion and$\backslash$r$\backslash$nembeds them in an international political framework.$\backslash$r$\backslash$nIn fact, this alternative is already emergent in$\backslash$r$\backslash$ninternational politics. The goal of a full treaty has been$\backslash$r$\backslash$nabandoned for the next climate conference in Mexico,$\backslash$r$\backslash$nwhich is instead aiming at a number of partial$\backslash$r$\backslash$nagreements (on finance, forestry, technology transfer,$\backslash$r$\backslash$nadaptation) under the UNFCCC umbrella. For this to$\backslash$r$\backslash$nproduce results, a more strategic approach is needed to$\backslash$r$\backslash$nensure that – over time – such partial elements add up$\backslash$r$\backslash$nto an ambitious and internationally coordinated$\backslash$r$\backslash$nclimate policy which does not drive down the level of$\backslash$r$\backslash$naspiration and commitment.</t>
  </si>
  <si>
    <t>V4U59VWN</t>
  </si>
  <si>
    <t>Faith, Daniel P.</t>
  </si>
  <si>
    <t>A general model for biodiversity and its value</t>
  </si>
  <si>
    <t>The Routledge Handbook of Philosophy of Biodiversity</t>
  </si>
  <si>
    <t>83-99</t>
  </si>
  <si>
    <t>HFV4Q923</t>
  </si>
  <si>
    <t>Fah, Gilbert L. T.</t>
  </si>
  <si>
    <t>The war on terror, the Chad-Cameroon pipeline, and the new identity of the lake chad basin</t>
  </si>
  <si>
    <t>Journal of Contemporary African Studies</t>
  </si>
  <si>
    <t>02589001</t>
  </si>
  <si>
    <t>10.1080/02589000601157113</t>
  </si>
  <si>
    <t>101-117</t>
  </si>
  <si>
    <t>QDS3D66K</t>
  </si>
  <si>
    <t>Forestry production and trade</t>
  </si>
  <si>
    <t>http://www.fao.org/faostat/en/#data/FO</t>
  </si>
  <si>
    <t>BDRQ8JRA</t>
  </si>
  <si>
    <t>EPI</t>
  </si>
  <si>
    <t>Environmental Performance Index 2018</t>
  </si>
  <si>
    <t>Yale University, Columbia University. In collaboration with the World Economic Forum</t>
  </si>
  <si>
    <t>MQYSFKPN</t>
  </si>
  <si>
    <t>Bear, Christopher; Eden, Sally</t>
  </si>
  <si>
    <t>Making space for fish: the regional, network and fluid spaces of fisheries certification</t>
  </si>
  <si>
    <t>Social &amp; Cultural Geography</t>
  </si>
  <si>
    <t>10.1080/14649360802224358</t>
  </si>
  <si>
    <t>2022-09-23 09:11:49</t>
  </si>
  <si>
    <t>2022-09-23T09:11:49Z</t>
  </si>
  <si>
    <t>487-504</t>
  </si>
  <si>
    <t>6FZE26ZW</t>
  </si>
  <si>
    <t>Baynes, Jack; Herbohn, John; Smith, Carl; Fisher, Robert; Bray, David</t>
  </si>
  <si>
    <t>Key factors which influence the success of community forestry in developing countries</t>
  </si>
  <si>
    <t>10.1016/j.gloenvcha.2015.09.011</t>
  </si>
  <si>
    <t>2022-09-23 09:06:30</t>
  </si>
  <si>
    <t>2022-09-23T09:06:30Z</t>
  </si>
  <si>
    <t>226-238</t>
  </si>
  <si>
    <t>T4XZ4DUT</t>
  </si>
  <si>
    <t>Becker, C. Dustin; Ostrom, Elinor</t>
  </si>
  <si>
    <t>Human ecology and resource sustainability: the importance of institutional diversity</t>
  </si>
  <si>
    <t>Annual review of ecology and systematics</t>
  </si>
  <si>
    <t>10.1146/annurev.es.26.110195.000553</t>
  </si>
  <si>
    <t>2022-09-23 09:01:11</t>
  </si>
  <si>
    <t>2022-09-23T09:01:11Z</t>
  </si>
  <si>
    <t>113-133</t>
  </si>
  <si>
    <t>IB6ILFAI</t>
  </si>
  <si>
    <t>Bates, Diane C.</t>
  </si>
  <si>
    <t>Environmental Refugees? Classifying Human Migrations Caused by Environmental Change</t>
  </si>
  <si>
    <t>10.1023/A:1015186001919</t>
  </si>
  <si>
    <t>http://link.springer.com/10.1023/A:1015186001919</t>
  </si>
  <si>
    <t>2022-09-23 06:54:52</t>
  </si>
  <si>
    <t>2022-09-23T06:54:52Z</t>
  </si>
  <si>
    <t>2022-09-19 21:15:42</t>
  </si>
  <si>
    <t>465-477</t>
  </si>
  <si>
    <t>HGBB6XRK</t>
  </si>
  <si>
    <t>Bartley, Devin; De Graaf, G. J.; Valbo-Jørgensen, J.; Marmulla, G.</t>
  </si>
  <si>
    <t>Inland capture fisheries: Status and data issues</t>
  </si>
  <si>
    <t>Fisheries Management and Ecology</t>
  </si>
  <si>
    <t>13652400</t>
  </si>
  <si>
    <t>10.1111/fme.12104</t>
  </si>
  <si>
    <t>Lakes, reservoirs and wetlands cover a total area of about 7.8 million km2 and provide a rich environment for inland capture fisheries. Production from the world's inland capture fisheries has grown steadily to over 11.6 million tonnes in 2012, with almost 95% of the catches from developing countries. The sector is composed primarily of small-scale fishers and provides employment to approximately 61 million people, of which 50% are women. Inland capture fisheries yield is only 6.3% of the global reported fish production (capture fisheries and aquaculture). However, it is proposed that this is an underestimate and actual yield may be several times greater. The apparent low proportion of fish provided by inland capture fisheries globally does not reflect adequately the importance of inland capture fisheries in today's society. A lack of accurate information renders analysis of existing data sets difficult and makes decision-making problematic. Is the sector in serious trouble because of the multiple uses of and threats to inland water ecosystems? Is the sector stable and increased production due only to better reporting? Or, is the sector growing?</t>
  </si>
  <si>
    <t>71-77</t>
  </si>
  <si>
    <t>8PYJ7DBM</t>
  </si>
  <si>
    <t>Bebbington, Anthony; Bury, Jeffrey</t>
  </si>
  <si>
    <t>Subterranean struggles: New dynamics of mining, oil, and gas in Latin America</t>
  </si>
  <si>
    <t>University of Texas press</t>
  </si>
  <si>
    <t>GJ5QKMTM</t>
  </si>
  <si>
    <t>Bauman, Whitney; Bohannon, Richard; O'Brien, Kevin J.</t>
  </si>
  <si>
    <t>Grounding religion : a field guide to the study of religion and ecology</t>
  </si>
  <si>
    <t>978-0-415-78017-9</t>
  </si>
  <si>
    <t>1st ed. Based on a colloquium held Feb. 26-Mar. 1, 2009 at Florida International University, Miami, Fla. Religion : what is it, who gets to decide, and why does it matter? / Whitney A. Bauman, Richard R. Bohannon II, and Kevin J. O'Brien – Religion : a dialogue / Rebecca Gould and Mark I. Wallace – Case study : "religion" in Appalachian environmental struggles / Joseph Witt – Ecology : what is it, who gets to decide, and why does it matter? / Whitney A. Bauman, Richard R. Bohannon II, and Kevin J. O'Brien – Ecology : a dialogue / Celia Deane-Drummond and Lisa Sideris – Case study : images of "land" among Muslim farmers in the US / Eleanor Finnegan – Intellectual and organizational foundations of religion and ecology / John Grim and Mary Evelyn Tucker – Sustainability / Willis Jenkins – Animals and religion / Dave Aftandilian – Gender / Amanda Baugh – Economics / Laura M. Hartman – Environmental justice and eco-justice / Richard R. Bohannon II and Kevin J. O'Brien – Globalization / Lois Ann Lorentzen – Place / Brian G. Campbell – Afterword : teaching indoors, but not business as usual / Laurel Kearns.</t>
  </si>
  <si>
    <t>DQYT498D</t>
  </si>
  <si>
    <t>Basurto, Xavier; Cinti, Ana; Bourillón, Luis; Rojo, Mario; Torre, Jorge; Weaver, A. Hudson</t>
  </si>
  <si>
    <t>The Emergence of Access Controls in Small-Scale Fishing Commons: A Comparative Analysis of Individual Licenses and Common Property-Rights in Two Mexican Communities</t>
  </si>
  <si>
    <t>10.1007/s10745-012-9508-1</t>
  </si>
  <si>
    <t>Addressing global fisheries overexploitation requires better understanding of how small-scale fishing communities in developing countries limit access to fishing grounds. We analyze the performance of a system based on individual licenses and a common property-rights regime in their ability to generate incentives for self-governance and conservation of fishery resources. Using a qualitative before-after-control-impact approach, we compare two neighbouring fishing communities in the Gulf of California, Mexico. Both were initially governed by the same permit system, are situated in the same ecosystem, use similar harvesting technology, and have overharvested similar species. One community changed to a common property-right regime, enabling the emergence of access controls and avoiding overexploitation of benthic resources, while the other community, still relies on the permit system. We discuss the roles played by power, institutions, socio-historic, and biophysical factors to develop access controls.</t>
  </si>
  <si>
    <t>597-609</t>
  </si>
  <si>
    <t>ESQ2JIMR</t>
  </si>
  <si>
    <t>Bauer, Johannes J.; Giles, Jack</t>
  </si>
  <si>
    <t>Recreational hunting: an international perspective</t>
  </si>
  <si>
    <t>CRC for sustainable tourism Goldcoast</t>
  </si>
  <si>
    <t>8ZT2XW62</t>
  </si>
  <si>
    <t>Basurto, Xavier; Blanco, Esther; Nenadović, Mateja; Vollan, Björn</t>
  </si>
  <si>
    <t>Marine Conservation as Complex Cooperative and Competitive Human Interactions</t>
  </si>
  <si>
    <t>Conservation for the Anthropocene Ocean</t>
  </si>
  <si>
    <t>307-332</t>
  </si>
  <si>
    <t>U5HDAWC6</t>
  </si>
  <si>
    <t>Lebreton, Laurent C. M.; van der Zwet, Joost; Damsteeg, Jan-Willem; Slat, Boyan; Andrady, Anthony; Reisser, Julia</t>
  </si>
  <si>
    <t>River plastic emissions to the world’s oceans</t>
  </si>
  <si>
    <t>http://www.nature.com/articles/ncomms15611</t>
  </si>
  <si>
    <t>2017-08</t>
  </si>
  <si>
    <t>2022-09-23 18:58:09</t>
  </si>
  <si>
    <t>2022-09-23T18:58:09Z</t>
  </si>
  <si>
    <t>15611</t>
  </si>
  <si>
    <t>BBSAHCIF</t>
  </si>
  <si>
    <t>Lawrence, Deborah</t>
  </si>
  <si>
    <t>Biomass accumulation after 10–200 years of shifting cultivation in Bornean rain forest</t>
  </si>
  <si>
    <t>2022-09-23 09:13:05</t>
  </si>
  <si>
    <t>2022-09-23T09:13:05Z</t>
  </si>
  <si>
    <t>26-33</t>
  </si>
  <si>
    <t>YBPVUC82</t>
  </si>
  <si>
    <t>Leach, Melissa; Mearns, Robin; Scoones, Ian</t>
  </si>
  <si>
    <t>Environmental entitlements: dynamics and institutions in community-based natural resource management</t>
  </si>
  <si>
    <t>10.1016/S0305-750X(98)00141-7</t>
  </si>
  <si>
    <t>225-247</t>
  </si>
  <si>
    <t>SHNG8LCG</t>
  </si>
  <si>
    <t>Kleiber, Danika; Harris, Leila M.; Vincent, Amanda C. J.</t>
  </si>
  <si>
    <t>Gender and small-scale fisheries: a case for counting women and beyond</t>
  </si>
  <si>
    <t>10.1111/faf.12075</t>
  </si>
  <si>
    <t>547-562</t>
  </si>
  <si>
    <t>LSJDVKYB</t>
  </si>
  <si>
    <t>Kristofersson, Dadi; Rickertsen, Kyrre</t>
  </si>
  <si>
    <t>Highgrading in Quota-Regulated Fisheries: Evidence from the Icelandic Cod Fishery</t>
  </si>
  <si>
    <t>10.1111/j.1467-8276.2008.01189.x</t>
  </si>
  <si>
    <t>A model with nonlinear discarding costs is developed for a fishery with an individual transferable quota (ITQ) program. The model shows that limited hold capacity and ITQs provide incentives to discard fish. The model is applied to the Icelandic ITQ-regulated cod fishery to test for highgrading and to predict the discarded quantities of different grades of fish. The results indicate that vessels are involved in highgrading, but there is no evidence of quota price-induced highgrading. The predicted total discarded quantities are 4.7% and 2.7% of total landings for gillnet and longline vessels, respectively. These correspond well with official biometric estimates.</t>
  </si>
  <si>
    <t>2022-09-23 09:12:13</t>
  </si>
  <si>
    <t>2022-09-23T09:12:13Z</t>
  </si>
  <si>
    <t>335-346</t>
  </si>
  <si>
    <t>ZWHPDC2Y</t>
  </si>
  <si>
    <t>Knapp, Eli J.</t>
  </si>
  <si>
    <t>Why poaching pays: a summary of risks and benefits illegal hunters face in Western Serengeti, Tanzania</t>
  </si>
  <si>
    <t>Tropical Conservation Science</t>
  </si>
  <si>
    <t>10.1177/194008291200500403</t>
  </si>
  <si>
    <t>2022-09-23 09:10:41</t>
  </si>
  <si>
    <t>2022-09-23T09:10:41Z</t>
  </si>
  <si>
    <t>434-445</t>
  </si>
  <si>
    <t>SP9IKWQY</t>
  </si>
  <si>
    <t>Kolstad, Charles D.</t>
  </si>
  <si>
    <t>Who pays for climate regulation</t>
  </si>
  <si>
    <t>SIEPR Policy Brief</t>
  </si>
  <si>
    <t>2022-09-23 09:10:29</t>
  </si>
  <si>
    <t>2022-09-23T09:10:29Z</t>
  </si>
  <si>
    <t>S9JEDRC7</t>
  </si>
  <si>
    <t>Levinson, Arik; Taylor, M. Scott</t>
  </si>
  <si>
    <t>Unmasking the pollution haven effect</t>
  </si>
  <si>
    <t>International economic review</t>
  </si>
  <si>
    <t>10.1111/j.1468-2354.2008.00478.x</t>
  </si>
  <si>
    <t>2022-09-23 09:10:11</t>
  </si>
  <si>
    <t>2022-09-23T09:10:11Z</t>
  </si>
  <si>
    <t>223-254</t>
  </si>
  <si>
    <t>B78KE2J4</t>
  </si>
  <si>
    <t>Lamberts, Dirk</t>
  </si>
  <si>
    <t>Tonle Sap fisheries: a case study on floodplain gillnet fisheries</t>
  </si>
  <si>
    <t>RAP Publication</t>
  </si>
  <si>
    <t>2022-09-23 09:09:55</t>
  </si>
  <si>
    <t>2022-09-23T09:09:55Z</t>
  </si>
  <si>
    <t>CBNADD4M</t>
  </si>
  <si>
    <t>Khalid, Iram</t>
  </si>
  <si>
    <t>Trans-Boundary Water Sharing Issues: A Case of South Asia</t>
  </si>
  <si>
    <t>Journal of Political Studies</t>
  </si>
  <si>
    <t>2022-09-23 09:09:54</t>
  </si>
  <si>
    <t>2022-09-23T09:09:54Z</t>
  </si>
  <si>
    <t>79-96</t>
  </si>
  <si>
    <t>EZ9BWF3F</t>
  </si>
  <si>
    <t>Lesthaeghe, Ron</t>
  </si>
  <si>
    <t>The second demographic transition: A concise overview of its development</t>
  </si>
  <si>
    <t>10.1073/pnas.1420441111</t>
  </si>
  <si>
    <t>2022-09-23 09:09:36</t>
  </si>
  <si>
    <t>2022-09-23T09:09:36Z</t>
  </si>
  <si>
    <t>18112-18115</t>
  </si>
  <si>
    <t>9VJMXAHL</t>
  </si>
  <si>
    <t>Krosnick, Jon A.</t>
  </si>
  <si>
    <t>The stability of political preferences: Comparisons of symbolic and nonsymbolic attitudes</t>
  </si>
  <si>
    <t>American Journal of Political Science</t>
  </si>
  <si>
    <t>10.2307/2111553</t>
  </si>
  <si>
    <t>2022-09-23 09:09:31</t>
  </si>
  <si>
    <t>2022-09-23T09:09:31Z</t>
  </si>
  <si>
    <t>547-576</t>
  </si>
  <si>
    <t>LG86YU2G</t>
  </si>
  <si>
    <t>Kilian, Lutz</t>
  </si>
  <si>
    <t>The economic effects of energy price shocks</t>
  </si>
  <si>
    <t>10.1257/jel.46.4.871</t>
  </si>
  <si>
    <t>2022-09-23 09:09:13</t>
  </si>
  <si>
    <t>2022-09-23T09:09:13Z</t>
  </si>
  <si>
    <t>871-909</t>
  </si>
  <si>
    <t>8RLLFFR8</t>
  </si>
  <si>
    <t>Lindsey, Peter Andrew; Balme, Guy; Becker, Matthew; Begg, Colleen; Bento, Carlos; Bocchino, Clara; Dickman, Amy; Diggle, Richard W.; Eves, Heather; Henschel, Philipp; Others</t>
  </si>
  <si>
    <t>The bushmeat trade in African savannas: Impacts, drivers, and possible solutions</t>
  </si>
  <si>
    <t>10.1016/j.biocon.2012.12.020</t>
  </si>
  <si>
    <t>2022-09-23 09:09:06</t>
  </si>
  <si>
    <t>2022-09-23T09:09:06Z</t>
  </si>
  <si>
    <t>80-96</t>
  </si>
  <si>
    <t>WXVM2ZJ3</t>
  </si>
  <si>
    <t>Kettunen, M.; Genovesi, P.; Gollasch, S.; Pagad, S.; Starfinger, U.; ten Brink, P.; Shine, C.</t>
  </si>
  <si>
    <t>Technical support to EU strategy on invasive alien species (IAS) - Assessment of the impacts of IAS in Europe and the EU (final module report for the European Commission)</t>
  </si>
  <si>
    <t>Institute for European Environmental Policy</t>
  </si>
  <si>
    <t>Citation and disclaimer This report should be quoted as follows: Kettunen, M., Genovesi, P., Gollasch, S., Pagad, S., Starfinger, U. ten Brink, P. &amp; Shine, C. 2008. Technical support to EU strategy on invasive species (IAS) -Assessment of the impacts of IAS in Europe and the EU (final module report for the European Commission). Institute for European Environmental Policy (IEEP), Brussels, Belgium. 44 pp. + Annexes. This report is based on the following studies: Shine, C., Kettunen, M., ten Brink, P., Genovesi, P. &amp; Gollasch, S. 2009. Technical support to EU strategy on invasive species (IAS) – Recommendations on policy options to control the negative impacts of IAS on biodiversity in Europe and the EU. Final report for the European Commission. Institute for European Environmental Policy (IEEP), Brussels, Belgium. 32 pp. Shine, C., Kettunen, M., Mapendembe, A., Herkenrath, P. Silvestri, S. &amp; ten Brink, P. 2009. Technical support to EU strategy on invasive species (IAS) – Analysis of the impacts of policy options/measures to address IAS. Final report for the European Commission. UNEP-WCMC (Cambridge) / Institute for European Environmental Policy (IEEP), (Brussels, Belgium). Shine, C., Kettunen, M., Genovesi, P., Gollasch, S., Pagad, S. &amp; Starfinger, U. 2008. Technical support to EU strategy on invasive species (IAS) – Policy options to control the negative impacts of IAS on biodiversity in Europe and the EU.</t>
  </si>
  <si>
    <t>2022-09-23 09:08:58</t>
  </si>
  <si>
    <t>2022-09-23T09:08:58Z</t>
  </si>
  <si>
    <t>44</t>
  </si>
  <si>
    <t>IH3IEJKN</t>
  </si>
  <si>
    <t>Lewis, David J.; Plantinga, Andrew J.; Wu, JunJie</t>
  </si>
  <si>
    <t>Targeting incentives to reduce habitat fragmentation</t>
  </si>
  <si>
    <t>10.1111/j.1467-8276.2009.01310.x</t>
  </si>
  <si>
    <t>2022-09-23 09:08:57</t>
  </si>
  <si>
    <t>2022-09-23T09:08:57Z</t>
  </si>
  <si>
    <t>1080-1096</t>
  </si>
  <si>
    <t>2L5KCIVR</t>
  </si>
  <si>
    <t>Levinson, Arik</t>
  </si>
  <si>
    <t>Technology, international trade, and pollution from US manufacturing</t>
  </si>
  <si>
    <t>10.1257/aer.99.5.2177</t>
  </si>
  <si>
    <t>2177-2192</t>
  </si>
  <si>
    <t>ZXKCNKBU</t>
  </si>
  <si>
    <t>Klooster, Dan</t>
  </si>
  <si>
    <t>Standardizing sustainable development? The Forest Stewardship Council's plantation policy review process as neoliberal environmental governance</t>
  </si>
  <si>
    <t>10.1016/j.geoforum.2009.02.006</t>
  </si>
  <si>
    <t>2022-09-23 09:08:43</t>
  </si>
  <si>
    <t>2022-09-23T09:08:43Z</t>
  </si>
  <si>
    <t>117-129</t>
  </si>
  <si>
    <t>WU2QLFQQ</t>
  </si>
  <si>
    <t>Lalander, Rickard</t>
  </si>
  <si>
    <t>Rights of Nature and the Indigenous Peoples in Bolivia and Ecuador: A Straitjacket for Progressive Development Politics?</t>
  </si>
  <si>
    <t>beroamerican Journal of Development Studies</t>
  </si>
  <si>
    <t>10709878</t>
  </si>
  <si>
    <t>2022-09-23 09:08:35</t>
  </si>
  <si>
    <t>2022-09-23T09:08:35Z</t>
  </si>
  <si>
    <t>148-172</t>
  </si>
  <si>
    <t>HLEUHZPI</t>
  </si>
  <si>
    <t>Lewis, David J.; Plantinga, Andrew J.</t>
  </si>
  <si>
    <t>Policies for habitat fragmentation: combining econometrics with GIS-based landscape simulations</t>
  </si>
  <si>
    <t>10.3368/le.83.2.109</t>
  </si>
  <si>
    <t>2022-09-23 09:07:49</t>
  </si>
  <si>
    <t>2022-09-23T09:07:49Z</t>
  </si>
  <si>
    <t>109-127</t>
  </si>
  <si>
    <t>HDZ39YV3</t>
  </si>
  <si>
    <t>Lawson, Rowena M.</t>
  </si>
  <si>
    <t>New directions in developing small-scale fisheries</t>
  </si>
  <si>
    <t>10.1016/0308-597X(77)90007-0</t>
  </si>
  <si>
    <t>2022-09-23 09:07:26</t>
  </si>
  <si>
    <t>2022-09-23T09:07:26Z</t>
  </si>
  <si>
    <t>KQ3ZQ494</t>
  </si>
  <si>
    <t>Larson, Anne M.</t>
  </si>
  <si>
    <t>Natural resources and decentralization in Nicaragua: Are local governments up to the job?</t>
  </si>
  <si>
    <t>10.1016/S0305-750X(01)00098-5</t>
  </si>
  <si>
    <t>2022-09-23 09:07:16</t>
  </si>
  <si>
    <t>2022-09-23T09:07:16Z</t>
  </si>
  <si>
    <t>3QIM42ES</t>
  </si>
  <si>
    <t>Köhne, Michiel</t>
  </si>
  <si>
    <t>Multi-stakeholder initiative governance as assemblage: Roundtable on Sustainable Palm Oil as a political resource in land conflicts related to oil palm plantations</t>
  </si>
  <si>
    <t>10.1007/s10460-014-9507-5</t>
  </si>
  <si>
    <t>469-480</t>
  </si>
  <si>
    <t>WMSCWTZC</t>
  </si>
  <si>
    <t>Lenzen, Manfred; Kanemoto, Keiichiro; Moran, Daniel; Geschke, Arne</t>
  </si>
  <si>
    <t>Mapping the structure of the world economy</t>
  </si>
  <si>
    <t>10.1021/es300171x</t>
  </si>
  <si>
    <t>2022-09-23 09:06:50</t>
  </si>
  <si>
    <t>2022-09-23T09:06:50Z</t>
  </si>
  <si>
    <t>8374-8381</t>
  </si>
  <si>
    <t>QUWH2AHX</t>
  </si>
  <si>
    <t>King, Gary; Pan, Jennifer; Roberts, Margaret E.</t>
  </si>
  <si>
    <t>How censorship in China allows government criticism but silences collective expression</t>
  </si>
  <si>
    <t>10.1017/S0003055413000014</t>
  </si>
  <si>
    <t>2022-09-23 09:05:39</t>
  </si>
  <si>
    <t>2022-09-23T09:05:39Z</t>
  </si>
  <si>
    <t>326-343</t>
  </si>
  <si>
    <t>IGLJVFV6</t>
  </si>
  <si>
    <t>Exogenous oil supply shocks: how big are they and how much do they matter for the US economy?</t>
  </si>
  <si>
    <t>The Review of Economics and Statistics</t>
  </si>
  <si>
    <t>10.1162/rest.90.2.216</t>
  </si>
  <si>
    <t>2022-09-23 09:04:53</t>
  </si>
  <si>
    <t>2022-09-23T09:04:53Z</t>
  </si>
  <si>
    <t>216-240</t>
  </si>
  <si>
    <t>F4W46SUW</t>
  </si>
  <si>
    <t>Kroetz, Kailin; Sanchirico, James N.; Lew, Daniel K.; Kroetz, Kailin; Sanchirico, James N.; Lew, Daniel K.</t>
  </si>
  <si>
    <t>Efficiency Costs of Social Objectives in Tradable Permit Programs</t>
  </si>
  <si>
    <t>10.1086/681646</t>
  </si>
  <si>
    <t>2022-09-23 09:04:31</t>
  </si>
  <si>
    <t>2022-09-23T09:04:31Z</t>
  </si>
  <si>
    <t>WRLQ6UHI</t>
  </si>
  <si>
    <t>Kumar, Sanjay</t>
  </si>
  <si>
    <t>Does “participation” in common pool resource management help the poor? A social cost–benefit analysis of joint forest management in Jharkhand, India</t>
  </si>
  <si>
    <t>10.1016/S0305-750X(02)00004-9</t>
  </si>
  <si>
    <t>2022-09-23 09:04:20</t>
  </si>
  <si>
    <t>2022-09-23T09:04:20Z</t>
  </si>
  <si>
    <t>763-782</t>
  </si>
  <si>
    <t>9YMPG2GG</t>
  </si>
  <si>
    <t>Krüger, Monika; Schledorn, Philipp; Schrödl, Wieland; Hoppe, Hans-Wolfgang; Lutz, Walburga; Shehata, Awad A.</t>
  </si>
  <si>
    <t>Detection of glyphosate residues in animals and humans</t>
  </si>
  <si>
    <t>Journal of Environmental &amp; Analytical Toxicology</t>
  </si>
  <si>
    <t>2022-09-23 09:04:12</t>
  </si>
  <si>
    <t>2022-09-23T09:04:12Z</t>
  </si>
  <si>
    <t>US9R6GPM</t>
  </si>
  <si>
    <t>Kull, Christian A.; Ibrahim, Camellia K.; Meredith, Thom</t>
  </si>
  <si>
    <t>Can Privatization Conserve the Global Biodiversity Commons? Tropical Reforestation Through Globalization</t>
  </si>
  <si>
    <t>2022-09-23 09:03:24</t>
  </si>
  <si>
    <t>2022-09-23T09:03:24Z</t>
  </si>
  <si>
    <t>57FNVFMC</t>
  </si>
  <si>
    <t>Latacz-Lohmann, Uwe; der Hamsvoort, Carel</t>
  </si>
  <si>
    <t>Auctioning conservation contracts: a theoretical analysis and an application</t>
  </si>
  <si>
    <t>10.2307/1244139</t>
  </si>
  <si>
    <t>2022-09-23 09:03:07</t>
  </si>
  <si>
    <t>2022-09-23T09:03:07Z</t>
  </si>
  <si>
    <t>407-418</t>
  </si>
  <si>
    <t>EHN48JJE</t>
  </si>
  <si>
    <t>Lambdon, Philip W.; Pyšek, Petr; Basnou, C.; Hejda, M.; Arianoutsou, M.; Essl, F.; Jarošík, Vojtěch; Pergl, J.; Winter, Marten; Anastasiu, P.; Andriopoulos, P.; Bazos, I.; Brundu, G.; Celesti-Grapow, L.; Chassot, P.; Delipetrou, P.; Josefsson, M.; Kark, S.; Klotz, S.; Kokkoris, Y.; Kühn, Ingolf; Marchante, H.; Perglová, I.; Pino, J.; Vila, M.; Zikos, A.; Roy, D.; Hulme, Philip E.</t>
  </si>
  <si>
    <t>Alien flora of Europe: species diversity, temporal trends, geographical patterns and research needs</t>
  </si>
  <si>
    <t>Preslia</t>
  </si>
  <si>
    <t>2022-09-23 09:02:15</t>
  </si>
  <si>
    <t>2022-09-23T09:02:15Z</t>
  </si>
  <si>
    <t>101-149</t>
  </si>
  <si>
    <t>FUSZ2QF4</t>
  </si>
  <si>
    <t>Levin, Phillip S.; Essington, Timothy E.; Marshall, Kristin N.; Koehn, Laura E.; Anderson, Lee G.; Bundy, Alida; Carothers, Courtney; Coleman, Felicia; Gerber, Leah R.; Grabowski, Jonathan H.; Others</t>
  </si>
  <si>
    <t>Building effective fishery ecosystem plans</t>
  </si>
  <si>
    <t>10.1016/j.marpol.2018.01.019</t>
  </si>
  <si>
    <t>48-57</t>
  </si>
  <si>
    <t>BVB8XNC5</t>
  </si>
  <si>
    <t>Lenzen, Manfred; Moran, Daniel; Bhaduri, Anik; Kanemoto, Keiichiro; Bekchanov, Maksud; Geschke, Arne; Foran, Barney</t>
  </si>
  <si>
    <t>International trade of scarce water</t>
  </si>
  <si>
    <t>10.1016/j.ecolecon.2013.06.018</t>
  </si>
  <si>
    <t>2022-09-23 09:00:59</t>
  </si>
  <si>
    <t>2022-09-23T09:00:59Z</t>
  </si>
  <si>
    <t>78-85</t>
  </si>
  <si>
    <t>FRA8R46D</t>
  </si>
  <si>
    <t>Likens, G. E.; Driscoll, C. T.; Buso, D. C.; Siccama, T. G.; Johnson, C. E.; Lovett, G. M.; Fahey, T. J.; Reiners, W. A.; Ryan, D. F.; Martin, C. W.; Bailey, S. W.</t>
  </si>
  <si>
    <t>Biogeochemistry</t>
  </si>
  <si>
    <t>2022-09-23 08:59:55</t>
  </si>
  <si>
    <t>2022-09-23T08:59:55Z</t>
  </si>
  <si>
    <t>89-173</t>
  </si>
  <si>
    <t>3UP38MAF</t>
  </si>
  <si>
    <t>Knutson, Thomas R.; McBride, John L.; Chan, Johnny; Emanuel, Kerry; Holland, Greg; Landsea, Chris; Held, Isaac; Kossin, James P.; Srivastava, A. K.; Sugi, Masato</t>
  </si>
  <si>
    <t>2010-02</t>
  </si>
  <si>
    <t>2022-09-23 08:59:37</t>
  </si>
  <si>
    <t>2022-09-23T08:59:37Z</t>
  </si>
  <si>
    <t>157</t>
  </si>
  <si>
    <t>BTIHNAMG</t>
  </si>
  <si>
    <t>Leblois, Antoine; Damette, Olivier; Wolfersberger, Julien</t>
  </si>
  <si>
    <t>What has driven deforestation in developing countries since the 2000s? Evidence from new remote-sensing data</t>
  </si>
  <si>
    <t>10.1016/j.worlddev.2016.11.012</t>
  </si>
  <si>
    <t>2022-09-23 08:59:30</t>
  </si>
  <si>
    <t>2022-09-23T08:59:30Z</t>
  </si>
  <si>
    <t>82-102</t>
  </si>
  <si>
    <t>KLVNWGSR</t>
  </si>
  <si>
    <t>Lehner, Bernhard; Liermann, Catherine Reidy; Revenga, Carmen; Vörösmarty, Charles; Fekete, Balazs; Crouzet, Philippe; Döll, Petra; Endejan, Marcel; Frenken, Karen; Magome, Jun; Nilsson, Christer; Robertson, James C; Rödel, Raimund; Sindorf, Nikolai; Wisser, Dominik</t>
  </si>
  <si>
    <t>High‐resolution mapping of the world's reservoirs and dams for sustainable river‐flow management</t>
  </si>
  <si>
    <t>1540-9295, 1540-9309</t>
  </si>
  <si>
    <t>10.1890/100125</t>
  </si>
  <si>
    <t>https://onlinelibrary.wiley.com/doi/abs/10.1890/100125</t>
  </si>
  <si>
    <t>2022-09-23 08:17:52</t>
  </si>
  <si>
    <t>2022-09-23T08:17:52Z</t>
  </si>
  <si>
    <t>2022-09-19 21:17:07</t>
  </si>
  <si>
    <t>494-502</t>
  </si>
  <si>
    <t>PDR5FAHN</t>
  </si>
  <si>
    <t>Krausmann, Fridolin; Erb, Karl-Heinz; Gingrich, Simone; Haberl, Helmut; Bondeau, Alberte; Gaube, Veronika; Lauk, Christian; Plutzar, Christoph; Searchinger, Timothy D.</t>
  </si>
  <si>
    <t>https://pnas.org/doi/full/10.1073/pnas.1211349110</t>
  </si>
  <si>
    <t>Global increases in population, consumption, and gross domestic product raise concerns about the sustainability of the current and future use of natural resources. The human appropriation of net primary production (HANPP) provides a useful measure of human intervention into the biosphere. The productive capacity of land is appropriated by harvesting or burning biomass and by converting natural ecosystems to managed lands with lower productivity. This work analyzes trends in HANPP from 1910 to 2005 and finds that although human population has grown fourfold and economic output 17-fold, global HANPP has only doubled. Despite this increase in efficiency, HANPP has still risen from 6.9 Gt of carbon per y in 1910 to 14.8 GtC/y in 2005, i.e., from 13% to 25% of the net primary production of potential vegetation. Biomass harvested per capita and year has slightly declined despite growth in consumption because of a decline in reliance on bioenergy and higher conversion efficiencies of primary biomass to products. The rise in efficiency is overwhelmingly due to increased crop yields, albeit frequently associated with substantial ecological costs, such as fossil energy inputs, soil degradation, and biodiversity loss. If humans can maintain the past trend lines in efficiency gains, we estimate that HANPP might only grow to 27–29% by 2050, but providing large amounts of bioenergy could increase global HANPP to 44%. This result calls for caution in refocusing the energy economy on land-based resources and for strategies that foster the continuation of increases in land-use efficiency without excessively increasing ecological costs of intensification.</t>
  </si>
  <si>
    <t>2013-06-18</t>
  </si>
  <si>
    <t>2022-09-23 08:11:27</t>
  </si>
  <si>
    <t>2022-09-23T08:11:27Z</t>
  </si>
  <si>
    <t>2022-09-19 21:15:53</t>
  </si>
  <si>
    <t>10324-10329</t>
  </si>
  <si>
    <t>VVWDP7Y9</t>
  </si>
  <si>
    <t>Kroeker, Kristy J.; Kordas, Rebecca L.; Crim, Ryan N.; Singh, Gerald G.</t>
  </si>
  <si>
    <t>Meta-analysis reveals negative yet variable effects of ocean acidification on marine organisms: Biological responses to ocean acidification</t>
  </si>
  <si>
    <t>https://onlinelibrary.wiley.com/doi/10.1111/j.1461-0248.2010.01518.x</t>
  </si>
  <si>
    <t>2022-09-23 08:03:25</t>
  </si>
  <si>
    <t>2022-09-23T08:03:25Z</t>
  </si>
  <si>
    <t>2022-09-20 08:39:24</t>
  </si>
  <si>
    <t>1419-1434</t>
  </si>
  <si>
    <t>ipbes-global_chapter2.1_drivers; ipbes-global_chapter2.3_ncp; ipbes-global_chapter3; ipbes-global_chapter4</t>
  </si>
  <si>
    <t>TP4YC855</t>
  </si>
  <si>
    <t>Koh, Lian Pin; Miettinen, Jukka; Liew, Soo Chin; Ghazoul, Jaboury</t>
  </si>
  <si>
    <t>Remotely sensed evidence of tropical peatland conversion to oil palm</t>
  </si>
  <si>
    <t>10.1073/pnas.1018776108</t>
  </si>
  <si>
    <t>Rising global demands for food and biofuels are driving forest clearance in the tropics. Oil-palm expansion contributes to biodiversity declines and carbon emissions in Southeast Asia. However, the magnitudes of these impacts remain largely unquantified until now. We produce a 250-m spatial resolution map of closed canopy oil-palm plantations in the lowlands of Peninsular Malaysia (2 million ha), Borneo (2.4 million ha), and Sumatra (3.9 million ha). We demonstrate that 6% (or ≈880,000 ha) of tropical peatlands in the region had been converted to oil-palm plantations by the early 2000s. Conversion of peatswamp forests to oil palm led to biodiversity declines of 1% in Borneo (equivalent to four species of forest-dwelling birds), 3.4% in Sumatra (16 species), and 12.1% in Peninsular Malaysia (46 species). This land-use change also contributed to the loss of ≈140 million Mg of aboveground biomass carbon, and annual emissions of ≈4.6 million Mg of belowground carbon from peat oxidation. Additionally, the loss of peatswamp forests implies the loss of carbon sequestration service through peat accumulation, which amounts to ≈660,000 Mg of carbon annually. By 2010, 2.3 million ha of peatswamp forests were clear-felled, and currently occur as degraded lands. Reforestation of these clearings could enhance biodiversity by up to ≈20%, whereas oil-palm establishment would exacerbate species losses by up to ≈12%. To safeguard the region{$\backslash$textquoteright}s biodiversity and carbon stocks, conservation and reforestation efforts should target Central Kalimantan, Riau, and West Kalimantan, which retain three-quarters (3.9 million ha) of the remaining peatswamp forests in Southeast Asia.</t>
  </si>
  <si>
    <t>2022-09-23 08:01:44</t>
  </si>
  <si>
    <t>2022-09-23T08:01:44Z</t>
  </si>
  <si>
    <t>5127-5132</t>
  </si>
  <si>
    <t>5XUR5PYG</t>
  </si>
  <si>
    <t>Laurance, William F.; Goosem, Miriam; Laurance, Susan G.W.</t>
  </si>
  <si>
    <t>Impacts of roads and linear clearings on tropical forests</t>
  </si>
  <si>
    <t>10.1016/j.tree.2009.06.009</t>
  </si>
  <si>
    <t>https://linkinghub.elsevier.com/retrieve/pii/S0169534709002067</t>
  </si>
  <si>
    <t>2009-12</t>
  </si>
  <si>
    <t>2022-09-23 07:58:59</t>
  </si>
  <si>
    <t>2022-09-23T07:58:59Z</t>
  </si>
  <si>
    <t>2022-09-22 07:27:16</t>
  </si>
  <si>
    <t>659-669</t>
  </si>
  <si>
    <t>GCNWAAJL</t>
  </si>
  <si>
    <t>Lenzen, M.; Moran, D.; Kanemoto, K.; Foran, B.; Lobefaro, L.; Geschke, A.</t>
  </si>
  <si>
    <t>International trade drives biodiversity threats in developing nations</t>
  </si>
  <si>
    <t>10.1038/nature11145</t>
  </si>
  <si>
    <t>http://www.nature.com/articles/nature11145</t>
  </si>
  <si>
    <t>2022-09-23 07:57:59</t>
  </si>
  <si>
    <t>2022-09-23T07:57:59Z</t>
  </si>
  <si>
    <t>2022-09-19 21:15:44</t>
  </si>
  <si>
    <t>109-112</t>
  </si>
  <si>
    <t>KV5WS8H9</t>
  </si>
  <si>
    <t>Khoury, Colin K.; Bjorkman, Anne D.; Dempewolf, Hannes; Ramirez-Villegas, Julian; Guarino, Luigi; Jarvis, Andy; Rieseberg, Loren H.; Struik, Paul C.</t>
  </si>
  <si>
    <t>Increasing homogeneity in global food supplies and the implications for food security</t>
  </si>
  <si>
    <t>10.1073/pnas.1313490111</t>
  </si>
  <si>
    <t>https://pnas.org/doi/full/10.1073/pnas.1313490111</t>
  </si>
  <si>
    <t>Significance             This study provides evidence of change in the relative importance of different crop plants in national food supplies worldwide over the past 50 years. Within a global trend of increased overall quantities of food calories, protein, fat, and weight, and increased proportions of those quantities sourcing from energy-dense foods, national food supplies diversified in regard to contributing measured crop commodities. As a consequence, national food supplies globally have become increasingly similar in composition, based upon a suite of truly global crop plants. The growth in reliance worldwide on these crops heightens interdependence among countries in their food supplies, plant genetic resources, and nutritional priorities.           ,              The narrowing of diversity in crop species contributing to the world’s food supplies has been considered a potential threat to food security. However, changes in this diversity have not been quantified globally. We assess trends over the past 50 y in the richness, abundance, and composition of crop species in national food supplies worldwide. Over this period, national per capita food supplies expanded in total quantities of food calories, protein, fat, and weight, with increased proportions of those quantities sourcing from energy-dense foods. At the same time the number of measured crop commodities contributing to national food supplies increased, the relative contribution of these commodities within these supplies became more even, and the dominance of the most significant commodities decreased. As a consequence, national food supplies worldwide became more similar in composition, correlated particularly with an increased supply of a number of globally important cereal and oil crops, and a decline of other cereal, oil, and starchy root species. The increase in homogeneity worldwide portends the establishment of a global standard food supply, which is relatively species-rich in regard to measured crops at the national level, but species-poor globally. These changes in food supplies heighten interdependence among countries in regard to availability and access to these food sources and the genetic resources supporting their production, and give further urgency to nutrition development priorities aimed at bolstering food security.</t>
  </si>
  <si>
    <t>2014-03-18</t>
  </si>
  <si>
    <t>2022-09-23 07:57:31</t>
  </si>
  <si>
    <t>2022-09-23T07:57:31Z</t>
  </si>
  <si>
    <t>2022-09-19 21:15:55</t>
  </si>
  <si>
    <t>4001-4006</t>
  </si>
  <si>
    <t>82BAPYG3</t>
  </si>
  <si>
    <t>Kissinger, Gabrielle; Herold, Martin; De Sy, Veronique</t>
  </si>
  <si>
    <t>Drivers of deforestation and forest degradation: A Synthesis Report for REDD+ Policymakers</t>
  </si>
  <si>
    <t>https://www.forestcarbonpartnership.org/sites/fcp/files/DriversOfDeforestation.pdf_N_S.pdf</t>
  </si>
  <si>
    <t>This synthesis report investigates activities (drivers) that lead to deforestation and forest degradation. It explores the relevance of drivers in REDD+ policy development and implementation, key interventions to address driver activity, the role of drivers for national forest monitoring and for developing REDD+ forest reference (emission) levels. It concludes with recommendations intended to support the on-going international climate negotiations, as well as country-level plans and interventions to affect drivers of deforestation and forest degradation.</t>
  </si>
  <si>
    <t>2022-09-23 07:37:34</t>
  </si>
  <si>
    <t>2022-09-23T07:37:34Z</t>
  </si>
  <si>
    <t>Lexeme Consulting</t>
  </si>
  <si>
    <t>Vancouver</t>
  </si>
  <si>
    <t>Place: Lexeme Consulting, Vancouver Canada</t>
  </si>
  <si>
    <t>XI85B8RK</t>
  </si>
  <si>
    <t>Larson, Anne M.; Soto, Fernanda</t>
  </si>
  <si>
    <t>Decentralization of Natural Resource Governance Regimes</t>
  </si>
  <si>
    <t>1543-5938, 1545-2050</t>
  </si>
  <si>
    <t>10.1146/annurev.environ.33.020607.095522</t>
  </si>
  <si>
    <t>https://www.annualreviews.org/doi/10.1146/annurev.environ.33.020607.095522</t>
  </si>
  <si>
    <t>This chapter reviews the literature on natural resource decentralization with an emphasis on forests in developing countries. This literature can be located at the intersection between discussions of good governance and democracy, development, and poverty alleviation, on the one hand, and common property resources, community-based resource management, and local resource rights, on the other. Policies implemented in the name of decentralization, however, are often not applied in ways compatible with the democratic potential with which decentralization is conceived, and only rarely have they resulted in pro-poor outcomes or challenged underlying structures of inequity. Greater attention to who receives decentralized powers, the role of property rights, the notion of “the local,” and the meeting of expert and local knowledge provides insights into key issues and contradictions. Fundamental differences in conceptions of democracy, participation, and development lie behind these contradictions and shape strategies for the redistribution of access to political power and resources, which is implied by decentralization.</t>
  </si>
  <si>
    <t>2008-11-01</t>
  </si>
  <si>
    <t>2022-09-23 07:35:36</t>
  </si>
  <si>
    <t>2022-09-23T07:35:36Z</t>
  </si>
  <si>
    <t>2022-09-22 07:28:05</t>
  </si>
  <si>
    <t>213-239</t>
  </si>
  <si>
    <t>CSB2HPSP</t>
  </si>
  <si>
    <t>Lambin, Eric F.; Meyfroidt, Patrick</t>
  </si>
  <si>
    <t>https://pnas.org/doi/full/10.1073/pnas.1100480108</t>
  </si>
  <si>
    <t>A central challenge for sustainability is how to preserve forest ecosystems and the services that they provide us while enhancing food production. This challenge for developing countries confronts the force of economic globalization, which seeks cropland that is shrinking in availability and triggers deforestation. Four mechanisms—the displacement, rebound, cascade, and remittance effects—that are amplified by economic globalization accelerate land conversion. A few developing countries have managed a land use transition over the recent decades that simultaneously increased their forest cover and agricultural production. These countries have relied on various mixes of agricultural intensification, land use zoning, forest protection, increased reliance on imported food and wood products, the creation of off-farm jobs, foreign capital investments, and remittances. Sound policies and innovations can therefore reconcile forest preservation with food production. Globalization can be harnessed to increase land use efficiency rather than leading to uncontrolled land use expansion. To do so, land systems should be understood and modeled as open systems with large flows of goods, people, and capital that connect local land use with global-scale factors.</t>
  </si>
  <si>
    <t>2022-09-23 07:30:12</t>
  </si>
  <si>
    <t>2022-09-23T07:30:12Z</t>
  </si>
  <si>
    <t>3465-3472</t>
  </si>
  <si>
    <t>MC2EDN4H</t>
  </si>
  <si>
    <t>Laurance, William F.; Carolina Useche, D.; Rendeiro, Julio; Kalka, Margareta; Bradshaw, Corey J. A.; Sloan, Sean P.; Laurance, Susan G.; Campbell, Mason; Abernethy, Kate; Alvarez, Patricia; Arroyo-Rodriguez, Victor; Ashton, Peter; Benítez-Malvido, Julieta; Blom, Allard; Bobo, Kadiri S.; Cannon, Charles H.; Cao, Min; Carroll, Richard; Chapman, Colin; Coates, Rosamond; Cords, Marina; Danielsen, Finn; De Dijn, Bart; Dinerstein, Eric; Donnelly, Maureen A.; Edwards, David; Edwards, Felicity; Farwig, Nina; Fashing, Peter; Forget, Pierre-Michel; Foster, Mercedes; Gale, George; Harris, David; Harrison, Rhett; Hart, John; Karpanty, Sarah; John Kress, W.; Krishnaswamy, Jagdish; Logsdon, Willis; Lovett, Jon; Magnusson, William; Maisels, Fiona; Marshall, Andrew R.; McClearn, Deedra; Mudappa, Divya; Nielsen, Martin R.; Pearson, Richard; Pitman, Nigel; van der Ploeg, Jan; Plumptre, Andrew; Poulsen, John; Quesada, Mauricio; Rainey, Hugo; Robinson, Douglas; Roetgers, Christiane; Rovero, Francesco; Scatena, Frederick; Schulze, Christian; Sheil, Douglas; Struhsaker, Thomas; Terborgh, John; Thomas, Duncan; Timm, Robert; Nicolas Urbina-Cardona, J.; Vasudevan, Karthikeyan; Joseph Wright, S.; Carlos Arias-G., Juan; Arroyo, Luzmila; Ashton, Mark; Auzel, Philippe; Babaasa, Dennis; Babweteera, Fred; Baker, Patrick; Banki, Olaf; Bass, Margot; Bila-Isia, Inogwabini; Blake, Stephen; Brockelman, Warren; Brokaw, Nicholas; Brühl, Carsten A.; Bunyavejchewin, Sarayudh; Chao, Jung-Tai; Chave, Jerome; Chellam, Ravi; Clark, Connie J.; Clavijo, José; Congdon, Robert; Corlett, Richard; Dattaraja, H. S.; Dave, Chittaranjan; Davies, Glyn; de Mello Beisiegel, Beatriz; de Nazaré Paes da Silva, Rosa; Di Fiore, Anthony; Diesmos, Arvin; Dirzo, Rodolfo; Doran-Sheehy, Diane; Eaton, Mitchell; Emmons, Louise; Estrada, Alejandro; Ewango, Corneille; Fedigan, Linda; Feer, François; Fruth, Barbara; Giacalone Willis, Jacalyn; Goodale, Uromi; Goodman, Steven; Guix, Juan C.; Guthiga, Paul; Haber, William; Hamer, Keith; Herbinger, Ilka; Hill, Jane; Huang, Zhongliang; Fang Sun, I; Ickes, Kalan; Itoh, Akira; Ivanauskas, Natália; Jackes, Betsy; Janovec, John; Janzen, Daniel; Jiangming, Mo; Jin, Chen; Jones, Trevor; Justiniano, Hermes; Kalko, Elisabeth; Kasangaki, Aventino; Killeen, Timothy; King, Hen-biau; Klop, Erik; Knott, Cheryl; Koné, Inza; Kudavidanage, Enoka; Lahoz da Silva Ribeiro, José; Lattke, John; Laval, Richard; Lawton, Robert; Leal, Miguel; Leighton, Mark; Lentino, Miguel; Leonel, Cristiane; Lindsell, Jeremy; Ling-Ling, Lee; Eduard Linsenmair, K.; Losos, Elizabeth; Lugo, Ariel; Lwanga, Jeremiah; Mack, Andrew L.; Martins, Marlucia; Scott McGraw, W.; McNab, Roan; Montag, Luciano; Myers Thompson, Jo; Nabe-Nielsen, Jacob; Nakagawa, Michiko; Nepal, Sanjay; Norconk, Marilyn; Novotny, Vojtech; O'Donnell, Sean; Opiang, Muse; Ouboter, Paul; Parker, Kenneth; Parthasarathy, N.; Pisciotta, Kátia; Prawiradilaga, Dewi; Pringle, Catherine; Rajathurai, Subaraj; Reichard, Ulrich; Reinartz, Gay; Renton, Katherine; Reynolds, Glen; Reynolds, Vernon; Riley, Erin; Rödel, Mark-Oliver; Rothman, Jessica; Round, Philip; Sakai, Shoko; Sanaiotti, Tania; Savini, Tommaso; Schaab, Gertrud; Seidensticker, John; Siaka, Alhaji; Silman, Miles R.; Smith, Thomas B.; de Almeida, Samuel Soares; Sodhi, Navjot; Stanford, Craig; Stewart, Kristine; Stokes, Emma; Stoner, Kathryn E.; Sukumar, Raman; Surbeck, Martin; Tobler, Mathias; Tscharntke, Teja; Turkalo, Andrea; Umapathy, Govindaswamy; van Weerd, Merlijn; Vega Rivera, Jorge; Venkataraman, Meena; Venn, Linda; Verea, Carlos; Volkmer de Castilho, Carolina; Waltert, Matthias; Wang, Benjamin; Watts, David; Weber, William; West, Paige; Whitacre, David; Whitney, Ken; Wilkie, David; Williams, Stephen; Wright, Debra D.; Wright, Patricia; Xiankai, Lu; Yonzon, Pralad; Zamzani, Franky</t>
  </si>
  <si>
    <t>Averting biodiversity collapse in tropical forest protected areas</t>
  </si>
  <si>
    <t>10.1038/nature11318</t>
  </si>
  <si>
    <t>http://www.nature.com/articles/nature11318</t>
  </si>
  <si>
    <t>2012-09</t>
  </si>
  <si>
    <t>2022-09-23 07:02:29</t>
  </si>
  <si>
    <t>2022-09-23T07:02:29Z</t>
  </si>
  <si>
    <t>290-294</t>
  </si>
  <si>
    <t>YDUXBXVJ</t>
  </si>
  <si>
    <t>Laurance, William F.; Clements, Gopalasamy Reuben; Sloan, Sean; O’Connell, Christine S.; Mueller, Nathan D.; Goosem, Miriam; Venter, Oscar; Edwards, David P.; Phalan, Ben; Balmford, Andrew; Van Der Ree, Rodney; Arrea, Irene Burgues</t>
  </si>
  <si>
    <t>A global strategy for road building</t>
  </si>
  <si>
    <t>10.1038/nature13717</t>
  </si>
  <si>
    <t>http://www.nature.com/articles/nature13717</t>
  </si>
  <si>
    <t>2014-09-11</t>
  </si>
  <si>
    <t>2022-09-23 06:57:27</t>
  </si>
  <si>
    <t>2022-09-23T06:57:27Z</t>
  </si>
  <si>
    <t>2022-09-22 07:27:27</t>
  </si>
  <si>
    <t>229-232</t>
  </si>
  <si>
    <t>S6SEU5GU</t>
  </si>
  <si>
    <t>Krausmann, Fridolin; Erb, Karl-Heinz Heinz; Gingrich, Simone; Lauk, Christian; Haberl, Helmut</t>
  </si>
  <si>
    <t>Global patterns of socioeconomic biomass flows in the year 2000: A comprehensive assessment of supply, consumption and constraints</t>
  </si>
  <si>
    <t>10.1016/j.ecolecon.2007.07.012</t>
  </si>
  <si>
    <t>Human use of biomass has become a major component of the global biogeochemical cycles of carbon and nitrogen. The use of land for biomass production (e.g. cropland) is among the most important pressures on biodiversity. At the same time, biomass is indispensable for humans as food, animal feed, raw material and energy source. In order to support research into these complex issues, we here present a comprehensive assessment of global socioeconomic biomass harvest, use and trade for the year 2000. We developed country-level livestock balances and a consistent set of factors to estimate flows of used biomass not covered by international statistics (e.g. grazed biomass, crop residues) and indirect flows (i.e. biomass destroyed during harvest but not used). We found that current global terrestrial biomass appropriation amounted to 18.7 billion tonnes dry matter per year (Pg/yr) or 16{%} of global terrestrial NPP of which 6.6 Pg/yr were indirect flows. only 12{%} of the economically used plant biomass (12.1 Pg/yr) directly served as human food, while 58{%} were used as feed for livestock, 20{%} as raw material and 10{%} as fuelwood. There are considerable regional variations in biomass supply and use. Distinguishing 11 world regions, we found that extraction of used biomass ranged from 0.3 to 2.8 t/ha/yr, per-capita values varied between 1.2 and 11.7 t/cap/yr (dry matter). Aggregate global biomass trade amounted to 7.5{%} of all extracted biomass. An analysis of these regional patterns revealed that the level of biomass use per capita is determined by historically evolved patterns of land use and population density rather than by affluence or economic development status. Regions with low population density have the highest level of per-capita biomass use, high-density regions the lowest. Livestock, consuming 30-75{%} of all harvested biomass, is another important factor explaining regional variations in biomass use. Global biomass demand is expected to grow during the next decades; the article discusses some options and possible limitations related to such a scenario. (C) 2007 Elsevier B.V. All rights reserved.</t>
  </si>
  <si>
    <t>471-487</t>
  </si>
  <si>
    <t>C3P7RXKJ</t>
  </si>
  <si>
    <t>Le Billon, Philippe</t>
  </si>
  <si>
    <t>The political ecology of war: Natural resources and armed conflicts</t>
  </si>
  <si>
    <t>Political Geography</t>
  </si>
  <si>
    <t>09626298</t>
  </si>
  <si>
    <t>10.1016/S0962-6298(01)00015-4</t>
  </si>
  <si>
    <t>Throughout the 1990s, many armed groups have relied on revenues from natural resources such as oil, timber, or gems to substitute for dwindling Cold War sponsorship. Resources not only, financed, but in some cases motivated conflicts, and shaped strategies of power based on the commercialisation of armed conflict and the territorialisation of sovereignty around valuable resources areas and trading networks. As such, armed conflict in the post-Cold War period is increasingly characterised by a specific political ecology closely linked to the geography and political economy of natural resources. This paper examines theories of relationships between resources and armed conflicts and the historical processes in which they are embedded. It stresses the vulnerability resulting from resource dependence, rather than conventional notions of scarcity or abundance, the risks of violence linked to the conflictuality of natural resource political economies, and the opportunities for armed insurgents resulting from the lootability of resources. Violence is expressed in the subjugation of the rights of people to determine the use of their environment and the brutal patterns of resource extraction and predation. Beyond demonstrating the economic agendas of belligerents, an analysis of the linkages between natural resources and armed conflicts suggests that the criminal character of their inclusion in international primary commodity markets responds to an exclusionary form of globalisation; with major implications for the promotion of peace. © 2001 Elsevier Science Ltd. All rights reserved.</t>
  </si>
  <si>
    <t>561-584</t>
  </si>
  <si>
    <t>5QD9WGR2</t>
  </si>
  <si>
    <t>Lelieveld, J; Evans, J S; Fnais, M; Giannadaki, D; Pozzer, A.</t>
  </si>
  <si>
    <t>https://wedocs.unep.org/bitstream/handle/20.500.11822/18744/nature15371.pdf?sequence=1&amp;isAllowed=y</t>
  </si>
  <si>
    <t>Assessment of the global burden of disease is based on epidemiological cohort studies that connect premature mortality to a wide range of causes, including the long-term health impacts of ozone and fine particulate matter with a diameter smaller than 2.5 micrometres (PM2.5). It has proved difficult to quantify premature mortality related to air pollution, notably in regions where air quality is not monitored, and also because the toxicity of particles from various sources may vary. Here we use a global atmospheric chemistry model to investigate the link between premature mortality and seven emission source categories in urban and rural environments. In accord with the global burden of disease for 2010 (ref. 5), we calculate that outdoor air pollution, mostly by PM2.5, leads to 3.3 (95 per cent confidence interval 1.61-4.81) million premature deaths per year worldwide, predominantly in Asia. We primarily assume that all particles are equally toxic, but also include a sensitivity study that accounts for differential toxicity. We find that emissions from residential energy use such as heating and cooking, prevalent in India and China, have the largest impact on premature mortality globally, being even more dominant if carbonaceous particles are assumed to be most toxic. Whereas in much of the USA and in a few other countries emissions from traffic and power generation are important, in eastern USA, Europe, Russia and East Asia agricultural emissions make the largest relative contribution to PM2.5, with the estimate of overall health impact depending on assumptions regarding particle toxicity. Model projections based on a business-as-usual emission scenario indicate that the contribution of outdoor air pollution to premature mortality could double by 2050.</t>
  </si>
  <si>
    <t>367-371</t>
  </si>
  <si>
    <t>5S56U2I8</t>
  </si>
  <si>
    <t>Kroodsma, David A.; Mayorga, Juan; Hochberg, Timothy; Miller, Nathan A.; Boerder, Kristina; Ferretti, Francesco; Wilson, Alex; Bergman, Bjorn; White, Timothy D.; Block, Barbara A.; Woods, Paul; Sullivan, Brian; Costello, Christopher; Worm, Boris</t>
  </si>
  <si>
    <t>Tracking the global footprint of fisheries</t>
  </si>
  <si>
    <t>10.1126/science.aao5646</t>
  </si>
  <si>
    <t>http://www.ncbi.nlm.nih.gov/pubmed/29472481</t>
  </si>
  <si>
    <t>Although fishing is one of the most widespread activities by which humans harvest natural resources, its global footprint is poorly understood and has never been directly quantified. We processed 22 billion automatic identification system messages and tracked \textgreater70,000 industrial fishing vessels from 2012 to 2016, creating a global dynamic footprint of fishing effort with spatial and temporal resolution two to three orders of magnitude higher than for previous data sets. Our data show that industrial fishing occurs in \textgreater55% of ocean area and has a spatial extent more than four times that of agriculture. We find that global patterns of fishing have surprisingly low sensitivity to short-term economic and environmental variation and a strong response to cultural and political events such as holidays and closures.</t>
  </si>
  <si>
    <t>2018-02</t>
  </si>
  <si>
    <t>904-908</t>
  </si>
  <si>
    <t>MA8SZMEP</t>
  </si>
  <si>
    <t>Layzer, J. A.</t>
  </si>
  <si>
    <t>The Environmental Case: Translating Values Into Policy</t>
  </si>
  <si>
    <t>978-1-56802-898-9</t>
  </si>
  <si>
    <t>CQ Press</t>
  </si>
  <si>
    <t>DWX5FJ6V</t>
  </si>
  <si>
    <t>KOF Swiss Economic Institute</t>
  </si>
  <si>
    <t>KOF Globalisation Index</t>
  </si>
  <si>
    <t>https://kof.ethz.ch/en/forecasts-and-indicators/indicators/kof-globalisation-index.html</t>
  </si>
  <si>
    <t>CAHX6B6W</t>
  </si>
  <si>
    <t>Law, Kara Lavender; Moret-Ferguson, S.; Maximenko, Nikolai A.; Proskurowski, Giora; Peacock, Emily E.; Hafner, Jan; Reddy, C. M.</t>
  </si>
  <si>
    <t>http://www.sciencemag.org/cgi/doi/10.1126/science.1192321</t>
  </si>
  <si>
    <t>Plastic marine pollution is a major environmental concern, yet a quantitative description of the scope of this problem in the open ocean is lacking. Here, we present a time series of plastic content at the surface of the western North Atlantic Ocean and Caribbean Sea from 1986 to 2008. More than 60% of 6136 surface plankton net tows collected buoyant plastic pieces, typically millimeters in size. The highest concentration of plastic debris was observed in subtropical latitudes and associated with the observed large-scale convergence in surface currents predicted by Ekman dynamics. Despite a rapid increase in plastic production and disposal during this time period, no trend in plastic concentration was observed in the region of highest accumulation</t>
  </si>
  <si>
    <t>1185-1188</t>
  </si>
  <si>
    <t>XBF4UVBY</t>
  </si>
  <si>
    <t>Laczko, Frank; Aghazarm, Christine</t>
  </si>
  <si>
    <t>Migration, environment and climate change: assessing the evidence.</t>
  </si>
  <si>
    <t>92-9068-454-2</t>
  </si>
  <si>
    <t>International Organization for Migration (IOM)</t>
  </si>
  <si>
    <t>D898IDDJ</t>
  </si>
  <si>
    <t>Lerner, Steve; Bullard, Robert D.</t>
  </si>
  <si>
    <t>Diamond: A Struggle for Environmental Justice in Louisiana's Chemical Corridor</t>
  </si>
  <si>
    <t>978-0-262-62204-2</t>
  </si>
  <si>
    <t>6QBYWHRW</t>
  </si>
  <si>
    <t>Lange, Glenn-Marie; Naikal, Esther; Wodon, Quentin</t>
  </si>
  <si>
    <t>Richer or Poorer? Global and Regional Trends in Wealth from 1995 to 2014</t>
  </si>
  <si>
    <t>The Changing Wealth of Nations 2018 : Building a Sustainable Future</t>
  </si>
  <si>
    <t>Lange, Glenn-Marie; Wodon, Quentin; Carey, Kevin</t>
  </si>
  <si>
    <t>IXSUFRQJ</t>
  </si>
  <si>
    <t>Lee, Everett S.</t>
  </si>
  <si>
    <t>A Theory of Migration</t>
  </si>
  <si>
    <t>00703370</t>
  </si>
  <si>
    <t>10.2307/2060063</t>
  </si>
  <si>
    <t>-Definition of migration: A permanent or semipermanent change of residence. Every act of migration involves an origin, a destination, and an intervening set of obstacles. VOLUME: -volume of migration within a given territory varies with the degree of diversity of areas included in that territory -volume of migration varies with the diversity of people -diversity leads to discrimination and segregation -volume of migration is related to the difficulty of surmounting the intervening obstacles -volume of migration varies with fluctuations in the economy -during periods of economic expansion there is more migration -greater contrast between positive and negative factors at destination and origin -unless severe checks are imposed, both volume and rate of migration tend to increase with time -volume of migration tends to increase with time as a result of increasing diversity of areas, increasing diversity of people, and the diminution of intervening obstacles STREAMS/COUNTERSTREAMS -migration tends to take place within well defined streams -results because opportunities tend to be localized, migrants must follow routes of transportation, flow of knowledge back to the country of origin, recruitment of migrants at the place of origin -overcoming of a set of intervening obstacles by early migrants lessens the difficulty of the passage for later migrants - thus pathways are created -for every major migration stream, a counterstream develops -a counterstream develops because positive factors at the origin may disappear, one can return to the origin with new skills, not all migrants want to stay indefinitely -efficiency of the stream (ratio of stream to counterstream) is high if the major factors in the development of a migration stream were minus factors at the origin. -few of the Irish who fled during the famine returned to Ireland. -efficiency of stream and counterstream tends to be low if origin and destination are similar. -efficiency of migration streams will be high is the intervening obstacles are great. -efficiency of a migration stream varies with economic conditions, being high in prosperous times and low in times of depression. SELECTION: -migrants are not a random sample of people at the origin -this is because different people view the origin and destination differently, different people have different abilities to overcome obstacles -migrants responding primarily to plus factors at destination tend to be positively selected -they are under no necessi\ldots</t>
  </si>
  <si>
    <t>QJKAGTTA</t>
  </si>
  <si>
    <t>Lee, D. S.; Pitari, G.; Grewe, V.; Gierens, K.; Penner, J. E.; Petzold, A.; Prather, M. J.; Schumann, U.; Bais, A.; Berntsen, T.</t>
  </si>
  <si>
    <t>Transport impacts on atmosphere and climate: Aviation</t>
  </si>
  <si>
    <t>Atmospheric Environment</t>
  </si>
  <si>
    <t>13522310</t>
  </si>
  <si>
    <t>10.1016/j.atmosenv.2009.06.005</t>
  </si>
  <si>
    <t>The transport sector emits a wide variety of gases and aerosols, with distinctly different characteristics which influence climate directly and indirectly via chemical and physical processes. Tools that allow these emissions to be placed on some kind of common scale in terms of their impact on climate have a number of possible uses such as: in agreements and emission trading schemes; when considering potential trade-offs between changes in emissions resulting from technological or operational developments; and/or for comparing the impact of different environmental impacts of transport activities.Many of the non-CO2emissions from the transport sector are short-lived substances, not currently covered by the Kyoto Protocol. There are formidable difficulties in developing metrics and these are particularly acute for such short-lived species. One difficulty concerns the choice of an appropriate structure for the metric (which may depend on, for example, the design of any climate policy it is intended to serve) and the associated value judgements on the appropriate time periods to consider; these choices affect the perception of the relative importance of short- and long-lived species. A second difficulty is the quantification of input parameters (due to underlying uncertainty in atmospheric processes). In addition, for some transport-related emissions, the values of metrics (unlike the gases included in the Kyoto Protocol) depend on where and when the emissions are introduced into the atmosphere - both the regional distribution and, for aircraft, the distribution as a function of altitude, are important.In this assessment of such metrics, we present Global Warming Potentials (GWPs) as these have traditionally been used in the implementation of climate policy. We also present Global Temperature Change Potentials (GTPs) as an alternative metric, as this, or a similar metric may be more appropriate for use in some circumstances. We use radiative forcings and lifetimes from the literature to derive GWPs and GTPs for the main transport-related emissions, and discuss the uncertainties in these estimates. We find large variations in metric (GWP and GTP) values for NO.x, mainly due to the dependence on location of emissions but also because of inter-model differences and differences in experimental design. For aerosols we give only global-mean values due to an inconsistent picture amongst available studies regarding regional dependence. The uncertainty in the presen\ldots</t>
  </si>
  <si>
    <t>4678-4734</t>
  </si>
  <si>
    <t>SG3ZYYNV</t>
  </si>
  <si>
    <t>Leopold, Aldo</t>
  </si>
  <si>
    <t>The land ethic</t>
  </si>
  <si>
    <t>The Ecological Design and Planning Reader</t>
  </si>
  <si>
    <t>108-121</t>
  </si>
  <si>
    <t>6L9VITG5</t>
  </si>
  <si>
    <t>Lenzen, Manfred; Sun, Ya-Yen; Faturay, Futu; Ting, Yuan-Peng; Geschke, Arne; Malik, Arunima</t>
  </si>
  <si>
    <t>The carbon footprint of global tourism</t>
  </si>
  <si>
    <t>1758-6798</t>
  </si>
  <si>
    <t>10.1038/s41558-018-0141-x</t>
  </si>
  <si>
    <t>Tourism contributes significantly to global gross domestic product, and is forecast to grow at an annual 4%, thus outpacing many other economic sectors. However, global carbon emissions related to tourism are currently not well quantified. Here, we quantify tourism-related global carbon flows between 160 countries, and their carbon footprints under origin and destination accounting perspectives. We find that, between 2009 and 2013, tourism's global carbon footprint has increased from 3.9 to 4.5 GtCO2e, four times more than previously estimated, accounting for about 8% of global greenhouse gas emissions. Transport, shopping and food are significant contributors. The majority of this footprint is exerted by and in high-income countries. The rapid increase in tourism demand is effectively outstripping the decarbonization of tourism-related technology. We project that, due to its high carbon intensity and continuing growth, tourism will constitute a growing part of the world's greenhouse gas emissions.</t>
  </si>
  <si>
    <t>522-528</t>
  </si>
  <si>
    <t>2TV7F7NJ</t>
  </si>
  <si>
    <t>Lemly, A. Dennis; Kingsford, Richard T.; Thompson, Julian R.</t>
  </si>
  <si>
    <t>/ The demand for water to support irrigated agriculture has led to the demise of wetlands and their associated wildlife for decades. This thirst for water is so pervasive that many wetlands considered to be hemispheric reserves for waterbirds have been heavily affected; for example, the California and Nevada wetlands in North America, the Macquarie Marshes in Australia, and the Aral Sea in central Asia. These and other major wetlands have lost most of their historic supplies of water and some have also experienced serious impacts from contaminated subsurface irrigation drainage. Now mere shadows of what they once were in terms of biodiversity and wildlife production, many of the so-called "wetlands of international importance" are no longer the key conservation strongholds they were in the past. The conflict between irrigated agriculture and wildlife conservation has reached a critical point on a global scale. Not only has local wildlife suffered, including the extinction of highly insular species, but a ripple effect has impacted migratory birds worldwide. Human societies reliant on wetlands for their livelihoods are also bearing the cost. Ironically, most of the degradation of these key wetlands occurred during a period of time when public environmental awareness and scientific assertion of the need for wildlife conservation was at an all-time high. However, designation of certain wetlands as "reserves for wildlife" by international review boards has not slowed their continued degradation. To reverse this trend, land and water managers and policy makers must assess the true economic costs of wetland loss and, depending on the outcome of the assessment, use the information as a basis for establishing legally enforceable water rights that protect wetlands from agricultural development.</t>
  </si>
  <si>
    <t>G4MVAR5K</t>
  </si>
  <si>
    <t>Levins, R.; Rapport, D.; Costanza, R.; Epstein, P.; Gaudet, C.</t>
  </si>
  <si>
    <t>Ecosystem Health</t>
  </si>
  <si>
    <t>Blackwell</t>
  </si>
  <si>
    <t>6D5NFPDY</t>
  </si>
  <si>
    <t>Lin, Jintai; Pan, Da; Davis, Steven J.; Zhang, Qiang; He, Kebin; Wang, Can; Streets, David G.; Wuebbles, Donald J.; Guan, Dabo</t>
  </si>
  <si>
    <t>China's international trade and air pollution in the United States</t>
  </si>
  <si>
    <t>10.1073/pnas.1312860111</t>
  </si>
  <si>
    <t>China is the world's largest emitter of anthropogenic air pollutants, and measurable amounts of Chinese pollution are transported via the atmosphere to other countries, including the United States. However, a large fraction of Chinese emissions is due to manufacture of goods for foreign consumption. Here, we analyze the impacts of trade-related Chinese air pollutant emissions on the global atmospheric environment, linking an economic-emission analysis and atmospheric chemical transport modeling. We find that in 2006, 36% of anthropogenic sulfur dioxide, 27% of nitrogen oxides, 22% of carbon monoxide, and 17% of black carbon emitted in China were associated with production of goods for export. For each of these pollutants, about 21% of export-related Chinese emissions were attributed to China-to-US export. Atmospheric modeling shows that transport of the export-related Chinese pollution contributed 3-10% of annual mean surface sulfate concentrations and 0.5-1.5% of ozone over the western United States in 2006. This Chinese pollution also resulted in one extra day or more of noncompliance with the US ozone standard in 2006 over the Los Angeles area and many regions in the eastern United States. On a daily basis, the export-related Chinese pollution contributed, at a maximum, 12-24% of sulfate concentrations over the western United States. As the United States outsourced manufacturing to China, sulfate pollution in 2006 increased in the western United States but decreased in the eastern United States, reflecting the competing effect between enhanced transport of Chinese pollution and reduced US emissions. Our findings are relevant to international efforts to reduce transboundary air pollution.</t>
  </si>
  <si>
    <t>QUMCJ9L5</t>
  </si>
  <si>
    <t>Lichtenberg, Erik; Zilberman, David</t>
  </si>
  <si>
    <t>The Econometrics of Damage Control: Why Specification Matters</t>
  </si>
  <si>
    <t>10.2307/1241427</t>
  </si>
  <si>
    <t>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The contribution of damage control agents to production differs fundamentally from that of standard inputs (lands, labor, capital). This paper develops an econometric model based on the key characteristics of damage control agents and examines its properties. It demonstrates that standard production function specifications overestimate damage control agent productivity and have erroneous implications for the evolution of damage control agent productivity and use in response to changing environments (e.g., the spread of pest resistance). It also proposes several alternative specifications and discusses methods for estimating them.</t>
  </si>
  <si>
    <t>KRLLUI3D</t>
  </si>
  <si>
    <t>Leyk, Stefan; Runfola, Dan; Nawrotzki, Raphael J.; Hunter, Lori M.; Riosmena, Fernando</t>
  </si>
  <si>
    <t>Internal and International Mobility as Adaptation to Climatic Variability in Contemporary Mexico: Evidence from the Integration of Census and Satellite Data</t>
  </si>
  <si>
    <t>Population, Space and Place</t>
  </si>
  <si>
    <t>10.1002/psp.2047</t>
  </si>
  <si>
    <t>Q5GRAL23</t>
  </si>
  <si>
    <t>Lewis, Henry</t>
  </si>
  <si>
    <t>Ecological and Technological Knowledge of Fire: Aborigines Versus Park Rangers in Northern Australia</t>
  </si>
  <si>
    <t>American Anthropologist</t>
  </si>
  <si>
    <t>10.1525/aa.1989.91.4.02a00080</t>
  </si>
  <si>
    <t>Aborigines. These contrasting perspectives confront each other in different practices ofprescribed burning employed by Aborigines and Australian National Parks and Wildlife Service (ANPWS) The attitudes held by Euro-Australians about "bush fires" are markedly different from those of rangers at Kakadu National Park in the Northern Territory. A large part of the problem that ANPWS personnel have in understanding Aboriginal knowledge and practice involves the per- ceptions that Euro-Australians have about "simple technologies," "aboriginality," and what is or is not "traditional. "</t>
  </si>
  <si>
    <t>JQARFGGN</t>
  </si>
  <si>
    <t>Lin, David; Galli, Alessandro; Borucke, Michael; Lazarus, Elias; Grunewald, Nicole; Martindill, Jon; Zimmerman, David; Mancini, Serena; Iha, Katsunori; Wackernagel, Mathis</t>
  </si>
  <si>
    <t>Tracking Supply and Demand of Biocapacity through Ecological Footprint Accounting</t>
  </si>
  <si>
    <t>Sustainability Assessment of Renewables-Based Products</t>
  </si>
  <si>
    <t>978-1-118-93391-6</t>
  </si>
  <si>
    <t>179-199</t>
  </si>
  <si>
    <t>John Wiley &amp; Sons, Ltd</t>
  </si>
  <si>
    <t>Chichester</t>
  </si>
  <si>
    <t>6XL3HFFJ</t>
  </si>
  <si>
    <t>L'Heureux, Michelle L.; Takahashi, Ken; Watkins, Andrew B.; Barnston, Anthony G.; Becker, Emily J.; Di Liberto, Tom E.; Gamble, Felicity; Gottschalck, Jon; Halpert, Michael S.; Huang, Boyin; Mosquera-Vásquez, Kobi; Wittenberg, Andrew T.</t>
  </si>
  <si>
    <t>Observing and Predicting the 2015/16 El Niño</t>
  </si>
  <si>
    <t>AbstractThe El Niño of 2015/16 was among the strongest El Niño events observed since 1950 and took place almost two decades after the previous major event in 1997/98. Here, perspectives of the event are shared by scientists from three national meteorological or climate services that issue regular operational updates on the status and prediction of El Niño?Southern Oscillation (ENSO). Public advisories on the unfolding El Niño were issued in the first half of 2015. This was followed by significant growth in sea surface temperature (SST) anomalies, a peak during November 2015?January 2016, subsequent decay, and its demise during May 2016. The life cycle and magnitude of the 2015/16 El Niño was well predicted by most models used by national meteorological services, in contrast to the generally overexuberant model predictions made the previous year. The evolution of multiple atmospheric and oceanic measures demonstrates the rich complexity of ENSO, as a coupled ocean?atmosphere phenomenon with pronounced global impacts. While some aspects of the 2015/16 El Niño rivaled the events of 1982/83 and 1997/98, we show that it also differed in unique and important ways, with implications for the study and evaluation of past and future ENSO events. Unlike previous major El Niños, remarkably above-average SST anomalies occurred in the western and central equatorial Pacific but were milder near the coast of South America. While operational ENSO systems have progressed markedly over the past several decades, the 2015/16 El Niño highlights several challenges that will continue to test both the research and operational forecast communities.</t>
  </si>
  <si>
    <t>1363-1382</t>
  </si>
  <si>
    <t>6JIYE2IK</t>
  </si>
  <si>
    <t>Lewis, M. Paul</t>
  </si>
  <si>
    <t>Ethnologue: Languages of the world</t>
  </si>
  <si>
    <t>SIL international</t>
  </si>
  <si>
    <t>HIG7JQSW</t>
  </si>
  <si>
    <t>Lipsitz, George</t>
  </si>
  <si>
    <t>The possessive investment in whiteness : how white people profit from identity politics</t>
  </si>
  <si>
    <t>1-59213-495-5</t>
  </si>
  <si>
    <t>Revised and expanded edition. A widely influential book–revised to reveal racial privilege at work in the 21st century. The Possessive Investment in Whiteness – Law and Order: Civil Rights Laws and White Privilege – Immigrant Labor and Identity Politics – Whiteness and War – How Whiteness Works: Inheritance, Wealth, and Health – White Desire: Remembering Robert Johnson – Lean on me: Beyond Identity Polities – "Swing Low, Sweet Cadillac": Antiblack racism and White Identity – "Frantic to Join ... the Japanese Army": Beyond the Black-White Binary – California: The Mississippi of the 199s – Change the Focus and Reverse the Hypnosis: Learning from New Orleans.</t>
  </si>
  <si>
    <t>Temple University Press</t>
  </si>
  <si>
    <t>HAU6XG2V</t>
  </si>
  <si>
    <t>Khandker, Shahidur; Bakht, Zaid; Koolwal, Gayatri</t>
  </si>
  <si>
    <t>The Poverty Impact of Rural Roads: Evidence from Bangladesh</t>
  </si>
  <si>
    <t>10.1086/598765</t>
  </si>
  <si>
    <t>The rationale for public investment in rural roads is that households can better exploit agricultural and non-agricultural opportunities to employ labor and capital more efficiently. But significant knowledge gaps remain as to how opportunities provided by roads actually filter back into household outcomes and their distributional consequences. This paper examines the impacts of rural road projects using household-level panel data from Bangladesh. Rural road investments are found to reduce poverty significantly through higher agricultural production, higher wages, lower input and transportation costs, and higher output prices. Rural roads also lead to higher girls and boys schooling. Road investments are pro-poor, meaning the gains are proportionately higher for the poor than for the non-poor.</t>
  </si>
  <si>
    <t>685-722</t>
  </si>
  <si>
    <t>F8CLAPFL</t>
  </si>
  <si>
    <t>King, Andrew D.; Donat, Markus G.; Fischer, Erich M.; Hawkins, Ed; Alexander, Lisa V.; Karoly, David J.; Dittus, Andrea J.; Lewis, Sophie C.; Perkins, Sarah E.</t>
  </si>
  <si>
    <t>094015</t>
  </si>
  <si>
    <t>ZFG6AP3V</t>
  </si>
  <si>
    <t>Kidd, Karen A.; Blanchfield, Paul J.; Mills, Kenneth H.; Palace, Vince P.; Evans, Robert E.; Lazorchak, James M.; Flick, Robert W.</t>
  </si>
  <si>
    <t>Municipal wastewaters are a complex mixture containing estrogens and estrogen mimics that are known to affect the reproductive health of wild fishes. Male fishes downstream of some wastewater outfalls produce vitellogenin (VTG) (a protein normally synthesized by females during oocyte maturation) and early-stage eggs in their testes, and this feminization has been attributed to the presence of estrogenic substances such as natural estrogens [estrone or 17β-estradiol (E2)], the synthetic estrogen used in birth-control pills [17α-ethynylestradiol (EE2)], or weaker estrogen mimics such as nonylphenol in the water. Despite widespread evidence that male fishes are being feminized, it is not known whether these low-level, chronic exposures adversely impact the sustainability of wild populations. We conducted a 7-year, whole-lake experiment at the Experimental Lakes Area (ELA) in northwestern Ontario, Canada, and showed that chronic exposure of fathead minnow (Pimephales promelas) to low concentrations (5{$\backslash$textendash}6 ng·L-1) of the potent 17α-ethynylestradiol led to feminization of males through the production of vitellogenin mRNA and protein, impacts on gonadal development as evidenced by intersex in males and altered oogenesis in females, and, ultimately, a near extinction of this species from the lake. Our observations demonstrate that the concentrations of estrogens and their mimics observed in freshwaters can impact the sustainability of wild fish populations.</t>
  </si>
  <si>
    <t>8897-8901</t>
  </si>
  <si>
    <t>Z9AIG5JI</t>
  </si>
  <si>
    <t>Kleemann, Linda; Thiele, Rainer</t>
  </si>
  <si>
    <t>Rural welfare implications of large-scale land acquisitions in Africa: A theoretical framework</t>
  </si>
  <si>
    <t>Economic Modelling</t>
  </si>
  <si>
    <t>02649993</t>
  </si>
  <si>
    <t>10.1016/j.econmod.2015.08.016</t>
  </si>
  <si>
    <t>We study the local welfare effects of large-scale agricultural land acquisitions in Sub-Saharan Africa using a theoretical model that captures the major channels through which land deals might affect rural African populations. We distinguish two scenarios. In the first scenario, the investor plants capital-intensive staple food crops. Displaced farmers compete for a very limited number of jobs on the investment farm and spillovers to the remaining local farmers are rare. In the second scenario, where the investor plants cash crops, potential spillovers through contract farming are larger and production is more labor-intensive and hence provides better employment prospects.</t>
  </si>
  <si>
    <t>8HMBMZY9</t>
  </si>
  <si>
    <t>Koppen, Barbara C. P.; Giordano, Mark; Butterworth, John</t>
  </si>
  <si>
    <t>Community-based water law and water resource management reform in developing countries</t>
  </si>
  <si>
    <t>CABI</t>
  </si>
  <si>
    <t>YP2AZ69I</t>
  </si>
  <si>
    <t>Klooster, Daniel</t>
  </si>
  <si>
    <t>Producing social nature in the Mexican countryside</t>
  </si>
  <si>
    <t>Cultural Geographies</t>
  </si>
  <si>
    <t>14744740</t>
  </si>
  <si>
    <t>10.1191/1474474005eu334oa</t>
  </si>
  <si>
    <t>In most countries in Latin America, rural areas remain as Populated as, or more populated than, in 1950. People continue to live in rural areas despite the declining economic viability of agriculture and the availability of work elsewhere. Through an application of the production of nature argument, enriched by explicit attention to the production Of culture and the agency of nature, I attempt to resolve that apparent paradox. In a case study illustrating the argument, agriculture has declined in importance over several decades, while craft production and temporary, cyclical emigration has increased. Remaining agricultural activities and craft production utilize natural stocks and processes through the application of family labour, with minimal recourse to a money economy. Cyclical emigration and remittances from relatives also support the economic maintenance Of rural lives. Together, these activities permit the social reproduction of households that send members to find work elsewhere. At the scale of North America, therefore, Mexican nature subsidizes the cheap reproduction of labourers working in cities and commercial agriculture in both Mexico and the United States. At the scale of the village, nature enables people to cobble together livelihoods that Support households and villages. But more fundamentally, people produce Culture through everyday activities of production and consumption; and so nature provides the necessary context for the productive activities that define and give meaning to what households and village communities are, and what it means to be an individual member.</t>
  </si>
  <si>
    <t>2005-07</t>
  </si>
  <si>
    <t>321-344</t>
  </si>
  <si>
    <t>4XTGBAE6</t>
  </si>
  <si>
    <t>Klimont, Z.; Smith, Steven J.; Cofala, J.</t>
  </si>
  <si>
    <t>The last decade of global anthropogenic sulfur dioxide: 2000–2011 emissions</t>
  </si>
  <si>
    <t>The evolution of global and regional anthropogenic SO 2 emissions in the last decade has been$\backslash$r estimated through a bottom-up calculation. After increasing until about 2006, we estimate a$\backslash$r declining trend continuing until 2011. However, there is strong spatial variability, with North$\backslash$r America and Europe continuing to reduce emissions, with an increasing role of Asia and international$\backslash$r shipping. China remains a key contributor, but the introduction of stricter emission limits followed$\backslash$r by an ambitious program of installing flue gas desulfurization on power plants resulted in a$\backslash$r significant decline in emissions from the energy sector and stabilization of total Chinese SO 2$\backslash$r emissions. Comparable mitigation strategies are not yet present in several other Asian countries and$\backslash$r industrial sectors in general, while emissions from international shipping are expected to start$\backslash$r declining soon following an international agreement to reduce the sulfur content of fuel oil. The$\backslash$r estimated trends in global SO 2 emissions are within the range of representative concentration$\backslash$r pathway (RCP) projections and the uncertainty previously estimated for the year 2005.</t>
  </si>
  <si>
    <t>CDYQRSZF</t>
  </si>
  <si>
    <t>Kowarik, Ingo</t>
  </si>
  <si>
    <t>Novel urban ecosystems, biodiversity, and conservation</t>
  </si>
  <si>
    <t>02697491</t>
  </si>
  <si>
    <t>10.1016/j.envpol.2011.02.022</t>
  </si>
  <si>
    <t>With increasing urbanization the importance of cities for biodiversity conservation grows. This paper reviews the ways in which biodiversity is affected by urbanization and discusses the consequences of different conservation approaches. Cities can be richer in plant species, including in native species, than rural areas. Alien species can lead to both homogenization and differentiation among urban regions. Urban habitats can harbor self-sustaining populations of rare and endangered native species, but cannot replace the complete functionality of (semi-)natural remnants. While many conservation approaches tend to focus on such relict habitats and native species in urban settings, this paper argues for a paradigm shift towards considering the whole range of urban ecosystems. Although conservation attitudes may be challenged by the novelty of some urban ecosystems, which are often linked to high numbers of nonnative species, it is promising to consider their associated ecosystem services, social benefits, and possible contribution to biodiversity conservation.</t>
  </si>
  <si>
    <t>1974-1983</t>
  </si>
  <si>
    <t>E857NVJJ</t>
  </si>
  <si>
    <t>Kronbak, Lone Grønb a ek</t>
  </si>
  <si>
    <t>Recent Developments in Fisheries Economics Research</t>
  </si>
  <si>
    <t>International Review of Environmental and Resource Economics</t>
  </si>
  <si>
    <t>19321473</t>
  </si>
  <si>
    <t>10.1561/101.00000057</t>
  </si>
  <si>
    <t>Fisheries economics stand on the cusp of potentially sizeable changes in orientation and policy focus, leading in turn to comparable changes in modeling and general analysis. Notably, fisheries are increasingly framed as part of the overall marine environment rather than considered as solely or largely a commercial fishing issue. Other changes further challenge this traditional conceptual foundation, including technological change, multiple externalities, asymmetric information, marine planning and strategic interactions among players that are especially pronounced in international settings. This paper contends there is a potential for re-development of fishery economic models related to fishery and marine economics in several directions also related to the economic foundation. © 2014 C. Allan, A. B. Jaffe and I. Sin.</t>
  </si>
  <si>
    <t>67-108</t>
  </si>
  <si>
    <t>N23ABKVA</t>
  </si>
  <si>
    <t>Krebs, Angelika</t>
  </si>
  <si>
    <t>Ethics of nature: a map</t>
  </si>
  <si>
    <t>Walter de Gruyter</t>
  </si>
  <si>
    <t>4D8QVE98</t>
  </si>
  <si>
    <t>Krausmann, Fridolin; Gingrich, Simone; Eisenmenger, Nina; Erb, Karl Heinz; Haberl, Helmut; Fischer-Kowalski, Marina</t>
  </si>
  <si>
    <t>Growth in global materials use, GDP and population during the 20th century</t>
  </si>
  <si>
    <t>10.1016/j.ecolecon.2009.05.007</t>
  </si>
  <si>
    <t>The growing industrial metabolism is a major driver of global environmental change. We present an assessment of the global use of materials since the beginning of the 20th century based on the conceptual and methodological principles of material flow accounting (MFA). On the grounds of published statistical data, data compilations and estimation procedures for material flows not covered by international statistical sources, we compiled a quantitative estimate of annual global extraction of biomass, fossil energy carriers, metal ores, industrial minerals and construction minerals for the period 1900 to 2005. This period covers important phases of global industrialisation and economic growth. The paper analyses the observed changes in the overall size and composition of global material flows in relation to the global economy, population growth and primary energy consumption. We show that during the last century, global materials use increased 8-fold. Humanity currently uses almost 60??billion tons (Gt) of materials per year. In particular, the period after WWII was characterized by rapid physical growth, driven by both population and economic growth. Within this period there was a shift from the dominance of renewable biomass towards mineral materials. Materials use increased at a slower pace than the global economy, but faster than world population. As a consequence, material intensity (i.e. the amount of materials required per unit of GDP) declined, while materials use per capita doubled from 4.6 to 10.3??t/cap/yr. The main material groups show different trajectories. While biomass use hardly keeps up with population growth, the mineral fractions grow at a rapid pace. We show that increases in material productivity are mostly due to the slow growth of biomass use, while they are much less pronounced for the mineral fractions. So far there is no evidence that growth of global materials use is slowing down or might eventually decline and our results indicate that an increase in material productivity is a general feature of economic development. ?? 2009 Elsevier B.V. All rights reserved.</t>
  </si>
  <si>
    <t>UMFRT4PZ</t>
  </si>
  <si>
    <t>Kramer, Randall</t>
  </si>
  <si>
    <t>Economic Valuation of Ecosystem Services</t>
  </si>
  <si>
    <t>The SAGE Handbook of Environment and Society</t>
  </si>
  <si>
    <t>172-179</t>
  </si>
  <si>
    <t>HLIZ5WS8</t>
  </si>
  <si>
    <t>Koubi, Vally; Spilker, Gabriele; Böhmelt, Tobias; Bernauer, Thomas</t>
  </si>
  <si>
    <t>Do natural resources matter for interstate and intrastate armed conflict?</t>
  </si>
  <si>
    <t>10.1177/0022343313493455</t>
  </si>
  <si>
    <t>https://doi.org/10.1177/0022343313493455</t>
  </si>
  <si>
    <t>This article reviews the existing theoretical arguments and empirical findings linking renewable and non-renewable natural resources to the onset, intensity, and duration of intrastate as well as interstate armed conflict. Renewable resources are supposedly connected to conflict via scarcity, while non-renewable resources are hypothesized to lead to conflict via resource abundance. Based upon our analysis of these two streams in the literature, it turns out that the empirical support for the resource scarcity argument is rather weak. However, the authors obtain some evidence that resource abundance is likely to be associated with conflict. The article concludes that further research should generate improved data on low-intensity forms of conflict as well as resource scarcity and abundance at subnational and international levels, and use more homogenous empirical designs to analyze these data. Such analyses should pay particular attention to interactive effects and endogeneity issues in the resource?conflict relationship.</t>
  </si>
  <si>
    <t>2013-08</t>
  </si>
  <si>
    <t>227-243</t>
  </si>
  <si>
    <t>ZVV7T4VD</t>
  </si>
  <si>
    <t>Lal, Rattan</t>
  </si>
  <si>
    <t>International Soil and Water Conservation Research</t>
  </si>
  <si>
    <t>20956339</t>
  </si>
  <si>
    <t>Accelerated soil erosion, driven by anthropogenic activities such as conversion of natural ecosystems to agroecosystems and mechanical tillage, has numerous adverse impacts on ecosystem services. In addition to degrading soil quality and reducing agronomic/biomass productivity on-site through a decrease in use-efficiency of inputs, off-site impacts of accelerated erosion include eutrophication and contamination, sedimentation of reservoirs and waterways, and emissions of greenhouse gases (e.g., CO2, CH4 and N2O). While advancing food and nutritional security, adoption of restorative land use and recommended management practices are important to strengthening numerous ecosystem services such as improving water quality and renewability, increasing below and above-ground biodiversity, enhancing soil resilience to climate change and extreme events, and mitigating climate change by sequestering C in soil and reducing the emission of CO2, CH4 and N2O. An effective control of accelerated erosion is essential to sustainable development and improving the environment.</t>
  </si>
  <si>
    <t>WLZHN4D7</t>
  </si>
  <si>
    <t>Lagi, Marco; Bertrand, Karla Z.; Bar-Yam, Yaneer</t>
  </si>
  <si>
    <t>The Food Crises and Political Instability in North Africa and the Middle East</t>
  </si>
  <si>
    <t>10.2139/ssrn.1910031</t>
  </si>
  <si>
    <t>Social unrest may reflect a variety of factors such as poverty, unemployment, and social injustice. Despite the many possible contributing factors, the timing of violent protests in North Africa and the Middle East in 2011 as well as earlier riots in 2008 coincides with large peaks in global food prices. We identify a specific food price threshold above which protests become likely. These observations suggest that protests may reflect not only long-standing political failings of governments, but also the sudden desperate straits of vulnerable populations. If food prices remain high, there is likely to be persistent and increasing global social disruption. Underlying the food price peaks we also find an ongoing trend of increasing prices. We extrapolate these trends and identify a crossing point to the domain of high impacts, even without price peaks, in 2012-2013. This implies that avoiding global food crises and associated social unrest requires rapid and concerted action.</t>
  </si>
  <si>
    <t>IGJKP8IX</t>
  </si>
  <si>
    <t>Kumar, Kuldip; C. Gupta, Satish; Chander, Yogesh; Singh, Ashok K.</t>
  </si>
  <si>
    <t>Antibiotic Use in Agriculture and Its Impact on the Terrestrial Environment</t>
  </si>
  <si>
    <t>Advances in Agronomy</t>
  </si>
  <si>
    <t>00652113</t>
  </si>
  <si>
    <t>10.1016/S0065-2113(05)87001-4</t>
  </si>
  <si>
    <t>Since their discovery, antibiotics have been instrumental in treating infectious diseases that were previously known to kill humans and animals. However, their widespread use as an additive in animal feeds has raised concerns about the development of antibiotic-resistant microorganisms. Increasingly, more microorganisms are becoming resistant to multiple antibiotics. A high proportion of the antibiotics added to animal feed is excreted in urine or manure. In some cases, as much as 90% of the antibiotic administered orally may pass through the animal unchanged. Once excreted in urine and manure, these antibiotics can enter surface and/or groundwater through nonpoint source pollution from manure-applied lands. The literature shows that most of the antibiotics are strongly adsorbed in soils and are not readily degraded. An important environmental concern is the presence of antibiotics in sources of potable water. Except erythromycin and some sulfa drugs, most of the antibiotics found in surface waters have been only in minute quantities. In all cases, the amounts observed are in parts per billion ranges; 100- to 1000-fold below minimum inhibitory concentration. Tetracyclines and penicillins, two of the most commonly used antibiotics in animal agriculture, have seldom been found in sources of potable water. There has been some reported presence of resistant bacteria in surface waters. This may have been from transport of resistant bacteria via animal or insect vectors, in airborne dusts, or simply water flow from some antibiotic-rich setting such as manure lagoons. Direct toxic effects of antibiotics on plants and soil microflora and -fauna are unlikely because of the low concentrations at which antibiotics in manure are land-applied. The indirect effects of antibiotics on the food web, however, cannot be discounted at this stage. Decrease in some components of the soil microbial populations due to manure-applied antibiotics could cause loss of food sources for other soil organisms, which, in turn, could affect important soil microbial processes such as decomposition and mineralization. Also, repeated application of antibiotic-laden manure can provide an environment in which selection of antibiotic-resistant bacteria can occur. Prudent use of antibiotics to a bare minimum along with alternative methods that minimize development and proliferation of resistant bacteria need investigation. ?? 2005 Elsevier Inc. All rights reserved.</t>
  </si>
  <si>
    <t>1-54</t>
  </si>
  <si>
    <t>XU9KKEKZ</t>
  </si>
  <si>
    <t>Kuemmerle, Tobias; Hostert, Patrick; Radeloff, Volker C.; van der Linden, Sebastian; Perzanowski, Kajetan; Kruhlov, Ivan</t>
  </si>
  <si>
    <t>14329840</t>
  </si>
  <si>
    <t>TSB3R86A</t>
  </si>
  <si>
    <t>Laist, David W.</t>
  </si>
  <si>
    <t>Impacts of marine debris: entanglement of marine life in marine debris including a comprehensive list of species with entanglement and ingestion records</t>
  </si>
  <si>
    <t>Marine Debris</t>
  </si>
  <si>
    <t>99-139</t>
  </si>
  <si>
    <t>FZFER7CB</t>
  </si>
  <si>
    <t>Lacina, Bethany; Gleditsch, Nils Petter</t>
  </si>
  <si>
    <t>Monitoring Trends in Global Combat: A New Dataset of Battle Deaths</t>
  </si>
  <si>
    <t>European Journal of Population / Revue européenne de Démographie</t>
  </si>
  <si>
    <t>1572-9885</t>
  </si>
  <si>
    <t>10.1007/s10680-005-6851-6</t>
  </si>
  <si>
    <t>Both academic publications and public media often make inappropriate use of incommensurate conflict statistics, creating misleading impressions about patterns in global warfare. This article clarifies the distinction between combatant deaths, battle deaths, and war deaths. A new dataset of battle deaths in armed conflict is presented for the period 1946–2002. Global battle deaths have been decreasing over most of this period, mainly due to a decline in interstate and internationalised civil armed conflict. It is far more difficult to accurately assess the number of war deaths in conflicts both past and present. But there are compelling reasons to believe that there is a need for increased attention to non-battle causes of mortality, especially displacement and disease in conflict studies. Therefore, it is demographers, public health specialists, and epidemiologists who can best describe the true human cost of many recent armed conflicts and assess the actions necessary to reduce that toll.</t>
  </si>
  <si>
    <t>145-166</t>
  </si>
  <si>
    <t>574E5CZ3</t>
  </si>
  <si>
    <t>Lawrence, G. B.; Fuller, R. D.; Driscoll, C. T.</t>
  </si>
  <si>
    <t>Release of Aluminum Following Whole-Tree Harvesting at the Hubbard Brook Experimental Forest New Hampshire USA</t>
  </si>
  <si>
    <t>Journal of Environmental Quality</t>
  </si>
  <si>
    <t>00472425</t>
  </si>
  <si>
    <t>5VHFIGFU</t>
  </si>
  <si>
    <t>Laurance, William F.; Peletier-Jellema, Anna; Geenen, Bart; Koster, Harko; Verweij, Pita; Van Dijck, Pitou; Lovejoy, Thomas E.; Schleicher, Judith; Van Kuijk, Marijke</t>
  </si>
  <si>
    <t>Reducing the global environmental impacts of rapid infrastructure expansion</t>
  </si>
  <si>
    <t>Current Biology</t>
  </si>
  <si>
    <t>09609822</t>
  </si>
  <si>
    <t>10.1016/j.cub.2015.02.050</t>
  </si>
  <si>
    <t>Infrastructures, such as roads, mines, and hydroelectric dams, are proliferating explosively. Often, this has serious direct and indirect environmental impacts. We highlight nine issues that should be considered by project proponents to better evaluate and limit the environmental risks of such developments. Laurance et al. define nine issues that should be considered to limit the environmental impacts of the massive worldwide infrastructure expansion.</t>
  </si>
  <si>
    <t>R259-R262</t>
  </si>
  <si>
    <t>GHABBR45</t>
  </si>
  <si>
    <t>Landry, Shawn M.; Chakraborty, Jayajit</t>
  </si>
  <si>
    <t>Street trees and equity: Evaluating the spatial distribution of an urban amenity</t>
  </si>
  <si>
    <t>10.1068/a41236</t>
  </si>
  <si>
    <t>While urban disamenities and pollution sources have received considerable attention in environmental justice research, few studies have examined sociospatial inequities associated with the distribution of desirable land uses. In this paper we focus on addressing this limitation by investigating the environmental equity implications of street trees - an important publicly financed amenity that provides several direct and indirect benefits to urban residents. The specific objective was to determine if the spatial distribution of public right-of-way trees is equitable with respect to race and ethnicity, income, and housing tenure in the city of Tampa, Florida, USA. We seek to extend research on equity analysis of urban amenities through several methodological innovations, including: (a) accounting for the heterogeneity of urban land use; (b) utilizing high-resolution remote sensing techniques to quantify parcel-specific tree cover; and (c) using multivariate regression models that control for spatial dependence within the data. The results support the inequity hypothesis by indicating a significantly lower proportion of tree cover on public right-of-way in neighborhoods containing a higher proportion of African-Americans, low-income residents, and renters. These findings have important implications for local public investment and policy strategies. © 2009 Pion Ltd.</t>
  </si>
  <si>
    <t>DIHEHPIN</t>
  </si>
  <si>
    <t>Lambin, Eric F.</t>
  </si>
  <si>
    <t>Monitoring forest degradation in tropical regions by remote sensing: Some methodological issues</t>
  </si>
  <si>
    <t>1466822X</t>
  </si>
  <si>
    <t>Key issues related to the monitoring by remote sensing of open forest degradation in a tropical context are discussed. Degradation of forest-cover is often a complex process, with some degree of ecological reversibility and a strong interaction with climatic fluctuations. Only a representation of land cover as a continuous field of several biophysical variables can lead to an accurate detection of forest degradation. For this purpose, repetitive measurements of spectral, spatial and temporal indicators of the land surface have to be performed. Each set of indicators brings a specific type of comprehensive description of the surface processes. The detection of inter-annual changes in landscape spatial structure is more likely to reveal long term and long lasting land-cover changes, while spectral indicators are more sensitive to fluctuations in primary productivity associated with climatic fluctuations. Different monitoring systems may be optimal for different ecosystems. A long time series of observations is always required. The monitoring of the spatio-temporal distribution of biomass burning may also give indications of open forest degradation. information on the land cover. These indicators must therefore be combined to achieve a</t>
  </si>
  <si>
    <t>8MULES8S</t>
  </si>
  <si>
    <t>Lazarus, Elias; Lin, David; Martindill, Jon; Hardiman, Jeanette; Pitney, Louisa; Galli, Alessandro</t>
  </si>
  <si>
    <t>Biodiversity Loss and the Ecological Footprint of Trade</t>
  </si>
  <si>
    <t>Diversity</t>
  </si>
  <si>
    <t>1424-2818</t>
  </si>
  <si>
    <t>10.3390/d7020170</t>
  </si>
  <si>
    <t>Human pressure on ecosystems is among the major drivers of biodiversity loss. As biodiversity plays a key role in supporting the human enterprise, its decline puts the well-being of human societies at risk. Halting biodiversity loss is therefore a key policy priority, as reflected in the 2020 Aichi Biodiversity Targets under strategic goal A. The Ecological Footprint has become a widely used metric for natural capital and ecosystem accounting, and is frequently cited in the sustainability debate, where it is often used for tracking human-induced pressures on ecosystems and biodiversity. Given its potential role as an indirect metric for biodiversity-related policies, this paper breaks down the Ecological Footprint into its components and analyzes resource and ecosystem service flows at an international level. We discuss its usefulness in tracking the underlying drivers of habitat impacts and biodiversity loss. We find that: China is a major net importer of all biomass biocapacity components; the largest net exporters of forest biocapacity are not low-income countries; a very high proportion of the Ecological Footprint of fishing grounds is traded internationally; Singapore and at least three Middle East countries are almost wholly reliant on net imports for the cropland biocapacity they consume.</t>
  </si>
  <si>
    <t>170-191</t>
  </si>
  <si>
    <t>VF2MG9NP</t>
  </si>
  <si>
    <t>Leal, Donald R.</t>
  </si>
  <si>
    <t>Community-Run Fisheries: Avoiding the “Tragedy of the Commons”</t>
  </si>
  <si>
    <t>1573-7810</t>
  </si>
  <si>
    <t>10.1023/A:1024691919628</t>
  </si>
  <si>
    <t>This paper discusses how fishing communities around the world avoid destructive overfishing through local and largely informal self-management. The paper offers many examples that undermine the widespread assumption that the “tragedy of the commons” is inevitable without government regulation.</t>
  </si>
  <si>
    <t>225-245</t>
  </si>
  <si>
    <t>INHZJY8X</t>
  </si>
  <si>
    <t>Laxminarayan, Ramanan; Duse, Adriano; Wattal, Chand; Zaidi, Anita K. M.; Wertheim, Heiman F. L.; Sumpradit, Nithima; Vlieghe, Erika; Hara, Gabriel Levy; Gould, Ian M.; Goossens, Herman; Greko, Christina; So, Anthony D.; Bigdeli, Maryam; Tomson, Göran; Woodhouse, Will; Ombaka, Eva; Peralta, Arturo Quizhpe; Qamar, Farah Naz; Mir, Fatima; Kariuki, Sam; Bhutta, Zulfiqar A.; Coates, Anthony; Bergstrom, Richard; Wright, Gerard D.; Brown, Eric D.; Cars, Otto</t>
  </si>
  <si>
    <t>Antibiotic resistance—the need for global solutions</t>
  </si>
  <si>
    <t>The Lancet Infectious Diseases</t>
  </si>
  <si>
    <t>14733099</t>
  </si>
  <si>
    <t>10.1016/S1473-3099(13)70318-9</t>
  </si>
  <si>
    <t>The causes of antibiotic resistance are complex and include human behaviour at many levels of society; the consequences affect everybody in the world. Similarities with climate change are evident. Many efforts have been made to describe the many different facets of antibiotic resistance and the interventions needed to meet the challenge. However, coordinated action is largely absent, especially at the political level, both nationally and internationally. Antibiotics paved the way for unprecedented medical and societal developments, and are today indispensible in all health systems. Achievements in modern medicine, such as major surgery, organ transplantation, treatment of preterm babies, and cancer chemotherapy, which we today take for granted, would not be possible without access to effective treatment for bacterial infections. Within just a few years, we might be faced with dire setbacks, medically, socially, and economically, unless real and unprecedented global coordinated actions are immediately taken. Here, we describe the global situation of antibiotic resistance, its major causes and consequences, and identify key areas in which action is urgently needed.</t>
  </si>
  <si>
    <t>1057-1098</t>
  </si>
  <si>
    <t>RS5TDQA7</t>
  </si>
  <si>
    <t>U9WXQ4W5</t>
  </si>
  <si>
    <t>Alfaro-Shigueto, Joanna; Mangel, Jeffrey C.; Pajuelo, Mariela; Dutton, Peter H.; Seminoff, Jeffrey A.; Godley, Brendan J.</t>
  </si>
  <si>
    <t>Where small can have a large impact: structure and characterization of small-scale fisheries in Peru</t>
  </si>
  <si>
    <t>10.1016/j.fishres.2010.06.004</t>
  </si>
  <si>
    <t>2022-09-23 09:10:35</t>
  </si>
  <si>
    <t>2022-09-23T09:10:35Z</t>
  </si>
  <si>
    <t>8-17</t>
  </si>
  <si>
    <t>AJ2J25KN</t>
  </si>
  <si>
    <t>Alemagi, Dieudonne; Kozak, Robert A.</t>
  </si>
  <si>
    <t>Illegal logging in Cameroon: Causes and the path forward</t>
  </si>
  <si>
    <t>10.1016/j.forpol.2010.07.008</t>
  </si>
  <si>
    <t>2022-09-23 09:05:45</t>
  </si>
  <si>
    <t>2022-09-23T09:05:45Z</t>
  </si>
  <si>
    <t>554-561</t>
  </si>
  <si>
    <t>S37ASHAX</t>
  </si>
  <si>
    <t>Allcott, Hunt</t>
  </si>
  <si>
    <t>Social norms and energy conservation</t>
  </si>
  <si>
    <t>Journal of public Economics</t>
  </si>
  <si>
    <t>10.1016/j.jpubeco.2011.03.003</t>
  </si>
  <si>
    <t>1082-1095</t>
  </si>
  <si>
    <t>9-10</t>
  </si>
  <si>
    <t>I2EAI87T</t>
  </si>
  <si>
    <t>Allcott, Hunt; Rogers, Todd</t>
  </si>
  <si>
    <t>The short-run and long-run effects of behavioral interventions: Experimental evidence from energy conservation</t>
  </si>
  <si>
    <t>10.1257/aer.104.10.3003</t>
  </si>
  <si>
    <t>2022-09-23 08:59:45</t>
  </si>
  <si>
    <t>2022-09-23T08:59:45Z</t>
  </si>
  <si>
    <t>3003-3037</t>
  </si>
  <si>
    <t>3EE7966S</t>
  </si>
  <si>
    <t>Alexandros, N.; Bruinsma, J.; Bodeker, G.; Broca, S.; Ottaviani, M.</t>
  </si>
  <si>
    <t>World agriculture towards 2030/2050</t>
  </si>
  <si>
    <t>Food and Agriculture Organization of the United Nations: Rome, Italy</t>
  </si>
  <si>
    <t>2022-09-23 08:59:24</t>
  </si>
  <si>
    <t>2022-09-23T08:59:24Z</t>
  </si>
  <si>
    <t>CWGWRMFZ</t>
  </si>
  <si>
    <t>Alexander, Peter; Rounsevell, Mark D. A.; Dislich, Claudia; Dodson, Jennifer R.; Engström, Kerstin; Moran, Dominic</t>
  </si>
  <si>
    <t>http://dx.doi.org/10.1016/j.gloenvcha.2015.08.011</t>
  </si>
  <si>
    <t>The nexus of population growth and changing diets has increased the demands placed on agriculture to supply food for human consumption, animal feed and fuel. Rising incomes lead to dietary changes, from staple crops, towards commodities with greater land requirements, e.g. meat and dairy products. Despite yield improvements partially offsetting increases in demand, agricultural land has still been expanding, causing potential harm to ecosystems, e.g. through deforestation. We use country-level panel data (1961-2011) to allocate the land areas used to produce food for human consumption, waste and biofuels, and to attribute the food production area changes to diet, population and yields drivers. The results show that the production of animal products dominates agricultural land use and land use change over the 50-year period, accounting for 65% of land use change. The rate of extensification of animal production was found to have reduced more recently, principally due to the smaller effect of population growth. The area used for bioenergy was shown to be relatively small, but formed a substantial contribution (36%) to net agricultural expansion in the most recent period. Nevertheless, in comparison to dietary shifts in animal products, bioenergy accounted for less than a tenth of the increase in demand for agricultural land. Population expansion has been the largest driver for agricultural land use change, but dietary changes are a significant and growing driver. China was a notable exception, where dietary transitions dominate food consumption changes, due to rapidly rising incomes. This suggests that future dietary changes will become the principal driver for land use change, pointing to the potential need for demand-side measures to regulate agricultural expansion.</t>
  </si>
  <si>
    <t>138-147</t>
  </si>
  <si>
    <t>N9Z7QWBH</t>
  </si>
  <si>
    <t>Alcantara, Camilo; Kuemmerle, Tobias; Prishchepov, Alexander V.; Radeloff, Volker C.</t>
  </si>
  <si>
    <t>Agriculture is expanding and intensifying in many areas of the world, but abandoned agriculture is also becoming more widespread. Unfortunately, data and methods to monitor abandoned agriculture accurately over large areas are lacking. Remote sensing methods may be able to fill this gap though, especially with the frequent observations provided by coarser-resolution sensors and new classification techniques. Past efforts to map abandoned agriculture relied mainly on Landsat data, making it hard to map large regions, and precluding the use of phenology information to identify abandoned agriculture. Our objective here was to test methods to map abandoned agriculture at broad scales with coarse-resolution satellite imagery and phenology data. We classified abandoned agriculture for one Moderate Resolution Imaging Spectroradiometer (MODIS) tile in Eastern Europe (∼1,236,000km 2) where abandoned agriculture was widespread. Input data included Normalized Difference Vegetation Index (NDVI) and reflectance bands (NASA Global MODIS Terra and Aqua 16-Day Vegetation Indices for the years 2003 through 2008, ∼250-m resolution), as well as phenology metrics calculated with TIMESAT. The data were classified with Support Vector Machines (SVM). Training data were derived from several Landsat classifications of agricultural abandonment in the study area. A validation was conducted based on independently collected data. Our results showed that it is possible to map abandoned agriculture for large areas from MODIS data with an overall classification accuracy of 65%. Abandoned agriculture was widespread in our study area (15.1% of the total area, compared to 29.6% agriculture). We found strong differences in the MODIS data quality for different years, with data from 2005 resulting in the highest classification accuracy for the abandoned agriculture class (42.8% producer's accuracy). Classifications of MODIS NDVI data were almost as accurate as classifications based on a combination of both red and near-infrared reflectance data. MODIS NDVI data only from the growing-season resulted in similar classification accuracy as data for the full year. Using multiple years of MODIS data did not increase classification accuracy. Six phenology metrics derived with TIMESAT from the NDVI time series (2003-2008) alone were insufficient to detect abandoned agriculture, but phenology metrics improved classification accuracies when used in conjunction with NDVI time series by more than 8% ov\ldots</t>
  </si>
  <si>
    <t>Q2F352H2</t>
  </si>
  <si>
    <t>Alcorn, J. B.; Lynch, O.</t>
  </si>
  <si>
    <t>Tenurial Rights and Community Based Conservation</t>
  </si>
  <si>
    <t>JAGY4EY7</t>
  </si>
  <si>
    <t>Alcamo, Joseph; Döll, Petra; Henrichs, Thomas; Kaspar, Frank; Lehner, Bernhard; Rösch, Thomas; Siebert, Stefan</t>
  </si>
  <si>
    <t>Global estimates of water withdrawals and availability under current and future “business-as-usual” conditions</t>
  </si>
  <si>
    <t>10.1623/hysj.48.3.339.45278</t>
  </si>
  <si>
    <t>New global models provide the opportunity to generate quantitative information about the world water situation. Here the WaterGAP 2 model is used to compute globally comprehensive estimates about water availability, water with- drawals, and other indicators on the river-ba sin scale. In applying the model to the current global water situation, it was found that about 24% of world river basin area has a withdrawal to availability ratio greater than 0.4, which some experts consider to be a rough indication of “severe water stress”; the impacts of this stress are expected to be stronger in developing countries than in industrialized ones. Under a “business- as-usual” scenario of continuing demographic, economic and technological trends up to 2025, water withdrawals are expected to stabilize or decrease in 41% of world river basin areas because of the saturation of water needs and improvement in water-use efficiency. Withdrawals grow elsewhere because population and economic growth will lead to rising demand for water, and this outweighs the assumed improvements in water-use efficiency. An uncertainty analysis showed that the uncertainty of these estimates is likely to have a strong geographic variability.</t>
  </si>
  <si>
    <t>ETP4QNXW</t>
  </si>
  <si>
    <t>Alix-Garcia, Jennifer; de Janvry, Alain; Sadoulet, Elisabeth</t>
  </si>
  <si>
    <t>A Tale of Two Communities: Explaining Deforestation in Mexico</t>
  </si>
  <si>
    <t>10.1016/j.worlddev.2004.07.010</t>
  </si>
  <si>
    <t>Summary Deforestation policies in Mexico need to recognize heterogeneity in community's management schemes. In communities that extract wood from the forest for profit, forestry projects generate funds whose investment in public goods increases the value of standing forest to those not receiving direct dividends from the projects. Increases in such investment help decrease deforestation. In communities with other livelihoods, deforestation decreases with the community's ability to form a coalition that cooperates in reducing forest clearing. This is easier in smaller communities with more experienced leaders. Analysis using data collected in 2002 combined with satellite imagery verifies the models' predictions.</t>
  </si>
  <si>
    <t>219-235</t>
  </si>
  <si>
    <t>M2VAC9SP</t>
  </si>
  <si>
    <t>Che, Yeon-Koo</t>
  </si>
  <si>
    <t>Design competition through multidimensional auctions</t>
  </si>
  <si>
    <t>10.2307/2555752</t>
  </si>
  <si>
    <t>2022-09-23 09:12:46</t>
  </si>
  <si>
    <t>2022-09-23T09:12:46Z</t>
  </si>
  <si>
    <t>668-680</t>
  </si>
  <si>
    <t>E7RNS94F</t>
  </si>
  <si>
    <t>Cherniwchan, Jevan; Copeland, Brian R.; Taylor, M. Scott</t>
  </si>
  <si>
    <t>Trade and the environment: New methods, measurements, and results</t>
  </si>
  <si>
    <t>10.1146/annurev-economics-063016-103756</t>
  </si>
  <si>
    <t>2022-09-23 09:10:49</t>
  </si>
  <si>
    <t>2022-09-23T09:10:49Z</t>
  </si>
  <si>
    <t>4MM8349I</t>
  </si>
  <si>
    <t>Cao, Xun; Ward, Hugh</t>
  </si>
  <si>
    <t>Winning coalition size, state capacity, and time Horizons: an application of modified selectorate theory to environmental public goods provision</t>
  </si>
  <si>
    <t>International Studies Quarterly</t>
  </si>
  <si>
    <t>10.1111/isqu.12163</t>
  </si>
  <si>
    <t>2022-09-23 09:10:46</t>
  </si>
  <si>
    <t>2022-09-23T09:10:46Z</t>
  </si>
  <si>
    <t>264-279</t>
  </si>
  <si>
    <t>9EALMAHG</t>
  </si>
  <si>
    <t>Campleman, G.</t>
  </si>
  <si>
    <t>The Transition From Small-Scale to Large-Scale Industry</t>
  </si>
  <si>
    <t>10.1139/f73-340</t>
  </si>
  <si>
    <t>2022-09-23 09:09:42</t>
  </si>
  <si>
    <t>2022-09-23T09:09:42Z</t>
  </si>
  <si>
    <t>2159-2165</t>
  </si>
  <si>
    <t>PM6MPUE3</t>
  </si>
  <si>
    <t>Cazenave, Anny; Cozannet, Gonéri Le</t>
  </si>
  <si>
    <t>Earth's Future</t>
  </si>
  <si>
    <t>15-34</t>
  </si>
  <si>
    <t>RZ3NEQG3</t>
  </si>
  <si>
    <t>Chichilnisky, Graciela</t>
  </si>
  <si>
    <t>North-south trade and the global environment</t>
  </si>
  <si>
    <t>2022-09-23 09:07:29</t>
  </si>
  <si>
    <t>2022-09-23T09:07:29Z</t>
  </si>
  <si>
    <t>851-874</t>
  </si>
  <si>
    <t>7C72Z6AB</t>
  </si>
  <si>
    <t>Cheyns, Emmanuelle</t>
  </si>
  <si>
    <t>Making “minority voices” heard in transnational roundtables: the role of local NGOs in reintroducing justice and attachments</t>
  </si>
  <si>
    <t>10.1007/s10460-014-9505-7</t>
  </si>
  <si>
    <t>2022-09-23 09:06:37</t>
  </si>
  <si>
    <t>2022-09-23T09:06:37Z</t>
  </si>
  <si>
    <t>439-453</t>
  </si>
  <si>
    <t>I96DNBQ9</t>
  </si>
  <si>
    <t>Cashore, Benjamin</t>
  </si>
  <si>
    <t>Legitimacy and the privatization of environmental governance: How non–state market–driven (NSMD) governance systems gain rule–making authority</t>
  </si>
  <si>
    <t>Governance</t>
  </si>
  <si>
    <t>10.1111/1468-0491.00199</t>
  </si>
  <si>
    <t>2022-09-23 09:06:36</t>
  </si>
  <si>
    <t>2022-09-23T09:06:36Z</t>
  </si>
  <si>
    <t>503-529</t>
  </si>
  <si>
    <t>T268VZRQ</t>
  </si>
  <si>
    <t>Chen, Yun; He, Binghui; He, Binghui</t>
  </si>
  <si>
    <t>Effect of Soil Erosion and Water Loss in Farmland on Water Eutrophication in Xiaojiang River Basin</t>
  </si>
  <si>
    <t>Journal of Soil and Water Conservation</t>
  </si>
  <si>
    <t>2022-09-23 09:04:37</t>
  </si>
  <si>
    <t>2022-09-23T09:04:37Z</t>
  </si>
  <si>
    <t>26-29</t>
  </si>
  <si>
    <t>ZFBVWRY3</t>
  </si>
  <si>
    <t>Chakraborty, Jayajit; Maantay, Juliana A.; Brender, Jean D.</t>
  </si>
  <si>
    <t>Disproportionate proximity to environmental health hazards: methods, models, and measurement</t>
  </si>
  <si>
    <t>American Journal of Public Health</t>
  </si>
  <si>
    <t>10.2105/AJPH.2010.300109</t>
  </si>
  <si>
    <t>2022-09-23 09:04:14</t>
  </si>
  <si>
    <t>2022-09-23T09:04:14Z</t>
  </si>
  <si>
    <t>S27-S36</t>
  </si>
  <si>
    <t>CKH93RUN</t>
  </si>
  <si>
    <t>Cazenave, Anny; Llovel, William</t>
  </si>
  <si>
    <t>Contemporary sea level rise</t>
  </si>
  <si>
    <t>Annual review of marine science</t>
  </si>
  <si>
    <t>2022-09-23 09:03:53</t>
  </si>
  <si>
    <t>2022-09-23T09:03:53Z</t>
  </si>
  <si>
    <t>145-173</t>
  </si>
  <si>
    <t>GPMS2CWD</t>
  </si>
  <si>
    <t>Multi-stakeholder initiatives for sustainable agriculture: limits of the ‘inclusiveness' paradigm</t>
  </si>
  <si>
    <t>Governing through standards: Origins, drivers and limitations</t>
  </si>
  <si>
    <t>10.1007/978-0-230-34830-1_9</t>
  </si>
  <si>
    <t>2022-09-23 09:00:34</t>
  </si>
  <si>
    <t>2022-09-23T09:00:34Z</t>
  </si>
  <si>
    <t>210-235</t>
  </si>
  <si>
    <t>U2MI77M8</t>
  </si>
  <si>
    <t>Cassino, Dan; Lodge, Milton</t>
  </si>
  <si>
    <t>The primacy of affect in political evaluations</t>
  </si>
  <si>
    <t>The affect effect: Dynamics of emotion in political thinking and behavior</t>
  </si>
  <si>
    <t>10.7208/chicago/9780226574431.003.0005</t>
  </si>
  <si>
    <t>2022-09-23 08:59:46</t>
  </si>
  <si>
    <t>2022-09-23T08:59:46Z</t>
  </si>
  <si>
    <t>101-123</t>
  </si>
  <si>
    <t>T3ZQDCF8</t>
  </si>
  <si>
    <t>Chhatre, Ashwini; Agrawal, Arun</t>
  </si>
  <si>
    <t>Forest commons and local enforcement</t>
  </si>
  <si>
    <t>10.1073/pnas.0803399105</t>
  </si>
  <si>
    <t>https://pnas.org/doi/full/10.1073/pnas.0803399105</t>
  </si>
  <si>
    <t>This article examines the relationship between local enforcement and forests used as commons. It uses a unique multicountry dataset, created over the past 15 years by the International Forestry Resources and Institutions Research Program. Drawing on original enforcement and forest commons data from 9 countries, we find that higher levels of local enforcement have a strong and positive but complex relationship to the probability of forest regeneration. This relationship holds even when the influence of a number of other factors such as user group size, subsistence, and commercial importance of forests, size of forest, and collective action for forest improvement activities is taken into account. Although several of the above factors have a statistically significant relationship to changes in the condition of forest commons, differences in levels of local enforcement strongly moderate their link with forest commons outcomes. The research, using data from diverse political, social, and ecological contexts, shows both the importance of enforcement to forest commons and some of the limits of forest governance through commons arrangements.</t>
  </si>
  <si>
    <t>2008-09-09</t>
  </si>
  <si>
    <t>2022-09-23 08:05:07</t>
  </si>
  <si>
    <t>2022-09-23T08:05:07Z</t>
  </si>
  <si>
    <t>2022-09-22 07:27:33</t>
  </si>
  <si>
    <t>13286-13291</t>
  </si>
  <si>
    <t>CSEEP7PS</t>
  </si>
  <si>
    <t>Cash, David W.; Clark, William C.; Alcock, Frank; Dickson, Nancy M.; Eckley, Noelle; Guston, David H.; Jäger, Jill; Mitchell, Ronald B.</t>
  </si>
  <si>
    <t>Knowledge systems for sustainable development</t>
  </si>
  <si>
    <t>10.1073/pnas.1231332100</t>
  </si>
  <si>
    <t>https://pnas.org/doi/full/10.1073/pnas.1231332100</t>
  </si>
  <si>
    <t>The challenge of meeting human development needs while protecting the  earth's life support systems confronts scientists, technologists, policy  makers, and communities from local to global levels. Many believe that science  and technology (S&amp;T) must play a more central role in sustainable  development, yet little systematic scholarship exists on how to create  institutions that effectively harness S&amp;T for sustainability. This study  suggests that efforts to mobilize S&amp;T for sustainability are more likely  to be effective when they manage boundaries between knowledge and action in  ways that simultaneously enhance the salience, credibility, and legitimacy of  the information they produce. Effective systems apply a variety of  institutional mechanisms that facilitate communication, translation and  mediation across boundaries.</t>
  </si>
  <si>
    <t>2003-07-08</t>
  </si>
  <si>
    <t>2022-09-23 08:04:46</t>
  </si>
  <si>
    <t>2022-09-23T08:04:46Z</t>
  </si>
  <si>
    <t>8086-8091</t>
  </si>
  <si>
    <t>2EGY67Y3</t>
  </si>
  <si>
    <t>Chaudhary, Abhishek; Kastner, Thomas</t>
  </si>
  <si>
    <t>Land use biodiversity impacts embodied in international food trade</t>
  </si>
  <si>
    <t>10.1016/j.gloenvcha.2016.03.013</t>
  </si>
  <si>
    <t>Agricultural land use to meet the demands of a growing population, changing diets, lifestyles and biofuel production is a significant driver of biodiversity loss. Globally applicable methods are needed to assess biodiversity impacts hidden in internationally traded food items. We used the countryside species area relationship (SAR) model to estimate the mammals, birds, amphibians and reptiles species lost (i.e. species 'committed to extinction') due to agricultural land use within each of the 804 terrestrial ecoregion. These species lost estimates were combined with high spatial resolution global maps of crop yields to calculate species lost per ton for 170 crops in 184 countries. Finally, the impacts per ton were linked with the bilateral trade data of crop products between producing and consuming countries from FAO, to calculate the land use biodiversity impacts embodied in international crop trade and consumption. We found that 83% of total species loss is incurred due to agriculture land use devoted for domestic consumption whereas 17% is due to export production. Exports from Indonesia to USA and China embody highest impacts (20 species lost at the regional level each). In general, industrialized countries with high per capita GDP tend to be major net importers of biodiversity impacts from developing tropical countries. Results show that embodied land area is not a good proxy for embodied biodiversity impacts in trade flows, as crops occupying little global area such as sugarcane, palm oil, rubber and coffee have disproportionately high biodiversity impacts.</t>
  </si>
  <si>
    <t>2022-09-23 08:04:43</t>
  </si>
  <si>
    <t>2022-09-23T08:04:43Z</t>
  </si>
  <si>
    <t>195-204</t>
  </si>
  <si>
    <t>YL5RPK7J</t>
  </si>
  <si>
    <t>Carpenter, Stephen R.; Stanley, Emily H.; Vander Zanden, M. Jake</t>
  </si>
  <si>
    <t>https://doi.org/10.1146/annurev-environ-021810-094524</t>
  </si>
  <si>
    <t>Surface freshwaters—lakes, reservoirs, and rivers—are among the most extensively altered ecosystems on Earth. Transformations include changes in the morphology of rivers and lakes, hydrology, biogeo- chemistry of nutrients and toxic substances, ecosystem metabolism and the storage of carbon (C), loss of native species, expansion of invasive species, and disease emergence. Drivers are climate change, hydrologic flow modification, land-use change, chemical inputs, aquatic invasive species, and harvest. Drivers and responses interact, and their relation- ships must be disentangled to understand the causes and consequences of change as well as the correctives for adverse change in any given wa- tershed. Beyond its importance in terms of drinking water, freshwater supports human well-being in many ways related to food and fiber pro- duction, hydration of other ecosystems used by humans, dilution and degradation of pollutants, and cultural values. A natural capital frame- work can be used to assess freshwater ecosystem services, competing uses for freshwaters, and the processes that underpin the long-term maintenance of freshwaters. Upper limits for human consumption of freshwaters have been proposed, and consumptive use may approach these limits by the mid-century.</t>
  </si>
  <si>
    <t>2022-09-23 07:52:18</t>
  </si>
  <si>
    <t>2022-09-23T07:52:18Z</t>
  </si>
  <si>
    <t>75-99</t>
  </si>
  <si>
    <t>R6UJMBIV</t>
  </si>
  <si>
    <t>Trade-offs and synergies between carbon storage and livelihood benefits from forest commons</t>
  </si>
  <si>
    <t>10.1073/pnas.0905308106</t>
  </si>
  <si>
    <t>https://pnas.org/doi/full/10.1073/pnas.0905308106</t>
  </si>
  <si>
    <t>Forests provide multiple benefits at local to global scales. These include the global public good of carbon sequestration and local and national level contributions to livelihoods for more than half a billion users. Forest commons are a particularly important class of forests generating these multiple benefits. Institutional arrangements to govern forest commons are believed to substantially influence carbon storage and livelihood contributions, especially when they incorporate local knowledge and decentralized decision making. However, hypothesized relationships between institutional factors and multiple benefits have never been tested on data from multiple countries. By using original data on 80 forest commons in 10 countries across Asia, Africa, and Latin America, we show that larger forest size and greater rule-making autonomy at the local level are associated with high carbon storage and livelihood benefits; differences in ownership of forest commons are associated with trade-offs between livelihood benefits and carbon storage. We argue that local communities restrict their consumption of forest products when they own forest commons, thereby increasing carbon storage. In showing rule-making autonomy and ownership as distinct and important institutional influences on forest outcomes, our results are directly relevant to international climate change mitigation initiatives such as Reduced Emissions from Deforestation and Forest Degradation (REDD) and avoided deforestation. Transfer of ownership over larger forest commons patches to local communities, coupled with payments for improved carbon storage can contribute to climate change mitigation without adversely affecting local livelihoods.</t>
  </si>
  <si>
    <t>2009-10-20</t>
  </si>
  <si>
    <t>2022-09-23 07:44:12</t>
  </si>
  <si>
    <t>2022-09-23T07:44:12Z</t>
  </si>
  <si>
    <t>2022-09-22 07:27:34</t>
  </si>
  <si>
    <t>17667-17670</t>
  </si>
  <si>
    <t>4YBM77R5</t>
  </si>
  <si>
    <t>Chan, Kai M. A.; Balvanera, Patricia; Benessaiah, Karina; Chapman, Mollie; Díaz, Sandra; Gómez-Baggethun, Erik; Gould, Rachelle; Hannahs, Neil; Jax, Kurt; Klain, Sarah; Luck, Gary W.; Martín-López, Berta; Muraca, Barbara; Norton, Bryan; Ott, Konrad; Pascual, Unai; Satterfield, Terre; Tadaki, Marc; Taggart, Jonathan; Turner, Nancy</t>
  </si>
  <si>
    <t>Why protect nature? Rethinking values and the environment</t>
  </si>
  <si>
    <t>10.1073/pnas.1525002113</t>
  </si>
  <si>
    <t>https://www.pnas.org/content/113/6/1462</t>
  </si>
  <si>
    <t>A cornerstone of environmental policy is the debate over protecting nature for humans’ sake (instrumental values) or for nature’s (intrinsic values) (1). We propose that focusing only on instrumental or intrinsic values may fail to resonate with views on personal and collective well-being, or “what is right,” with regard to nature and the environment. Without complementary attention to other ways that value is expressed and realized by people, such a focus may inadvertently promote worldviews at odds with fair and desirable futures. It is time to engage seriously with a third class of values, one with diverse roots and current expressions: relational values. By doing so, we reframe the discussion about environmental protection, and open the door to new, potentially more productive policy approaches. Few people make personal choices based only on how things possess inherent worth or satisfy their preferences (intrinsic and instrumental values, respectively). People also consider the appropriateness of how they relate with nature and with others, including the actions and habits conducive to a good life, both meaningful and satisfying. In philosophical terms, these are relational values (preferences, principles, and virtues associated with relationships, both interpersonal and as articulated by policies and social norms). They include “eudaimonic” values, or values associated with a good life (Fig. 1; also see dataset for additional references throughout, available at dx.doi.org/10.13140/RG.2.1.5146.0560). Relational values are not present in things but derivative of relationships and responsibilities to them (Fig. 2). In this sense, an individual preference or societal choice can be questioned or reframed based on its consistency with core values, such as justice, care, virtue, and reciprocity. Fig. 1.  The difference between the instrumental and intrinsic value framings that dominate environmental literatures and relational values. Whereas intrinsic values ( A ) pertain only to the value inherent in an object, and instrumental values ( A …  [↵][1]1To whom correspondence should be addressed. Email: kaichan{at}ires.ubc.ca.  [1]: #xref-corresp-1-1</t>
  </si>
  <si>
    <t>2016-02-09</t>
  </si>
  <si>
    <t>2022-09-23 07:43:16</t>
  </si>
  <si>
    <t>2022-09-23T07:43:16Z</t>
  </si>
  <si>
    <t>2020-03-15 19:28:27</t>
  </si>
  <si>
    <t>1462-1465</t>
  </si>
  <si>
    <t>PNAS</t>
  </si>
  <si>
    <t>Opinion</t>
  </si>
  <si>
    <t>www.pnas.org</t>
  </si>
  <si>
    <t>Publisher: National Academy of Sciences Section: Opinion PMID: 26862158</t>
  </si>
  <si>
    <t>ipbes-global_chapter1; ipbes-global_chapter2.1_drivers; ipbes-global_chapter2.2_nature; ipbes-global_chapter2.3_ncp; ipbes-global_chapter5; ipbes-global_chapter6</t>
  </si>
  <si>
    <t>EQKMM5E7</t>
  </si>
  <si>
    <t>Caro, Tim; Dobson, Andrew; Marshall, Andrew J.; Peres, Carlos A.</t>
  </si>
  <si>
    <t>Compromise solutions between conservation and road building in the tropics</t>
  </si>
  <si>
    <t>10.1016/j.cub.2014.07.007</t>
  </si>
  <si>
    <t>https://linkinghub.elsevier.com/retrieve/pii/S0960982214008331</t>
  </si>
  <si>
    <t>2014-08</t>
  </si>
  <si>
    <t>2022-09-23 07:34:29</t>
  </si>
  <si>
    <t>2022-09-23T07:34:29Z</t>
  </si>
  <si>
    <t>R722-R725</t>
  </si>
  <si>
    <t>YLRP65TZ</t>
  </si>
  <si>
    <t>Chape, S; Harrison, J; Spalding, M; Lysenko, I</t>
  </si>
  <si>
    <t>Measuring the extent and effectiveness of protected areas as an indicator for meeting global biodiversity targets</t>
  </si>
  <si>
    <t>10.1098/rstb.2004.1592</t>
  </si>
  <si>
    <t>https://royalsocietypublishing.org/doi/10.1098/rstb.2004.1592</t>
  </si>
  <si>
    <t>There are now over 100 000 protected areas worldwide, covering over 12% of the Earth's land surface. These areas represent one of the most significant human resource use allocations on the planet. The importance of protected areas is reflected in their widely accepted role as an indicator for global targets and environmental assessments.             However, measuring the number and extent of protected areas only provides a unidimensional indicator of political commitment to biodiversity conservation. Data on the geographic location and spatial extent of protected areas will not provide information on a key determinant for meeting global biodiversity targets: ‘effectiveness’ in conserving biodiversity. Although tools are being devised to assess management effectiveness, there is no globally accepted metric.             Nevertheless, the numerical, spatial and geographic attributes of protected areas can be further enhanced by investigation of the biodiversity coverage of these protected areas, using species, habitats or biogeographic classifications.             This paper reviews the current global extent of protected areas in terms of geopolitical and habitat coverage, and considers their value as a global indicator of conservation action or response. The paper discusses the role of the World Database on Protected Areas and collection and quality control issues, and identifies areas for improvement, including how conservation effectiveness indicators may be included in the database to improve the value of protected areas data as an indicator for meeting global biodiversity targets.</t>
  </si>
  <si>
    <t>2005-02-28</t>
  </si>
  <si>
    <t>2022-09-23 07:31:14</t>
  </si>
  <si>
    <t>2022-09-23T07:31:14Z</t>
  </si>
  <si>
    <t>2022-09-22 07:27:48</t>
  </si>
  <si>
    <t>443-455</t>
  </si>
  <si>
    <t>1454</t>
  </si>
  <si>
    <t>4MYEHQ9E</t>
  </si>
  <si>
    <t>CBD</t>
  </si>
  <si>
    <t>Global Biodiversity Outlook 4. A mid-term assessment of progress towards the implementation of the Strategic Plan for Biodiversity 2011-2020</t>
  </si>
  <si>
    <t>www.cbd.int/GBO4</t>
  </si>
  <si>
    <t>Secretariat of the Convention on Biological Diversity</t>
  </si>
  <si>
    <t>Montreal</t>
  </si>
  <si>
    <t>ipbes-global_chapter1; ipbes-global_chapter2.1_drivers; ipbes-global_chapter4; ipbes-global_chapter5</t>
  </si>
  <si>
    <t>T26LSC6B</t>
  </si>
  <si>
    <t>Chazdon, Robin L.; Brancalion, Pedro H. S.; Lamb, David; Laestadius, Lars; Calmon, Miguel; Kumar, Chetan</t>
  </si>
  <si>
    <t>A Policy-Driven Knowledge Agenda for Global Forest and Landscape Restoration</t>
  </si>
  <si>
    <t>10.1111/conl.12220</t>
  </si>
  <si>
    <t>http://doi.wiley.com/10.1111/conl.12220</t>
  </si>
  <si>
    <t>2017-01</t>
  </si>
  <si>
    <t>125-132</t>
  </si>
  <si>
    <t>HPNJM6FA</t>
  </si>
  <si>
    <t>Cities and Biodiversity Outlook</t>
  </si>
  <si>
    <t>https://www.cbd.int/doc/health/cbo-action-policy-en.pdf</t>
  </si>
  <si>
    <t>64</t>
  </si>
  <si>
    <t>AHQJE7J6</t>
  </si>
  <si>
    <t>Cardenas, Juan Camilo; Stranlund, John; Willis, Cleve</t>
  </si>
  <si>
    <t>Local Environmental Control and Institutional Crowding-Out</t>
  </si>
  <si>
    <t>10.1016/S0305-750X(00)00055-3</t>
  </si>
  <si>
    <t>http://www.sciencedirect.com/science/article/pii/S0305750X00000553</t>
  </si>
  <si>
    <t>Regulations that are designed to improve social welfare typically begin with the premise that individuals are purely self-interested. Experimental evidence shows, however, that individuals do not typically behave this way; instead, they tend to strike a balance between self and group interests. From experiments performed in rural Colombia, we found that a regulatory solution for an environmental dilemma that standard theory predicts would improve social welfare clearly did not. This occurred because individuals confronted with the regulation began to exhibit less other-regarding behavior and made choices that were more self-interested; that is, the regulation appeared to crowd out other-regarding behavior.</t>
  </si>
  <si>
    <t>2000-10-01</t>
  </si>
  <si>
    <t>1719-1733</t>
  </si>
  <si>
    <t>IF6SP46R</t>
  </si>
  <si>
    <t>Carolsfield, Joachim</t>
  </si>
  <si>
    <t>Migratory Fishes of South America: Biology, Fisheries and Conservation Status</t>
  </si>
  <si>
    <t>1-55250-114-0 978</t>
  </si>
  <si>
    <t>Fish species that migrate within the great rivers of South America support important local fisheries but are little known outside their native range. This book, written specially for the World Bank and the International Development Research Centre, represents the first collection of the work of local scientific experts on these remarkable fish. The authors cover the Upper Paraná, Paraguay-Paraná, Uruguay and São Francisco basins in Brazil, as well as the Brazilian and Colombian Amazon. They discuss not only the principal migratory species and their fascinating relationship with the water cycle in the rivers and wetlands, but also the fisheries they support, and their often precarious conservation status.</t>
  </si>
  <si>
    <t>World Fisheries Trust</t>
  </si>
  <si>
    <t>T7QK8LBT</t>
  </si>
  <si>
    <t>Campbell, Angus; Converse, Philip E.; Miller, Warren E.; Stokes, Donald E.</t>
  </si>
  <si>
    <t>The American Voter</t>
  </si>
  <si>
    <t>Here is the unabridged version of the classic theoretical study of voting behavior, originally published in 1960. It is a standard reference in the field of electoral research, presenting formulations of the theoretical issues that have been the focus of scholarly publication. No single study matches the study of The American Voter.</t>
  </si>
  <si>
    <t>Chicago, IL</t>
  </si>
  <si>
    <t>VZC3GQ4N</t>
  </si>
  <si>
    <t>Parties to the Nagoya Protocol</t>
  </si>
  <si>
    <t>https://www.cbd.int/abs/nagoya-protocol/signatories/</t>
  </si>
  <si>
    <t>ZGYG3YAC</t>
  </si>
  <si>
    <t>Cerrell Associates; Powell, J. S.</t>
  </si>
  <si>
    <t>Political Difficulties Facing Waste-to-Energy Conversion Plant Siting</t>
  </si>
  <si>
    <t>https://www.ejnet.org/ej/cerrell.pdf</t>
  </si>
  <si>
    <t>1984</t>
  </si>
  <si>
    <t>A2YJ3LPG</t>
  </si>
  <si>
    <t>Chandra, Amitabh; Thompson, Eric</t>
  </si>
  <si>
    <t>Does public infrastructure affect economic activity? Evidence from the rural interstate highway system</t>
  </si>
  <si>
    <t>10.1016/S0166-0462(00)00040-5</t>
  </si>
  <si>
    <t>http://linkinghub.elsevier.com/retrieve/pii/S0166046200000405</t>
  </si>
  <si>
    <t>We examine the relationship between large infrastructure spending, of the type implied by interstate highway construction, and the level of economic activity. By collecting historical data on interstate highway construction and economic activity in the United States at the county level we find that highways have a differential impact across industries: certain industries grow as a result of reduced transportation costs, whereas others shrink as economic activity relocates. Additionally, we find that highways affect the spatial allocation of economic activity. They raise the level of economic activity in the counties that they pass directly through, but draw activity away from adjacent counties.</t>
  </si>
  <si>
    <t>2000-07</t>
  </si>
  <si>
    <t>457-490</t>
  </si>
  <si>
    <t>FQKKLT6V</t>
  </si>
  <si>
    <t>Children and Nature Network</t>
  </si>
  <si>
    <t>The Oakland Declaration on the Vital Role of Nature-Based Learning in Promoting the Well-being of People and the Planet</t>
  </si>
  <si>
    <t>Children &amp; Nature Network</t>
  </si>
  <si>
    <t>EFQ2UVUU</t>
  </si>
  <si>
    <t>List of Parties to the Convention on Biological Diversity</t>
  </si>
  <si>
    <t>X8FBTZ3I</t>
  </si>
  <si>
    <t>Chaudhuri, Shubham; Pfaff, Alexander S. P.</t>
  </si>
  <si>
    <t>Fuel-choice and indoor air quality: a household-level perspective on economic growth and the environment</t>
  </si>
  <si>
    <t>The fuel-use decisions of households in developing economies, because they directly influence the level of indoor air quality that these households enjoy (with its attendant health effects), provide a natural arena for empirically as-sessing latent preferences towards the environment and how these evolve with increases in income. Such an assessment is critical for a better understanding of the likely effects of aggregate economic growth on the environment. Using household data from Pakistan we estimate Engel curves for traditional (dirty) and modern (clean) fuels. Our results provide empirical support for a household production framework in which non-monotonic environmental Engel curves can arise quite naturally. Under plausible assumptions about the emissions implied by fuel use, our estimates yield an inverted-U relationship between indoor air pollution and income, mirroring the environmental Kuznets curves that have been documented using aggregate data. We then demonstrate, through a sim-ple voting model, that this household-choice framework can generate aggregate EKCs even in a multi-agent setting with heterogeneous households and purely external environmental effects.</t>
  </si>
  <si>
    <t>1-27</t>
  </si>
  <si>
    <t>LAMCNQCL</t>
  </si>
  <si>
    <t>Charles, Anthony T.</t>
  </si>
  <si>
    <t>Fishery Socioeconomics: A Survey</t>
  </si>
  <si>
    <t>10.2307/3146251</t>
  </si>
  <si>
    <t>Fisheries management is constantly con-fronted, and sometimes confounded, by the complexities of real-world fishery systems. Two major sources of such complexities are (1) the many conflicting goals and objectives faced by fishery managers, and (2) the wide variety of socioeconomic factors which impact on the validity and effectiveness of regulatory instruments. Amongst the con-siderations lying within this "fishery socio-economics" framework are distributional is-sues, labor market structure, social and opportunity costs, fishing community dynam-ics, and fishermen-decisionmaking processes. (Andersen 1978; FAO 1985; Fricke 1985; GERMA 1986; Panayotou 1982; Pollnac and Sutinen 1979.) While their importance is widely recognized, little consensus exists re-garding the manner in which such topics can best be incorporated into economic analyses and into fishery management decisions. This paper reviews relevant literature on fishery socioeconomics, addressing the ques-tions: What contribution can multi-objective socioeconomic analysis play in fisheries eco-nomics and in practical fisheries manage-ment? What insights can be obtained from ex-isting socioeconomic research? What specific questions need to be emphasized in future re-search? An attempt is made to consolidate the research in this diverse area, which has tended to develop somewhat independently from tra-ditional resource economics theory, and which has some clear connections to the ideas of institutional economics (see, e.g., Wilson 1986). The paper is organized as follows. Section I explores the wide variety of objectives, such as employment, distributional concerns and rent generation, which often play a practical role in real-world fisheries, whether or not they are expressed explicitly in fishery policy statements. Section II reviews theoretical and empirical studies of income distribution, while section III presents a broad examination of literature dealing with socioeconomic as-pects of fishery management. This involves both critiques of common management meth-ods (such as regulated property rights and lim-ited entry schemes) and examinations of al-ternative approaches (such as cooperatives, informal contracting and community property rights). This leads into an exploration in sec-tions IV and V of the social and opportunity costs for labor in fisheries, and of related themes involving fishery labor markets, the determinants of labor supply, and the key is-sue of labor mobility. Section VI pres\ldots</t>
  </si>
  <si>
    <t>276</t>
  </si>
  <si>
    <t>42NU9CTE</t>
  </si>
  <si>
    <t>Cheung, Lewis T. O.; Lo, Alex Y. H.; Fok, Lincoln</t>
  </si>
  <si>
    <t>Recreational specialization and ecologically responsible behaviour of Chinese birdwatchers in Hong Kong</t>
  </si>
  <si>
    <t>0966-9582</t>
  </si>
  <si>
    <t>10.1080/09669582.2016.1251445</t>
  </si>
  <si>
    <t>817-831</t>
  </si>
  <si>
    <t>8P3PT5C6</t>
  </si>
  <si>
    <t>Chawla, Louise</t>
  </si>
  <si>
    <t>Significant Life Experiences Revisited: A Review of Research on Sources of Environmental Sensitivity</t>
  </si>
  <si>
    <t>10.1080/00958969809599114</t>
  </si>
  <si>
    <t>11-21</t>
  </si>
  <si>
    <t>LR9D5N9L</t>
  </si>
  <si>
    <t>Chen, Xiaodong; Lupi, Frank; He, Guangming; Liu, Jianguo</t>
  </si>
  <si>
    <t>Linking social norms to efficient conservation investment in payments for ecosystem services</t>
  </si>
  <si>
    <t>10.1073/pnas.0809980106</t>
  </si>
  <si>
    <t>An increasing amount of investment has been devoted to protecting and restoring ecosystem services worldwide. The efficiency of conservation investments, including payments for ecosystem services (PES), has been found to be affected by biological, political, economic, demographic, and social factors, but little is known about the effects of social norms at the neighborhood level. As a first attempt to quantify the effects of social norms, we studied the effects of a series of possible factors on people's intentions of maintaining forest on their Grain-to-Green Program (GTGP) land plots if the program ends. GTGP is one of the world's largest PES programs and plays an important role in global conservation efforts. Our study was conducted in China's Wolong Nature Reserve, home to the world-famous endangered giant pandas and \textgreater4,500 farmers. We found that, in addition to conservation payment amounts and program duration, social norms at the neighborhood level had significant impacts on program re-enrollment, suggesting that social norms can be used to leverage participation to enhance the sustainability of conservation benefits from PES programs. Moreover, our results demonstrate that economic and demographic trends also have profound implications for sustainable conservation. Thus, social norms should be incorporated with economic and demographic trends for efficient conservation investments.</t>
  </si>
  <si>
    <t>42R2JENF</t>
  </si>
  <si>
    <t>Chen, Ji; Li, Qinglan; Niu, Jun; Sun, Liqun</t>
  </si>
  <si>
    <t>Regional climate change and local urbanization effects on weather variables in Southeast China</t>
  </si>
  <si>
    <t>Stochastic Environmental Research and Risk Assessment</t>
  </si>
  <si>
    <t>1436-3259</t>
  </si>
  <si>
    <t>10.1007/s00477-010-0421-0</t>
  </si>
  <si>
    <t>This paper presents the analyses of regional climate change features and the local urbanization effects on different weather variables over Southeast China. The weather variables considered are: daily mean (Tm), minimum (Tmin), and maximum (Tmax) near surface air temperature, diurnal temperature range (DTR), relative humidity (RH), and precipitation (P). With analysis of two datasets (a station dataset for the period from 1960 to 2005 that is mainly used and a grid dataset for the period 1960–2000), this study reveals that the trends in the variations of these weather variables can be separated into two periods, before and after 1984. Before 1984, there were no significant urbanization effects, and Tmin, RH, and P steadily increased but Tmax decreased, resulting in a considerable decrease in DTR and a slight decrease in Tm. After 1984, Tmin and Tmax increased considerably, and the urbanization influence on Tmin, but not Tmax, is observable. The urbanization effect causes an extra increasing trend in Tmin with a rate of about 0.6{$\backslash$textdegree}C/decade and, accordingly, extra decreasing trends in DTR and RH. The analysis of the seasonal trends reveals that the urbanization influence results in a near-uniform increase of Tmin for all four seasons and a strong decrease of RH in summer and autumn. Moreover, there is no significant change in P at the annual scale and an increasing rate of 11.8%/decade in summer. With the urbanization influence, a considerable increase in P is noticeable at the annual scale; specifically, the increasing rates of 18.6%/decade in summer and 13.5%/decade in autumn are observed.</t>
  </si>
  <si>
    <t>C4VQLLND</t>
  </si>
  <si>
    <t>Chidumayo, E. N.; Gumbo, D. J.</t>
  </si>
  <si>
    <t>Energy for Sustainable Development</t>
  </si>
  <si>
    <t>09730826</t>
  </si>
  <si>
    <t>CXPERVMN</t>
  </si>
  <si>
    <t>Carpenter, Janet E.</t>
  </si>
  <si>
    <t>Peer-reviewed surveys indicate positive impact of commercialized GM crops</t>
  </si>
  <si>
    <t>Nature Biotechnology</t>
  </si>
  <si>
    <t>1087-0156</t>
  </si>
  <si>
    <t>10.1038/nbt0410-319</t>
  </si>
  <si>
    <t>This paper summarizes results from 49 peer-reviewed publications reporting on farmer surveys that compare yields and other indicators of economic performance for adopters and non-adopters of currently commercialized genetically modified (GM) crops. The surveys cover GM insect-resistant and hebicide-tolerant crops, which account for \textgreater99% of global GM crop area. Results from 12 countries indicate, with few exceptions, that GM crops have benefitted farmers. The benefits, especially in terms of increased yields, are greatest for the mostly small farmers in developing countries, who have benefitted from the spillover of technologies originally targeted at farmers in industrialized countries. An annotated bibliography of results for yield, costs and economic performance, and a description of the methodology used in this analysis are provided. Future prospects are mentioned.</t>
  </si>
  <si>
    <t>9DNEVIJL</t>
  </si>
  <si>
    <t>Carothers, Courtney; Lew, Daniel K.; Sepez, Jennifer</t>
  </si>
  <si>
    <t>Fishing rights and small communities: Alaska halibut IFQ transfer patterns</t>
  </si>
  <si>
    <t>10.1016/j.ocecoaman.2010.04.014</t>
  </si>
  <si>
    <t>In the Alaska halibut individual fishing quota (IFQ) fishery, small remote fishing communities (SRFCs) have disproportionately lost fishing rights. Our analysis of quota market participation from 1995 to 1999 confirms that SRFC residents are more likely to sell than buy quota. Alaska Native heritage is another important predictor of quota market behavior. Residents of Alaska Native villages have an increased likelihood of selling quota. Loss of fisheries participation in small indigenous communities can be an unintended consequence of quota systems. Mitigation measures should take into account the social factors that can lead to such a redistribution of fishing rights in privatized access fisheries. ?? 2010 Elsevier Ltd.</t>
  </si>
  <si>
    <t>518-523</t>
  </si>
  <si>
    <t>SW3P4H9H</t>
  </si>
  <si>
    <t>Camargo, J. A.; Alonso, A.</t>
  </si>
  <si>
    <t>Environment International</t>
  </si>
  <si>
    <t>0160-4120</t>
  </si>
  <si>
    <t>We provide a global assessment, with detailed multi-scale data, of the ecological and toxicological effects generated by inorganic nitrogen pollution in aquatic ecosystems. Our synthesis of the published scientific literature shows three major environmental problems: (1) it can increase the concentration of hydrogen ions in freshwater ecosystems without much acid-neutralizing capacity, resulting in acidification of those systems; (2) it can stimulate or enhance the development, maintenance and proliferation of primary producers, resulting in eutrophication of aquatic ecosystems; (3) it can reach toxic levels that impair the ability of aquatic animals to survive, grow and reproduce. Inorganic nitrogen pollution of ground and surface waters can also induce adverse effects on human health and economy. Because reductions in SO2 emissions have reduced the atmospheric deposition of H2SO4 across large portions of North America and Europe, while emissions of NOx have gone unchecked, HNO3 is now playing an increasing role in the acidification of freshwater ecosystems. This acidification process has caused several adverse effects on primary and secondary producers, with significant biotic impoverishments, particularly concerning invertebrates and fishes, in many atmospherically acidified lakes and streams. The cultural eutrophication of freshwater, estuarine, and coastal marine ecosystems can cause ecological and toxicological effects that are either directly or indirectly related to the proliferation of primary producers. Extensive kills of both invertebrates and fishes are probably the most dramatic manifestation of hypoxia (or anoxia) in eutrophic and hypereutrophic aquatic ecosystems with low water turnover rates. The decline in dissolved oxygen concentrations can also promote the formation of reduced compounds, such as hydrogen sulphide, resulting in higher adverse (toxic) effects on aquatic animals. Additionally, the occurrence of toxic algae can significantly contribute to the extensive kills of aquatic animals. Cyanobacteria, dinoflagellates and diatoms appear to be major responsible that may be stimulated by inorganic nitrogen pollution. Among the different inorganic nitrogenous compounds (NH4+, NH3, NO2-, HNO2, NO3-) that aquatic animals can take up directly from the ambient water, unionized ammonia is the most toxic, while ammonium and nitrate ions are the least toxic. In general, seawater animals seem to be more tolerant to the toxicity of inorganic n\ldots</t>
  </si>
  <si>
    <t>PEJD6BF4</t>
  </si>
  <si>
    <t>Capinha, César; Essl, Franz; Seebens, Hanno; Moser, Dietmar; Pereira, Henrique Miguel</t>
  </si>
  <si>
    <t>http://science.sciencemag.org/content/348/6240/1248 http://www.sciencemag.org/cgi/doi/10.1126/science.aaa8913</t>
  </si>
  <si>
    <t>1248-1251</t>
  </si>
  <si>
    <t>6240</t>
  </si>
  <si>
    <t>58XRBUAS</t>
  </si>
  <si>
    <t>Cavalcanti, Carina; Schläpfer, Felix; Schmid, Bernhard</t>
  </si>
  <si>
    <t>Public participation and willingness to cooperate in common-pool resource management: A field experiment with fishing communities in Brazil</t>
  </si>
  <si>
    <t>10.1016/j.ecolecon.2009.09.009</t>
  </si>
  <si>
    <t>The primary evidence about the factors determining successful self-governance of common-pool resources (CPR) has come from case studies. More recently, this observational evidence has been complemented by insights from economic experiments. Here we advance a third approach in which the role of local deliberation about the management of a fishery resource is investigated in a field experiment. Using three control and three treatment communities in a freshwater fishery, we tested whether participation in developing specific measures for community-based sustainable CPR management increased the willingness to contribute to the implementation of these measures. Each community was also exposed to information about their community leaders' advice about the proposed measures. Both participation and leader advice affected the willingness of participants to contribute in one of three proposed measures. However, the strongest influence on individual willingness to contribute was exerted by the individual beliefs about the cooperation of others in CPR management.</t>
  </si>
  <si>
    <t>613-622</t>
  </si>
  <si>
    <t>VFAKIWVJ</t>
  </si>
  <si>
    <t>Cashore, Benjamin William; Auld, Graeme; Newsom, Deanna</t>
  </si>
  <si>
    <t>Governing through markets: Forest certification and the emergence of non-state authority</t>
  </si>
  <si>
    <t>U4QP2G2Z</t>
  </si>
  <si>
    <t>Carson, Richard T.</t>
  </si>
  <si>
    <t>The environmental Kuznets curve: Seeking empirical regularity and theoretical structure</t>
  </si>
  <si>
    <t>17506816</t>
  </si>
  <si>
    <t>10.1093/reep/rep021</t>
  </si>
  <si>
    <t>In the early 1990s the attention of economists was captured by empirical evidence suggesting that rising income levels in developing countries could be good rather than bad for the environment. This evidence drove a stake into the heart of those opposing growth on environmental grounds. Ultimately, the view that income growth by itself eventually will be good for the environment also appears to be wrong because a causal relationship between income and environmental quality cannot be demonstrated. The original empirical estimates appear fragile at best compared to estimates using more representative datasets, higher-quality data, and more appropriate econometric techniques. More plausible explanations for the observed data revolve around good government, effective regulation, and diffusion of technological change. These factors tend to be related in a diffuse manner with higher income and suggest it is likely, but not inevitable, that a society will choose to reduce pollution levels as it becomes wealthier.</t>
  </si>
  <si>
    <t>3-23</t>
  </si>
  <si>
    <t>CZ6UB3B3</t>
  </si>
  <si>
    <t>Carr, Edward R.</t>
  </si>
  <si>
    <t>Placing the environment in migration: Environment, economy, and power in Ghana's Central Region</t>
  </si>
  <si>
    <t>10.1068/a3754</t>
  </si>
  <si>
    <t>This paper examines the role of environmental change as a driver of migration, a central concern of areas of inquiry ranging from the Human Dimensions of Global Change research to population geography and development studies. Although much of the literature on the role of the environment in migration reflects a general awareness that environmental factors are but one of a suite of influences shaping migration decisionmaking, a framework within which to place social, economic, and environmental issues with regard to particular migration decisions is absent from this literature. Drawing upon recent contributions to the literature on migration, and political ecological concerns for access to and control over resources, in this paper I present a framework for placing such issues founded on a Foucauldian conceptualization of power. This framework treats environment, economy, and society as both products of and productive of social differentiation, instrumental modes of power, and resistance. These forms shape actors' understanding and negotiation of their social, economic, and environmental contexts, and therefore their migration decisionmaking. I illustrate the application of this framework through the example of three villages in Ghana's Central Region, where rural environmental and economic changes appear to have driven a complex pattern of outmigration over the past thirty-five years. This migration shows the ways in which environmental change becomes inseparable from local perceptions of economy and local politics through local manifestations of power.</t>
  </si>
  <si>
    <t>6ZI64A88</t>
  </si>
  <si>
    <t>Cason, Timothy N.; Gangadharan, Lata</t>
  </si>
  <si>
    <t>Empowering neighbors versus imposing regulations: An experimental analysis of pollution reduction schemes</t>
  </si>
  <si>
    <t>10.1016/j.jeem.2012.09.001</t>
  </si>
  <si>
    <t>This paper presents an experimental study of two mechanisms that influence incentives to reduce ambient pollution levels. In the formal mechanism individuals face a penalty if the group generates total pollution that exceeds a specified target, whereas in the informal mechanism individuals can choose to incur costs to punish each other after observing their group members' emissions. We examine the effectiveness of these mechanisms, in isolation and in combination. The results suggest that the formal targeting mechanism is significantly more effective than informal peer punishment in reducing pollution and increasing efficiency. Peer punishment however improves the performance of the formal mechanism. ?? 2012 Elsevier Inc.</t>
  </si>
  <si>
    <t>469-484</t>
  </si>
  <si>
    <t>IGA5H822</t>
  </si>
  <si>
    <t>Cashore, Benjamin; Egan, Elizabeth; Auld, Graeme; Newsom, Deanna</t>
  </si>
  <si>
    <t>Revising Theories of Nonstate Market-Driven (NSMD) Governance: Lessons from the Finnish Forest Certification Experience</t>
  </si>
  <si>
    <t>Global Environmental Politics</t>
  </si>
  <si>
    <t>1526-3800</t>
  </si>
  <si>
    <t>10.1162/glep.2007.7.1.1</t>
  </si>
  <si>
    <t>We assess the ability of Cashore, Auld, and Newsom's theoretical framework on ?Nonstate Market-Driven? (NSMD) governance to explain the emergence of and support for forest certification in Finland. In contrast to Sweden's experience, the environmental group-initiated international forest certification program, the Forest Stewardship Council (FSC), failed to gain significant support. Instead, the commercial forest sector created and adopted the Finnish Forest Certification Program, which domestic and international environmental groups ultimately rejected as inadequate. The NSMD framework must better incorporate two key findings. First, the dependence of international markets on the targeted country's forest products can shape domestic certification choices. We found that the largely non-substitutable qualities of Finnish paper products gave the domestic sector greater leeway in responding to international pressures. Second, whether the FSC is being championed primarily to influence a country's domestic forestry debates or indirectly as a lever with which to improve forest practices elsewhere appears to permeate the forest sector's overall receptiveness to the FSC.</t>
  </si>
  <si>
    <t>2007-02</t>
  </si>
  <si>
    <t>U96LAKHS</t>
  </si>
  <si>
    <t>Cerutti, Paolo Omar; Tacconi, Luca; Lescuyer, Guillaume; Nasi, Robert</t>
  </si>
  <si>
    <t>Cameroon's Hidden Harvest: Commercial Chainsaw Logging, Corruption, and Livelihoods</t>
  </si>
  <si>
    <t>10.1080/08941920.2012.714846</t>
  </si>
  <si>
    <t>MDDVXXDB</t>
  </si>
  <si>
    <t>Caldas, Marcellus; Walker, Robert; Arima, Eugenio; Perz, Stephen; Aldrich, Stephen; Simmons, Cynthia</t>
  </si>
  <si>
    <t>Theorizing land cover and land use change: The peasant economy of Amazonian deforestation</t>
  </si>
  <si>
    <t>10.1111/j.1467-8306.2007.00525.x</t>
  </si>
  <si>
    <t>2022-09-23 09:09:52</t>
  </si>
  <si>
    <t>2022-09-23T09:09:52Z</t>
  </si>
  <si>
    <t>86-110</t>
  </si>
  <si>
    <t>6ZEHLEIQ</t>
  </si>
  <si>
    <t>Cai, Wenju; Wang, Guojian; Santoso, Agus; McPhaden, Michael J.; Wu, Lixin; Jin, Fei-Fei; Timmermann, Axel; Collins, Mat; Vecchi, Gabriel; Lengaigne, Matthieu; Others</t>
  </si>
  <si>
    <t>Increased frequency of extreme La Niña events under greenhouse warming</t>
  </si>
  <si>
    <t>10.1038/nclimate2492</t>
  </si>
  <si>
    <t>2022-09-23 09:01:03</t>
  </si>
  <si>
    <t>2022-09-23T09:01:03Z</t>
  </si>
  <si>
    <t>132-137</t>
  </si>
  <si>
    <t>ALJIUABB</t>
  </si>
  <si>
    <t>Butchart, Stuart H. M.; Walpole, Matt; Collen, Ben; van Strien, Arco; Scharlemann, Jörn P. W.; Almond, Rosamunde E. A.; Baillie, Jonathan E. M.; Bomhard, Bastian; Brown, Claire; Bruno, John; Carpenter, Kent E.; Carr, Geneviève M.; Chanson, Janice; Chenery, Anna M.; Csirke, Jorge; Davidson, Nick C.; Dentener, Frank; Foster, Matt; Galli, Alessandro; Galloway, James N.; Genovesi, Piero; Gregory, Richard D.; Hockings, Marc; Kapos, Valerie; Lamarque, Jean-Francois; Leverington, Fiona; Loh, Jonathan; McGeoch, Melodie A.; McRae, Louise; Minasyan, Anahit; Morcillo, Monica Hernández; Oldfield, Thomasina E. E.; Pauly, Daniel; Quader, Suhel; Revenga, Carmen; Sauer, John R.; Skolnik, Benjamin; Spear, Dian; Stanwell-Smith, Damon; Stuart, Simon N.; Symes, Andy; Tierney, Megan; Tyrrell, Tristan D.; Vié, Jean-Christophe; Watson, Reg</t>
  </si>
  <si>
    <t>https://www.science.org/doi/10.1126/science.1187512</t>
  </si>
  <si>
    <t>Global Biodiversity Target Missed                            In 2002, the Convention on Biological Diversity (CBD) committed to a significant reduction in the rate of biodiversity loss by 2010. There has been widespread conjecture that this target has not been met.                                Butchart                 et al.                              (p.               1164               , published online 29 April) analyzed over 30 indicators developed within the CBD's framework. These indicators include the condition or state of biodiversity (e.g., species numbers, population sizes), the pressures on biodiversity (e.g., deforestation), and the responses to maintain biodiversity (e.g., protected areas) and were assessed between about 1970 and 2005. Taken together, the results confirm that we have indeed failed to meet the 2010 targets.                        ,              An analysis of 30 indicators shows that the Convention on Biological Diversity’s 2010 targets have not been met.           ,              In 2002, world leaders committed, through the Convention on Biological Diversity, to achieve a significant reduction in the rate of biodiversity loss by 2010. We compiled 31 indicators to report on progress toward this target. Most indicators of the state of biodiversity (covering species’ population trends, extinction risk, habitat extent and condition, and community composition) showed declines, with no significant recent reductions in rate, whereas indicators of pressures on biodiversity (including resource consumption, invasive alien species, nitrogen pollution, overexploitation, and climate change impacts) showed increases. Despite some local successes and increasing responses (including extent and biodiversity coverage of protected areas, sustainable forest management, policy responses to invasive alien species, and biodiversity-related aid), the rate of biodiversity loss does not appear to be slowing.</t>
  </si>
  <si>
    <t>2010-05-28</t>
  </si>
  <si>
    <t>2022-09-23 08:12:18</t>
  </si>
  <si>
    <t>2022-09-23T08:12:18Z</t>
  </si>
  <si>
    <t>1164-1168</t>
  </si>
  <si>
    <t>5982</t>
  </si>
  <si>
    <t>Global Biodiversity</t>
  </si>
  <si>
    <t>ipbes-global_chapter2.1_drivers; ipbes-global_chapter2.3_ncp; ipbes-global_chapter3; ipbes-global_chapter4; ipbes-global_chapter5</t>
  </si>
  <si>
    <t>C8SUUPNH</t>
  </si>
  <si>
    <t>Butchart, Stuart H. M.; Scharlemann, Jörn P. W.; Evans, Mike I.; Quader, Suhel; Aricò, Salvatore; Arinaitwe, Julius; Balman, Mark; Bennun, Leon A.; Bertzky, Bastian; Besançon, Charles; Boucher, Timothy M.; Brooks, Thomas M.; Burfield, Ian J.; Burgess, Neil D.; Chan, Simba; Clay, Rob P.; Crosby, Mike J.; Davidson, Nicholas C.; De Silva, Naamal; Devenish, Christian; Dutson, Guy C. L.; Fernández, David F. Día z; Fishpool, Lincoln D. C.; Fitzgerald, Claire; Foster, Matt; Heath, Melanie F.; Hockings, Marc; Hoffmann, Michael; Knox, David; Larsen, Frank W.; Lamoreux, John F.; Loucks, Colby; May, Ian; Millett, James; Molloy, Dominic; Morling, Paul; Parr, Mike; Ricketts, Taylor H.; Seddon, Nathalie; Skolnik, Benjamin; Stuart, Simon N.; Upgren, Amy; Woodley, Stephen</t>
  </si>
  <si>
    <t>Protecting Important Sites for Biodiversity Contributes to Meeting Global Conservation Targets</t>
  </si>
  <si>
    <t>10.1371/journal.pone.0032529</t>
  </si>
  <si>
    <t>https://dx.plos.org/10.1371/journal.pone.0032529</t>
  </si>
  <si>
    <t>2012-03-21</t>
  </si>
  <si>
    <t>2022-09-23 07:55:20</t>
  </si>
  <si>
    <t>2022-09-23T07:55:20Z</t>
  </si>
  <si>
    <t>2022-09-22 07:28:11</t>
  </si>
  <si>
    <t>e32529</t>
  </si>
  <si>
    <t>Bennett, Peter M.</t>
  </si>
  <si>
    <t>5MLY3ZYS</t>
  </si>
  <si>
    <t>CAFF</t>
  </si>
  <si>
    <t>Arctic Biodiversity Assessment. Status and trends in Arctic biodiversity</t>
  </si>
  <si>
    <t>http://www.abds.is/</t>
  </si>
  <si>
    <t>Foreword by the Chief Scientist Until recently, most Arctic biodiversity was relatively unaffected by negative impacts from human activities. Only over-exploitation of certain animal populations posed serious threats, such as the extermination of Steller's sea cow, the great auk, the Eskimo curlew and a number of whale populations in recent centuries, in addition to the contribution that humans may have made to the extermination of terrestrial mega-fauna in prehistoric times. Human impacts, however, have increased in modern times with increasing human populations in much of the Arctic, modern means of rapid transport, modern hunting and fishing technology, increasing exploration and exploitation of mineral resources, impacts from contaminants and, most importantly, with climate change, which is more pronounced in the Arctic than elsewhere on the globe. There is no inherited capacity in human nature to safeguard the Earth's biological assets – moral and intellectual strength are needed to achieve conservation and wise use of living resources through cultural and personal ethics and practices. Sustainability is a prerequisite for such balance, but it does not come without restraint and concerted efforts by all stakeholders, supported by mutual social pressure, legislation and law enforcement. The Arctic is changing rapidly with shorter winters, rapidly melting sea ice, retreating glaciers and expanding sub-Arctic vegetation from the south. If greenhouse gas emissions are not reduced, Arctic biodiversity will be forever changed, and much may disappear completely. On 18 May 2011, 50 prominent thinkers, among them 15 Nobel Prize winners, issued The Stockholm Memorandum, which among other things states that: Science indicates that we are transgressing planetary boundaries that have kept civilization safe for the past 10,000 years. Evidence is growing that human pressures are starting to overwhelm the Earth's buffering capacity. Humans are now the most significant driver of global change, propelling the planet into a new geological epoch, the Anthropocene. We can no longer exclude the possibility that our collective actions will trigger tipping points, risking abrupt and irreversible consequences for human communities and ecological systems. We cannot continue on our current path. The time for procrastination is over. We cannot afford the luxury of denial. We must respond rationally, equipped with scientific evidence. Among the many current and projected stressors on Arctic biodiversity addressed in this report is that of invasive species. However, if we want to do something about the many problems facing nature and biodiversity in the Arctic, we need to focus on the impacts of the most globally ‘invasive species' of all: Homo sapiens. Hans Meltofte Copenhagen, 8 February 2013</t>
  </si>
  <si>
    <t>678</t>
  </si>
  <si>
    <t>Conservation of Arctic Flora and Fauna International Secretariat</t>
  </si>
  <si>
    <t>5SFKN45Q</t>
  </si>
  <si>
    <t>Butterman, W. C.; Amey III, Earle B.</t>
  </si>
  <si>
    <t>Mineral Commodity Profiles—Gold</t>
  </si>
  <si>
    <t>RUYQ2ZFM</t>
  </si>
  <si>
    <t>Callicott, J. Baird</t>
  </si>
  <si>
    <t>In defense of the land ethic</t>
  </si>
  <si>
    <t>0-88706-899-5</t>
  </si>
  <si>
    <t>SUNY series in Philosophy and Biology</t>
  </si>
  <si>
    <t>SUNY Press</t>
  </si>
  <si>
    <t>ZSW7NIL3</t>
  </si>
  <si>
    <t>Byerlee, Derek; Deininger, Klaus</t>
  </si>
  <si>
    <t>Growing Resource Scarcity and Global Farmland Investment</t>
  </si>
  <si>
    <t>10.1146/annurev-resource-091912-151849</t>
  </si>
  <si>
    <t>https://doi.org/10.1146/annurev-resource-091912-151849</t>
  </si>
  <si>
    <t>Recent strong commodity prices have led to increased investor interest in farmland. Global analysis indicates that suitable land to bring into cultivation is available but concentrated in a limited number of land-abundant countries in Africa, Latin America, and Southeast Asia. In a much larger number of countries, productivity on currently cultivated land is significantly below potential. Higher returns to farming and relatively cheap land have contributed to a wave of investments into farming, mostly through very large ventures in land-rich countries. If land and other markets work well and a regulatory framework is in place, there are opportunities to generate considerable benefits by providing access to capital, technology, and new markets. However, investments have often been controversial because poor land governance and weak institutional capacity have made many of these ventures economically, socially, or environmentally unsustainable. Strengthening land governance and institutions and increasing public investment to raise smallholder productivity are major priorities for most countries to improve development outcomes from these investments.</t>
  </si>
  <si>
    <t>2013-06</t>
  </si>
  <si>
    <t>13-34</t>
  </si>
  <si>
    <t>VLSDSV94</t>
  </si>
  <si>
    <t>Caddy, J. F.; Cochrane, K. L.</t>
  </si>
  <si>
    <t>A review of fisheries management past and present and some future perspectives for the third millennium</t>
  </si>
  <si>
    <t>10.1016/S0964-5691(01)00074-6</t>
  </si>
  <si>
    <t>A broad-brush review is provided of key issues and events of science-based fisheries management from historical times to the present. Key trends in fisheries assessment, control and surveillance, capacity and its relevance to marine fishery ecosystems are described, particularly those issues where FAO has played a key role. The paper also considers social and institutional issues of relevance. A perspective is offered for the evolution of possible fishery management paradigms that may apply at the start of the third Millenium.</t>
  </si>
  <si>
    <t>653-682</t>
  </si>
  <si>
    <t>PSH5XU66</t>
  </si>
  <si>
    <t>Caldwell, John C.</t>
  </si>
  <si>
    <t>Demographic transition theory</t>
  </si>
  <si>
    <t>978-1-4020-4498-4</t>
  </si>
  <si>
    <t>The demographic transition is the change in the human condition from high mortality and high fertility to low mortality and low fertility. This book addresses the situation among hunters and gatherers, traditional farmers and classical civilizations, and examines the modern transition. Front Matter; The Analytical Approach; Pretransitional Population Control and Equilibrium; Was There a Neolithic Mortality Crisis?; Population Intensification Theory; On Net Intergenerational Wealth Flows: an Update; Fertility Control in The Classical World: was There an Ancient Fertility Transition?; Family Size Control by Infanticide in the Great Agrarian Societies of Asia; Transmuting the Industrial Revolution into Mortality Decline; The Delayed Western Fertility Decline: an Examination of English-Speaking Countries; Regional Paths to Fertility Transition.</t>
  </si>
  <si>
    <t>PX6A8FUU</t>
  </si>
  <si>
    <t>Albers, Heidi J.; Robinson, E. J. Z.</t>
  </si>
  <si>
    <t>A review of the spatial economics of non-timber forest product extraction: Implications for policy</t>
  </si>
  <si>
    <t>10.1016/j.ecolecon.2012.01.021</t>
  </si>
  <si>
    <t>87-95</t>
  </si>
  <si>
    <t>8SYFGYQB</t>
  </si>
  <si>
    <t>Akiyama, Tsuyoshi; Kawamura, Kensuke</t>
  </si>
  <si>
    <t>Grassland degradation in China: methods of monitoring, management and restoration</t>
  </si>
  <si>
    <t>Grassland science</t>
  </si>
  <si>
    <t>10.1111/j.1744-697X.2007.00073.x</t>
  </si>
  <si>
    <t>2022-09-23 09:12:16</t>
  </si>
  <si>
    <t>2022-09-23T09:12:16Z</t>
  </si>
  <si>
    <t>1-17</t>
  </si>
  <si>
    <t>V68YU7C2</t>
  </si>
  <si>
    <t>Aichele, Rahel; Felbermayr, Gabriel</t>
  </si>
  <si>
    <t>Kyoto and carbon leakage: An empirical analysis of the carbon content of bilateral trade</t>
  </si>
  <si>
    <t>2022-09-23 09:06:26</t>
  </si>
  <si>
    <t>2022-09-23T09:06:26Z</t>
  </si>
  <si>
    <t>104-115</t>
  </si>
  <si>
    <t>BFVESQH5</t>
  </si>
  <si>
    <t>Ajayi, Oluyede C.; Jack, B. Kelsey; Leimona, Beria</t>
  </si>
  <si>
    <t>Auction Design for the Private Provision of Public Goods in Developing Countries: Lessons from Payments for Environmental Services in Malawi and Indonesia</t>
  </si>
  <si>
    <t>WORLD DEVELOPMENT</t>
  </si>
  <si>
    <t>10.1016/j.worlddev.2011.12.007</t>
  </si>
  <si>
    <t>Payments for environmental services programs use direct incentives to improve the environmental impacts of private land use decisions. An auction offers an approach to efficiently allocating contracts among least-cost landholders, which can improve the overall cost-effectiveness of the approach. However, experiences with auctions in developing country settings are limited. We compare the results of two case studies that use auctions to allocate payments for environmental service contracts in Indonesia and Malawi. While the settings and the contracts differ, regularities in auction design allow comparisons and general lessons about the application of auctions to payments for environmental services programs. (C) 2011 Elsevier Ltd. All rights reserved.</t>
  </si>
  <si>
    <t>1213-1223</t>
  </si>
  <si>
    <t>QMR577GE</t>
  </si>
  <si>
    <t>Albers, H.J.</t>
  </si>
  <si>
    <t>Spatial modeling of extraction and enforcement in developing country protected areas</t>
  </si>
  <si>
    <t>Spatial Natural Resource and Environmental Economics</t>
  </si>
  <si>
    <t>0928-7655</t>
  </si>
  <si>
    <t>10.1016/j.reseneeco.2009.11.011</t>
  </si>
  <si>
    <t>http://www.sciencedirect.com/science/article/pii/S0928765509000724</t>
  </si>
  <si>
    <t>Budget constraints prohibit protected area managers (PAMs) in developing countries from completely deterring extraction and the resulting resource degradation. Because benefits from extraction are a function of distance, PAMs have an opportunity to patrol in a spatial pattern that minimizes degradation for a given budget level. This paper develops a spatial model of a game between a PAM and neighboring villagers to determine the optimal patterns of extraction and enforcement under various constraints. It demonstrates the importance of spatial aspects of PA management, reveals the inefficiency of many PA policies, and supports explicitly spatial management schemes such as extraction zones. The framework underpins a discussion of incomplete enforcement, rural welfare, budgetary tradeoffs between PA size and enforcement costs, and PA shape decisions with human-induced edge effects.</t>
  </si>
  <si>
    <t>2010-04-01</t>
  </si>
  <si>
    <t>165-179</t>
  </si>
  <si>
    <t>Resource and Energy Economics</t>
  </si>
  <si>
    <t>EXR47I87</t>
  </si>
  <si>
    <t>Albers, Heidi J.; Grinspoon, Elisabeth</t>
  </si>
  <si>
    <t>A comparison of the enforcement of access restrictions between Xishuangbanna Nature Reserve (China) and Khao Yai National Park (Thailand)</t>
  </si>
  <si>
    <t>10.1017/S0376892997000465</t>
  </si>
  <si>
    <t>Given limited budgets to enforce access restrictions, protected area (PA) managers and non-governmental organizations (NGOs) in developing countries employ a range of policy instruments to conserve the area's natural resources. Natural characteristics of the PA combine with the managers' enforcement activities and other policy instruments to create a set of incentives to which local people respond in making decisions about extracting resources from the PA. The different management approaches employed in the Xishuangbanna Nature Reserve (XNR; China) and the Khao Yai National Park (KYNP; Thailand) and the reaction to the incentives which they create are compared. KYNP managers use policing and punishment mechanisms, in conjunction with limited NGOsupported income-generation projects, to deter resource use. In contrast, XNR managers rely on extensive cooperation with local people and trade-offs between current resource degradation and increased rural incomes. As predicted by the economic enforcement literature, rural people respond to the threat of punishment, and its reduction of the expected benefit of an illegal activity, by reducing that activity, but may undertake socially-costly avoidance activities to avoid punishment. This literature also correctly predicts that XNR managers will concentrate less on pure enforcement than KYNP managers because, as a result of a difference in government mandates, the XNR managers consider the value of the extracted products and the non-PA productivity in their decisions while the KYNP managers do not. In both PAs, rural people's actions affect the quality of resource conservation. In KYNP, natural characteristics and the policing activities deter resource extraction and encroachment in the central core of the Park. Even NGO projects, however, have not controlled extraction, and even agricultural encroachment, in the outer third of the Park, which has caused over-extraction of some resources and has left a ring of highly-degraded land. In contrast, XNR's cooperative management approach has generated more control over the amount and the spatial configuration of resource degradation. XNR's control, however, comes at the cost of reduced area and level of current conservation.</t>
  </si>
  <si>
    <t>9DUWAFUK</t>
  </si>
  <si>
    <t>Aiken, Charles S.</t>
  </si>
  <si>
    <t>New Settlement Pattern of Rural Blacks in the American South</t>
  </si>
  <si>
    <t>Geographical Review</t>
  </si>
  <si>
    <t>0016-7428</t>
  </si>
  <si>
    <t>10.2307/214408</t>
  </si>
  <si>
    <t>Microscale redistribution has accompanied the severing of rural blacks from agriculture in the plantation regions of the American South. Since 1960 a nucleated pattern has superseded the dispersed one that developed after the Civil War. The new pattern is interpreted in context of three eras of settlement for rural blacks.</t>
  </si>
  <si>
    <t>6DMKFNN4</t>
  </si>
  <si>
    <t>Alberini, Anna; Bateman, Ian; Loomes, Graham; Scasny, Milan</t>
  </si>
  <si>
    <t>Valuation of Environment-Related Health Risks for Children</t>
  </si>
  <si>
    <t>A6PXZ5H7</t>
  </si>
  <si>
    <t>Ajzen, I.; Fishbein, M.</t>
  </si>
  <si>
    <t>Understanding attitudes and predicting social behavior</t>
  </si>
  <si>
    <t>978-0-13-936443-3</t>
  </si>
  <si>
    <t>https://books.google.com.mx/books?id=AnNqAAAAMAAJ</t>
  </si>
  <si>
    <t>Prentice-Hall</t>
  </si>
  <si>
    <t>L247QM27</t>
  </si>
  <si>
    <t>Aide, T. Mitchell; Grau, H. Ricardo</t>
  </si>
  <si>
    <t>Ecology. Globalization, migration, and Latin American ecosystems</t>
  </si>
  <si>
    <t>10.1126/science.1103179</t>
  </si>
  <si>
    <t>The article focuses on globalization, migration and ecosystems of Latin America. An increase in job opportunities in cities associated with expanding tourism and textile industries stimulated rural-urban migration and forest recovery on the abandoned lands in mountains. Conservation efforts have focused on lowland deforestation for cattle grazing and slash-and-burn agriculture, but the relative importance of these drivers of deforestation is declining. Current economic and demographic trends suggest that social and conservation policies should focus on preparing rural migrants for an urban environment and should promote ecosystem recovery in lands that are abandoned.</t>
  </si>
  <si>
    <t>QFCYSS4V</t>
  </si>
  <si>
    <t>Jalan, Jyotsna; Somanathan, E.</t>
  </si>
  <si>
    <t>Awareness and the Demand for Environmental Quality II: Experimental Evidence on the Importance of Being Informed</t>
  </si>
  <si>
    <t>JEL Codes</t>
  </si>
  <si>
    <t>2022-09-23 09:13:11</t>
  </si>
  <si>
    <t>2022-09-23T09:13:11Z</t>
  </si>
  <si>
    <t>O10</t>
  </si>
  <si>
    <t>QWVW4GLP</t>
  </si>
  <si>
    <t>Kellert, Stephen R.; Mehta, Jai N.; Ebbin, Syma A.; Lichtenfeld, Laly L.</t>
  </si>
  <si>
    <t>Community natural resource management: promise, rhetoric, and reality</t>
  </si>
  <si>
    <t>10.1080/089419200750035575</t>
  </si>
  <si>
    <t>2022-09-23 09:12:56</t>
  </si>
  <si>
    <t>2022-09-23T09:12:56Z</t>
  </si>
  <si>
    <t>705-715</t>
  </si>
  <si>
    <t>IMQM5JE9</t>
  </si>
  <si>
    <t>Jagger, P.; Kittner, N.</t>
  </si>
  <si>
    <t>Deforestation and Biomass Fuel Dynamics in Uganda</t>
  </si>
  <si>
    <t>Biomass and Bioenergy</t>
  </si>
  <si>
    <t>10.1016/j.biombioe.2017.06.005</t>
  </si>
  <si>
    <t>2022-09-23 09:12:43</t>
  </si>
  <si>
    <t>2022-09-23T09:12:43Z</t>
  </si>
  <si>
    <t>WX2TKBSY</t>
  </si>
  <si>
    <t>Kaiser-Bunbury, Christopher N.; Mougal, James; Whittington, Andrew E.; Valentin, Terence; Gabriel, Ronny; Olesen, Jens M.; Blüthgen, Nico</t>
  </si>
  <si>
    <t>Ecosystem restoration strengthens pollination network resilience and function</t>
  </si>
  <si>
    <t>10.1038/nature21071</t>
  </si>
  <si>
    <t>223</t>
  </si>
  <si>
    <t>7640</t>
  </si>
  <si>
    <t>542</t>
  </si>
  <si>
    <t>GZ2UC9HZ</t>
  </si>
  <si>
    <t>Jacquet, J.; Pauly, D.</t>
  </si>
  <si>
    <t>Funding priorities: Big barriers to small-scale fisheries</t>
  </si>
  <si>
    <t>10.1111/j.1523-1739.2008.00978.x</t>
  </si>
  <si>
    <t>2022-09-23 09:12:22</t>
  </si>
  <si>
    <t>2022-09-23T09:12:22Z</t>
  </si>
  <si>
    <t>832-835</t>
  </si>
  <si>
    <t>BKAJX96V</t>
  </si>
  <si>
    <t>Kelbessa, Workineh</t>
  </si>
  <si>
    <t>Indigenous knowledge and its contribution to biodiversity conservation</t>
  </si>
  <si>
    <t>International Social Science Journal</t>
  </si>
  <si>
    <t>10.1111/issj.12038</t>
  </si>
  <si>
    <t>2022-09-23 09:11:58</t>
  </si>
  <si>
    <t>2022-09-23T09:11:58Z</t>
  </si>
  <si>
    <t>143-152</t>
  </si>
  <si>
    <t>211-212</t>
  </si>
  <si>
    <t>EHTZSMTI</t>
  </si>
  <si>
    <t>Itaya, Jun-ichi; de Meza, David; Myles, Gareth D.</t>
  </si>
  <si>
    <t>In praise of inequality: public good provision and income distribution</t>
  </si>
  <si>
    <t>Economics Letters</t>
  </si>
  <si>
    <t>0165-1765</t>
  </si>
  <si>
    <t>10.1016/S0165-1765(97)00179-1</t>
  </si>
  <si>
    <t>\textlessp\textgreater\textlessbr/\textgreaterIt is shown that if all individuals contribute towards the provision of a public good their utilities are equalised even if the income distribution is unequal. It may seem that there is then no role for redistributive policy, but it is proved that social welfare can be raised by creating sufficient income inequality that only the rich provide public goods.\textless/p\textgreater</t>
  </si>
  <si>
    <t>I4DAFPQI</t>
  </si>
  <si>
    <t>Hollander, Marla; Martin, Sarah Levin; Vehige, Tammy</t>
  </si>
  <si>
    <t>The surveys are in! The role of local government in supporting active community design</t>
  </si>
  <si>
    <t>Journal of Public Health Management and Practice</t>
  </si>
  <si>
    <t>10.1097/01.PHH.0000316481.27017.07</t>
  </si>
  <si>
    <t>2022-09-23 09:10:51</t>
  </si>
  <si>
    <t>2022-09-23T09:10:51Z</t>
  </si>
  <si>
    <t>228-237</t>
  </si>
  <si>
    <t>VZXU4THD</t>
  </si>
  <si>
    <t>Keck, Margaret E.; Sikkink, Kathryn</t>
  </si>
  <si>
    <t>Transnational advocacy networks in the movement society</t>
  </si>
  <si>
    <t>The social movement society: Contentious politics for a new century</t>
  </si>
  <si>
    <t>2022-09-23 09:09:56</t>
  </si>
  <si>
    <t>2022-09-23T09:09:56Z</t>
  </si>
  <si>
    <t>217-238</t>
  </si>
  <si>
    <t>2H6ZUDZN</t>
  </si>
  <si>
    <t>Houdret, Annabelle</t>
  </si>
  <si>
    <t>The water connection: Irrigation, water grabbing and politics in southern Morocco</t>
  </si>
  <si>
    <t>Water and land grabbing is often an indication of growing control by an elite group over natural resources for agricultural production, marginalising their previous users. It may drive and exacerbate social, economic and political disparities and so increase the potential for conflict. In Southern Morocco's Souss valley, the overuse of water resources is causing aquifer levels to sink and agricultural land to be abandoned. At the same time, irrigated agriculture is still expanding, often permitting the growing of lucrative citrus fruits. This export-oriented agriculture mostly benefits the economic elite, increasing their political influence. Small farmers, on the other hand, face growing threats to their livelihoods. A public-private partnership (PPP) project reallocating water through a 90 km pipeline from a mountain region to plantations in the valley has been implemented to enhance water supply and save dying citrus plantations. However, it is accentuating disparities between farmers. We trace the dynamics of marginalisation linked to this PPP and use emerging water conflicts as a lens to analyse the appropriation of water resources and the underlying political and economic relationships and strategies. On the basis of the case study, we show that water conflicts are as much struggles over political influence as over the resource itself and, consequently, that the related phenomenon of 'water grabbing' is not only driven by economic interests but also determined by a political agenda of regime stability and economic control. However, we also point to the opportunities presented by recent social and political changes in Morocco, including the influence of the 'Arab Spring', and argue that such processes as increasing transparency, decentralisation and the empowerment of local civil society support, the re-appropriation of water, livelihoods and power. We conclude by examining the limits of this PPP model, which has been internationally praised by financial institutions, and calling for a careful evaluation of its ecological and social impacts before such experience is replicated elsewhere.</t>
  </si>
  <si>
    <t>2022-09-23 09:09:45</t>
  </si>
  <si>
    <t>2022-09-23T09:09:45Z</t>
  </si>
  <si>
    <t>284-303</t>
  </si>
  <si>
    <t>WUT6K8PL</t>
  </si>
  <si>
    <t>Joppa, Lucas; Pfaff, Alexander</t>
  </si>
  <si>
    <t>Reassessing the forest impacts of protection</t>
  </si>
  <si>
    <t>10.1111/j.1749-6632.2009.05162.x</t>
  </si>
  <si>
    <t>2022-09-23 09:08:16</t>
  </si>
  <si>
    <t>2022-09-23T09:08:16Z</t>
  </si>
  <si>
    <t>135-149</t>
  </si>
  <si>
    <t>1185</t>
  </si>
  <si>
    <t>R3ZL9IQJ</t>
  </si>
  <si>
    <t>Kahneman, Daniel; Tversky, Amos</t>
  </si>
  <si>
    <t>On the interpretation of intuitive probability: A reply to Jonathan Cohen</t>
  </si>
  <si>
    <t>Cognition</t>
  </si>
  <si>
    <t>10.1016/0010-0277(79)90024-6</t>
  </si>
  <si>
    <t>1979</t>
  </si>
  <si>
    <t>2022-09-23 09:07:34</t>
  </si>
  <si>
    <t>2022-09-23T09:07:34Z</t>
  </si>
  <si>
    <t>409-411</t>
  </si>
  <si>
    <t>EQEM5TMS</t>
  </si>
  <si>
    <t>Kalland, Arne</t>
  </si>
  <si>
    <t>Management by Totemization: Whale Symbolism and the Anti-Whaling Campaign</t>
  </si>
  <si>
    <t>Arctic</t>
  </si>
  <si>
    <t>00040843</t>
  </si>
  <si>
    <t>10.14430/arctic1333</t>
  </si>
  <si>
    <t>[The anti-whaling campaign has been with us for about two decades by now, and — not surprisingly — the arguments against whaling have changed during these years. The ecological argument that the whales are endangered is losing ground as it becomes clear that the stocks of some species of whales can sustain regulated harvest. Therefore, during the last few years more and more people have argued against whaling on moral and ethical grounds. Whales have come to hold a special place in the animal kingdom. Three related themes are addressed in this paper. First, the process by which whales are turned into a symbol is analyzed. By combining characteristics found in a number of different whale species, a picture of a "super-whale" has emerged. Second, it is argued that whales have such potential as symbols because 1) whales are anomalous animals difficult to categorize, 2) they live in salt water, which symbolizes the ultimate purity, 3) they have a long history, and 4) they have qualities that we would like to see in our fellow human beings. It is argued that whales are turned into totems, thus dichotomizing mankind into "good guys" (protectors of whales) and "bad guys" (whalers). Finally, it is shown that by turning whales into totems and imposing an indefinite moratorium on whaling, the resource base of many coastal communities in northern Norway has been narrowed significantly, which has serious implications for the viability of these communities. /// Les campagnes contre la chasse à la baleine existent depuis plus de 20 ans, et il n'est pas surprenant que les arguments aient changé au cours des années. L'argument écologique voulant que les baleines soient menacées est en train de perdre du terrain car il devient évident que le stock de certaines espèces peut supporter une prise réglementée. Par conséquent, au cours des dernières années, de plus en plus de gens se sont opposés à la chasse à la baleine d'un point de vue moral et éthique. Les baleines en sont venues à occuper une place privilégiée dans le règne animal. Cet article aborde trois thèmes qui sont reliés. En premier lieu, on analyse le processus par lequel les baleines sont transformées en symboles. De la combinaison des caractéristiques d'un certain nombre d'espèces différentes est ressortie l'image d'une "super-baleine". On soutient ensuite que le potentiel symbolique des baleines vient de ce qu'elles 1) sont des animaux sortant de l'ordinaire, difficiles à classer, 2) vivent dans l'eau salée, \ldots</t>
  </si>
  <si>
    <t>2022-09-23 09:06:48</t>
  </si>
  <si>
    <t>2022-09-23T09:06:48Z</t>
  </si>
  <si>
    <t>124-133</t>
  </si>
  <si>
    <t>SLNUMQSJ</t>
  </si>
  <si>
    <t>Kerr, John M.; Vardhan, Mamta; Jindal, Rohit</t>
  </si>
  <si>
    <t>Incentives, conditionality and collective action in payment for environmental services</t>
  </si>
  <si>
    <t>18750281</t>
  </si>
  <si>
    <t>10.18352/ijc.438</t>
  </si>
  <si>
    <t>As payment for environmental services (PES) initiatives spread to collectively managed natural resources, questions arise because the incentive structures that might be appropriate for individually managed resources will not necessarily promote the collective action required to manage the commons. Theory suggests challenges for cash payments to promote collective action, and for alternative payment types to facilitate conditionality. Possible ways to reconcile this disconnect involve conceiving of PES more broadly through the use of multiple forms of payment including non-cash incentives and placing greater focus on building institutions for collective action than on strict conditionality.</t>
  </si>
  <si>
    <t>2022-09-23 09:05:55</t>
  </si>
  <si>
    <t>2022-09-23T09:05:55Z</t>
  </si>
  <si>
    <t>595-616</t>
  </si>
  <si>
    <t>35R57Z6E</t>
  </si>
  <si>
    <t>Huddy, Leonie</t>
  </si>
  <si>
    <t>From social to political identity: A critical examination of social identity theory</t>
  </si>
  <si>
    <t>Political psychology</t>
  </si>
  <si>
    <t>10.1111/0162-895X.00230</t>
  </si>
  <si>
    <t>2022-09-23 09:05:19</t>
  </si>
  <si>
    <t>2022-09-23T09:05:19Z</t>
  </si>
  <si>
    <t>127-156</t>
  </si>
  <si>
    <t>E3B8J2SC</t>
  </si>
  <si>
    <t>Hoffmann, Tanja; Lyons, Natasha; Miller, Debbie; Diaz, Alejandra; Homan, Amy; Huddlestan, Stephanie; Leon, Roma</t>
  </si>
  <si>
    <t>Engineered feature used to enhance gardening at a 3800-year-old site on the Pacific Northwest Coast</t>
  </si>
  <si>
    <t>10.1126/sciadv.1601282</t>
  </si>
  <si>
    <t>2022-09-23 09:04:43</t>
  </si>
  <si>
    <t>2022-09-23T09:04:43Z</t>
  </si>
  <si>
    <t>E6GH58WW</t>
  </si>
  <si>
    <t>Jalan, Jyotsna; Ravallion, Martin</t>
  </si>
  <si>
    <t>Does piped water reduce diarrhea for children in rural India?</t>
  </si>
  <si>
    <t>Journal of econometrics</t>
  </si>
  <si>
    <t>10.1016/S0304-4076(02)00158-6</t>
  </si>
  <si>
    <t>2022-09-23 09:04:16</t>
  </si>
  <si>
    <t>2022-09-23T09:04:16Z</t>
  </si>
  <si>
    <t>153-173</t>
  </si>
  <si>
    <t>2VY39VIR</t>
  </si>
  <si>
    <t>Justus, James; Colyvan, Mark; Regan, Helen; Maguire, Lynn</t>
  </si>
  <si>
    <t>Buying into conservation: intrinsic versus instrumental value</t>
  </si>
  <si>
    <t>10.1016/j.tree.2008.11.011</t>
  </si>
  <si>
    <t>2022-09-23 09:03:18</t>
  </si>
  <si>
    <t>2022-09-23T09:03:18Z</t>
  </si>
  <si>
    <t>187-191</t>
  </si>
  <si>
    <t>9W2HMGN9</t>
  </si>
  <si>
    <t>Kagan, Robert A.</t>
  </si>
  <si>
    <t>Adversarial legalism and American government</t>
  </si>
  <si>
    <t>10.2307/3325322</t>
  </si>
  <si>
    <t>2022-09-23 09:02:49</t>
  </si>
  <si>
    <t>2022-09-23T09:02:49Z</t>
  </si>
  <si>
    <t>369-406</t>
  </si>
  <si>
    <t>8LGYPIXE</t>
  </si>
  <si>
    <t>Kahan, Dan M.; Jenkins-Smith, Hank; Braman, Donald</t>
  </si>
  <si>
    <t>Cultural cognition of scientific consensus</t>
  </si>
  <si>
    <t>Journal of Risk Research</t>
  </si>
  <si>
    <t>10.1080/13669877.2010.511246</t>
  </si>
  <si>
    <t>2022-09-23 09:01:48</t>
  </si>
  <si>
    <t>2022-09-23T09:01:48Z</t>
  </si>
  <si>
    <t>147-174</t>
  </si>
  <si>
    <t>Y7RNUR5N</t>
  </si>
  <si>
    <t>Jaffe, Adam B.; Peterson, Steven R.; Portney, Paul R.; Stavins, Robert N.</t>
  </si>
  <si>
    <t>Environmental regulation and the competitiveness of US manufacturing: what does the evidence tell us?</t>
  </si>
  <si>
    <t>Journal of Economic literature</t>
  </si>
  <si>
    <t>2022-09-23 09:01:30</t>
  </si>
  <si>
    <t>2022-09-23T09:01:30Z</t>
  </si>
  <si>
    <t>132-163</t>
  </si>
  <si>
    <t>JBBFQ795</t>
  </si>
  <si>
    <t>Ito, Koichiro; Ida, Takanori; Tanaka, Makoto</t>
  </si>
  <si>
    <t>Moral suasion and economic incentives: Field experimental evidence from energy demand</t>
  </si>
  <si>
    <t>American Economic Journal: Economic Policy</t>
  </si>
  <si>
    <t>10.1257/pol.20160093</t>
  </si>
  <si>
    <t>2022-09-23 09:00:37</t>
  </si>
  <si>
    <t>2022-09-23T09:00:37Z</t>
  </si>
  <si>
    <t>240-267</t>
  </si>
  <si>
    <t>UBZ7RCFT</t>
  </si>
  <si>
    <t>Hovik, Sissel; Reitan, Marit</t>
  </si>
  <si>
    <t>National environmental goals in search of local institutions</t>
  </si>
  <si>
    <t>Environment and Planning C: Government and Policy</t>
  </si>
  <si>
    <t>10.1068/c0302j</t>
  </si>
  <si>
    <t>2022-09-23 09:00:36</t>
  </si>
  <si>
    <t>2022-09-23T09:00:36Z</t>
  </si>
  <si>
    <t>687-699</t>
  </si>
  <si>
    <t>TBFYP6YX</t>
  </si>
  <si>
    <t>Kearney, John; Berkes, Fikret; Charles, Anthony; Pinkerton, Evelyn; Wiber, Melanie</t>
  </si>
  <si>
    <t>The role of participatory governance and community-based management in integrated coastal and ocean management in Canada</t>
  </si>
  <si>
    <t>Coastal Management</t>
  </si>
  <si>
    <t>10.1080/10.1080/08920750600970511</t>
  </si>
  <si>
    <t>79-104</t>
  </si>
  <si>
    <t>QEN2JL36</t>
  </si>
  <si>
    <t>IPCC</t>
  </si>
  <si>
    <t>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t>
  </si>
  <si>
    <t>2022-09-23 08:21:24</t>
  </si>
  <si>
    <t>2022-09-23T08:21:24Z</t>
  </si>
  <si>
    <t>World Meteorological Organization</t>
  </si>
  <si>
    <t>Geneva, Switzerland</t>
  </si>
  <si>
    <t>ipbes-global_chapter2.1_drivers; ipbes-global_chapter2.3_ncp; ipbes-global_chapter4; ipbes-global_chapter6</t>
  </si>
  <si>
    <t>Masson-Delmotte, V.; Zhai, P.; Pörtner, H.-O.; Roberts, D.; Skea, J.; Shukla, P. R.; Pirani, A.; Moufouma-Okia, W.; Péan, C.; Pidcock, R.; Connors, S.; Matthews, J. B. R.; Chen, Y.; Zhou, X.; Gomis, M. I.; Lonnoy, E.; Maycock, T.; Tignor, M.; Waterfield</t>
  </si>
  <si>
    <t>29U2G4HR</t>
  </si>
  <si>
    <t>Jambeck, Jenna R.; Geyer, Roland; Wilcox, Chris; Siegler, Theodore R.; Perryman, Miriam; Andrady, Anthony; Narayan, Ramani; Law, Kara Lavender</t>
  </si>
  <si>
    <t>http://www.sciencemag.org/cgi/doi/10.1126/science.1260352</t>
  </si>
  <si>
    <t>Dumping lots of plastics into our oceans                            Considerable progress has been made in determining the amount and location of plastic debris in our seas, but how much plastic actually enters them in the first place is more uncertain. Jambeck               et al.               combine available data on solid waste with a model that uses population density and economic status to estimate the amount of land-based plastic waste entering the ocean. Unless waste management practices are improved, the flux of plastics to the oceans could increase by an order of magnitude within the next decade.                                         Science               , this issue p.               768                        ,              Millions of tons of plastic waste end up in our oceans every year.           ,              Plastic debris in the marine environment is widely documented, but the quantity of plastic entering the ocean from waste generated on land is unknown. By linking worldwide data on solid waste, population density, and economic status, we estimated the mass of land-based plastic waste entering the ocean. We calculate that 275 million metric tons (MT) of plastic waste was generated in 192 coastal countries in 2010, with 4.8 to 12.7 million MT entering the ocean. Population size and the quality of waste management systems largely determine which countries contribute the greatest mass of uncaptured waste available to become plastic marine debris. Without waste management infrastructure improvements, the cumulative quantity of plastic waste available to enter the ocean from land is predicted to increase by an order of magnitude by 2025.</t>
  </si>
  <si>
    <t>2015-02</t>
  </si>
  <si>
    <t>2022-09-23 07:56:03</t>
  </si>
  <si>
    <t>2022-09-23T07:56:03Z</t>
  </si>
  <si>
    <t>768-771</t>
  </si>
  <si>
    <t>6223</t>
  </si>
  <si>
    <t>347</t>
  </si>
  <si>
    <t>3BJKRUYS</t>
  </si>
  <si>
    <t>Hulme, Philip E.</t>
  </si>
  <si>
    <t>Trade, transport and trouble: managing invasive species pathways in an era of globalization</t>
  </si>
  <si>
    <t>10.1111/j.1365-2664.2008.01600.x</t>
  </si>
  <si>
    <t>Humans have traded and transported alien species for millennia with two notable step-changes: the end of the Middle Ages and beginning of the Industrial Revolution. However, in recent decades the world has entered a new phase in the magnitude and diversity of biological invasions: the Era of Globalization. This Special Profile reviews the links between the main drivers of globalization and biological invasions and examines state-of-the-art approaches to pathway risk assessment to illustrate new opportunities for managing invasive species. Income growth is a primary driver of globalization and a clear association exists between Gross Domestic Product and the richness of alien floras and faunas for many regions of the world. In many cases, the exposure of these economies to trade is highlighted by the significant role of merchandise imports in biological invasions, especially for island ecosystems. Post-1950, technical and logistic improvements have accelerated the ease with which commodities are transported across the globe and hindered the traceability of goods and the ease of intercepting pests. New sea, land and air links in international trade and human transport have established novel pathways for the spread of alien species. Increasingly, the science advances underpinning invasive species management must move at the speed of commerce. Increasing transport networks and demand for commodities have led to pathway risk assessments becoming the frontline in the prevention of biological invasions. The diverse routes of introduction arising from contaminant, stowaway, corridor and unaided pathways, in both aquatic and terrestrial biomes are complex. Nevertheless, common features enable comparable approaches to risk assessment. By bringing together spatial data on climate suitability, habitat availability and points of entry, as well a demographic models that include species dispersal (both natural and human-mediated) and measures of propagule pressure, it is possible to generate risk maps highlighting potential invasion hotspots that can inform prevention strategies. Synthesis and applications. To date, most attempts to model pathways have focused on describing the likelihood of invader establishment. Few have modelled explicit management strategies such as optimal detection and inspection strategies and assessments of the effectiveness of different management measures. A future focus in these areas will ensure research informs response.</t>
  </si>
  <si>
    <t>2022-09-23 07:44:09</t>
  </si>
  <si>
    <t>2022-09-23T07:44:09Z</t>
  </si>
  <si>
    <t>10-18</t>
  </si>
  <si>
    <t>XIBID27V</t>
  </si>
  <si>
    <t>IPBES</t>
  </si>
  <si>
    <t>Preliminary guide regarding diverse conceptualization of multiple values of nature and its benefits, including biodiversity and ecosystem functions and services (deliverable 3 (d)) (IPBES-4/INF/13)</t>
  </si>
  <si>
    <t>http://www.ipbes.net/sites/default/files/downloads/IPBES-4-INF-13_EN.pdf</t>
  </si>
  <si>
    <t>IPBES Secretariat</t>
  </si>
  <si>
    <t>Bonn, Germany</t>
  </si>
  <si>
    <t>YRN3GI74</t>
  </si>
  <si>
    <t>Juffe-Bignoli, D.; Burgess, N.D.; Bingham, H.; Belle, E.M.S.; Lima, M.G.; Deguignet, M.; Bertzky, B.; Milam, A.N.; Martinez-Lopez, J.; Lewis, E.; Eassom, A.; Wicander, S.; Geldmann, J.; Soesbergen, A.; Arnell, A.P.; O'Connor, B.; Park, S.; Shi, Y.N.; Danks, F.S.; MacSharry, B.; Kingston, N.</t>
  </si>
  <si>
    <t>Protected Planet Report 2014.</t>
  </si>
  <si>
    <t>http://wdpa.s3.amazonaws.com/WPC2014/protected_planet_report.pdf</t>
  </si>
  <si>
    <t>2022-09-21 13:12:17</t>
  </si>
  <si>
    <t>2022-09-21T13:12:17Z</t>
  </si>
  <si>
    <t>UNEP­WCMC</t>
  </si>
  <si>
    <t>ISBN: 978-92-807-3416-4</t>
  </si>
  <si>
    <t>UUPD26EF</t>
  </si>
  <si>
    <t>Holland, Margaret B.; Jones, Kelly W.; Naughton-Treves, Lisa; Freire, José Luis; Morales, Manuel; Suárez, Luis</t>
  </si>
  <si>
    <t>Titling land to conserve forests: The case of Cuyabeno Reserve in Ecuador</t>
  </si>
  <si>
    <t>10.1016/j.gloenvcha.2017.02.004</t>
  </si>
  <si>
    <t>http://dx.doi.org/10.1016/j.gloenvcha.2017.02.004</t>
  </si>
  <si>
    <t>We used a mixed-methods approach to assess the impact of a ‘forest-friendly' titling program on previously untitled lands surrounding the Cuyabeno Reserve in Ecuador. Such programs are part of an increasing trend in tenure formalization intended to simultaneously strengthen tenure security, reduce deforestation, and open the door for more incentive-based conservation programs. We use quasi-experimental methods to estimate and compare the impact of titling on forest outcomes for lands that are titled with certain limitations on the ownership bundle of rights, alongside lands titled but without these restrictions. This quantitative analysis is paired with results from a series of focus group interviews with landowners to understand their experiences with the titling effort, particularly tied to the restrictions. Our results point to a statistically significant impact of titling with restrictions on reducing deforestation by 34%, whereas titling without such restrictions resulted in no significant effect. When we explore impacts according to annual deforestation rates, the results suggest that titled lands are buffered from the surges in deforestation that otherwise occurred on untitled lands and more broadly across the region. While ‘forest-friendly' restrictions had more of an effect on forest outcomes than titled lands without, the insights shared by landowners suggest important concerns about equity and unjust burdens on current households that could risk livelihood options for future generations.</t>
  </si>
  <si>
    <t>27-38</t>
  </si>
  <si>
    <t>EPEU97GX</t>
  </si>
  <si>
    <t>Hosonuma, Noriko; Herold, Martin; De Sy, Veronique; De Fries, Ruth S; Brockhaus, Maria; Verchot, Louis; Angelsen, Arild; Romijn, Erika</t>
  </si>
  <si>
    <t>https://iopscience.iop.org/article/10.1088/1748-9326/7/4/044009</t>
  </si>
  <si>
    <t>2012-12-01</t>
  </si>
  <si>
    <t>2022-09-19 21:16:31</t>
  </si>
  <si>
    <t>044009</t>
  </si>
  <si>
    <t>VZKUNVAB</t>
  </si>
  <si>
    <t>Hoornweg, Daniel; Bhada-Tata, Perinaz; Kennedy, Chris</t>
  </si>
  <si>
    <t>14764687</t>
  </si>
  <si>
    <t>It talks about how in olaces where there is good waste management people don't think that much in their waste production because it gets thrown away and it does not directly affects us. Talks abou the Natural disasters in developing countries because of plastics. Talks about as the cities develop the waste production increases. example of cities trying to reduce waste</t>
  </si>
  <si>
    <t>615-617</t>
  </si>
  <si>
    <t>7473</t>
  </si>
  <si>
    <t>502</t>
  </si>
  <si>
    <t>FXQ89FJL</t>
  </si>
  <si>
    <t>Inuit Circumpolar Council</t>
  </si>
  <si>
    <t>Alaskan Inuit Food Security Conceptual Framework: How To Assess the Arctic From an Inuit Perspective</t>
  </si>
  <si>
    <t>1-34</t>
  </si>
  <si>
    <t>Anchorage, Alaska</t>
  </si>
  <si>
    <t>87FWKCU5</t>
  </si>
  <si>
    <t>Climate Change 2013: The Physical Science Basis. Contribution of Working Group I to the Fifth Assessment Report of the Intergovernmental Panel on Climate Change</t>
  </si>
  <si>
    <t>Cambridge, United Kingdom and New York, NY, USA</t>
  </si>
  <si>
    <t>Stocker, T. F.; Qin, D.; Plattner, G.-K.; Tignor, M.; Allen, S. K.; Boschung, J.; Nauels, A.; Xia, Y.; Bex, V.; Midgley, P. M.</t>
  </si>
  <si>
    <t>Z2JJBGSH</t>
  </si>
  <si>
    <t>Climate Change 2014: Synthesis Report. Contribution of Working Groups I, II and III to the Fifth Assessment Report of the Intergovernmental Panel on Climate Change</t>
  </si>
  <si>
    <t>151</t>
  </si>
  <si>
    <t>ipbes-global_chapter2.1_drivers; ipbes-global_chapter2.2_nature; ipbes-global_chapter2.3_ncp</t>
  </si>
  <si>
    <t>Core writing team; Pachauri, R. K.; Meyer, L. A.</t>
  </si>
  <si>
    <t>AUJKDAKN</t>
  </si>
  <si>
    <t>Summary for policymakers of the regional assessment report on biodiversity and ecosystem services for Europe and Central Asia of the Intergovernmental Science-Policy Platform on Biodiversity and Ecosystem Services</t>
  </si>
  <si>
    <t>IPBES secretariat</t>
  </si>
  <si>
    <t>Fischer, M; Rounsevell, M.; Torre-Marin Rando, A.; Mader, A.; Church, A.; Elbakidze, M.; Elias, V.; Hahn, T.; Harrison, P. A.; Hauck, J.; Martín-López, B.; Ring, I.; Sandström, C.; Sousa Pinto, I.; Visconti, P.; Zimmermann, N. E.; Christie, M.</t>
  </si>
  <si>
    <t>4MRPD6V3</t>
  </si>
  <si>
    <t>Ipbes</t>
  </si>
  <si>
    <t>Summary for policymakers of the assessment report on land degradation and restoration of the Intergovernmental SciencePolicy Platform on Biodiversity and Ecosystem Services</t>
  </si>
  <si>
    <t>Scholes, R.</t>
  </si>
  <si>
    <t>Montanarella, L.; Brainich, Anastasia; Barger, N.; ten Brink, B.; Cantele, M.; Erasmus, B.; Fisher, J.; Gardner, T.; Holland, T. G.; Kohler, F.; Kotiaho, J. S.; Von Maltitz, G.; Nangendo, G.; Pandit, R.; Parrotta, J.; Potts, M. D.; Prince, S.; Sankaran, M.; Willemend, L.</t>
  </si>
  <si>
    <t>UKL87AD5</t>
  </si>
  <si>
    <t>Summary for policymakers of the regional assessment report on biodiversity and ecosystem services for Asia and the Pacific of the Intergovernmental Science-Policy Platform on Biodiversity and Ecosystem Services</t>
  </si>
  <si>
    <t>The Americas region is highly biologically and culturally diverse. It hosts 7 out of the 17 most biodiverse countries of the world and spans from pole to pole, with some of the most extensive wilderness areas on the planet and highly distinctive or irreplaceable species composition. The Americas is also a highly culturally and socioeconomically diverse region, home to 15 per cent of global languages and a human population density that ranges from 2 per 100 km2 in Greenland to over 9,000 per km2 in several urban centres. This combination of social, economic and ecological heterogeneity makes it challenging to develop general conclusions that apply uniformly across all subregions of the Americas.2</t>
  </si>
  <si>
    <t>1–36</t>
  </si>
  <si>
    <t>Karki, M.</t>
  </si>
  <si>
    <t>Sellamuttu, S. Senaratna; Okayasu, S.; Suzuki, W.; Acosta, L.; Alhafedh, Y.; Anticamara, J. A.; Ausseil, A. G.; Davies, K.; Gasparatos, A.; Gundimeda, H.; Ibrahim, F. H.; Kohsaka, R.; Kumar, R.; Managi, S.; Wu, N.; Rajvanshi, A.; Rawat, G. S.; Riordan, P.; Sharma, S.; Virk, A.; Wang, C.; Yahara, T.; Youn, Y.</t>
  </si>
  <si>
    <t>ZCF9QHQB</t>
  </si>
  <si>
    <t>Summary for policymakers of the regional assessment report on biodiversity and ecosystem services for the Americas of the Intergovernmental Science-Policy Platform on Biodiversity and Ecosystem Services</t>
  </si>
  <si>
    <t>1–31</t>
  </si>
  <si>
    <t>Rice, Jake</t>
  </si>
  <si>
    <t>Seixas, Cristiana Simão; Zaccagnini, María Elena; Bedoya-Gaitá, Mauricio; Valderrama, Natalia; Anderson, Christopher B.; Arroyo, Mary T. K.; Bustamante, Mercedes; Cavender-Bares, Jeannine; Diaz-de-Leon, Antonio; Fennessy, Siobhan; Marquez, Jaime Ricardo García; Garcia, Keisha; Schill, Steven; Farinaci, Juliana Sampaio</t>
  </si>
  <si>
    <t>KC5PM22Y</t>
  </si>
  <si>
    <t>Summary for policymakers of the regional assessment report on biodiversity and ecosystem services for Africa of the Intergovernmental Science-Policy Platform on Biodiversity and Ecosystem Services</t>
  </si>
  <si>
    <t>1-31</t>
  </si>
  <si>
    <t>Archer, E.; Dziba, L. E.; Mulongoy, K. J.; Maoela, M. A.; Walters, M.; Biggs, R.; Cormier-Salem, M. C.; DeClerck, F.; Diaw, M. C.; Dunham, L. A. E.; Failler, P.; Gordon, C.; Halmy, M. W.; Harhash, K. A.; Kasisi, R.; Kizito, F.; Mensah, A.; Morais, L. Tito de; Nyingi, W. D.; Oguge, N.; Osman-Elasha, B.; Stringer, L. C.; Assogbadjo, A.; Egoh, B. N.; Heub, K.; Pereira, L.; Sitas, N.</t>
  </si>
  <si>
    <t>6G6TFHMQ</t>
  </si>
  <si>
    <t>IMO</t>
  </si>
  <si>
    <t>Third IMO Greenhouse Gas Study 2014. Safe, secure and efficient shipping on clean oceans</t>
  </si>
  <si>
    <t>http://www.imo.org/en/OurWork/Environment/PollutionPrevention/AirPollution/Pages/Greenhouse-Gas-Studies-2014.aspx</t>
  </si>
  <si>
    <t>International Maritime Organization</t>
  </si>
  <si>
    <t>S7N2HGTB</t>
  </si>
  <si>
    <t>Kelly, Lauren</t>
  </si>
  <si>
    <t>The Global Integrated Pest Management Facility: Addressing challenges of globalization: An independent evaluation of the World Bank’s approach to global programs</t>
  </si>
  <si>
    <t>http://documents.worldbank.org/curated/en/540781468327383569/pdf/820960WP0gppp000Box379853B00PUBLIC0.pdf</t>
  </si>
  <si>
    <t>PIIJEBFE</t>
  </si>
  <si>
    <t>ILO</t>
  </si>
  <si>
    <t>Convention 169: Convention Concerning Indigenous and Tribal Peoples in Independent Countries</t>
  </si>
  <si>
    <t>https://www.ilo.org/dyn/normlex/en/f?p=NORMLEXPUB:12100:0::NO::P12100_ILO_CODE:C169</t>
  </si>
  <si>
    <t>KZXADGQ8</t>
  </si>
  <si>
    <t>Convention for the prevention of marine pollution by dumping from ships and aircraft</t>
  </si>
  <si>
    <t>R53III62</t>
  </si>
  <si>
    <t>Hoyle, D.; Levang, P.</t>
  </si>
  <si>
    <t>Oil Palm Development in Cameroon</t>
  </si>
  <si>
    <t>WWF Cameroon, IRD, CIFOR</t>
  </si>
  <si>
    <t>Yaounde, Cameroon</t>
  </si>
  <si>
    <t>NNQYHACU</t>
  </si>
  <si>
    <t>IOC</t>
  </si>
  <si>
    <t>Nile Perch Fishery Management Plan for Lake Victoria 2015-2019 (SF/ 2015/ 49)</t>
  </si>
  <si>
    <t>http://www.fao.org/inland-fisheries/topics/detail/en/c/1147088/</t>
  </si>
  <si>
    <t>Indian Ocean Commission</t>
  </si>
  <si>
    <t>Ebene, Mauritius</t>
  </si>
  <si>
    <t>STBE7A88</t>
  </si>
  <si>
    <t>Kanter, David R.; Musumba, Mark; Wood, Sylvia L. R.; Palm, Cheryl; Antle, John; Balvanera, Patricia; Dale, Virginia H.; Havlik, Petr; Kline, Keith L.; Scholes, R. J.; Thornton, Philip; Tittonell, Pablo; Andelman, Sandy</t>
  </si>
  <si>
    <t>Evaluating agricultural trade-offs in the age of sustainable development</t>
  </si>
  <si>
    <t>10.1016/j.agsy.2016.09.010</t>
  </si>
  <si>
    <t>https://linkinghub.elsevier.com/retrieve/pii/S0308521X1630542X</t>
  </si>
  <si>
    <t>A vibrant, resilient and productive agricultural sector is fundamental to achieving the Sustainable Development Goals. Bringing about such a transformation requires optimizing a range of agronomic, environmental and socioeconomic outcomes from agricultural systems – from crop yields, to biodiversity, to human nutrition. However, these outcomes are not independent of each other – they interact in both positive and negative ways, creating the potential for synergies and trade-offs. Consequently, transforming the agricultural sector for the age of sustainable development requires tracking these interactions, assessing if objectives are being achieved and allowing for adaptive management within the diverse agricultural systems that make up global agriculture. This paper reviews the field of agricultural trade-off analysis, which has emerged to better understand these interactions – from field to farm, region to continent. Taking a “cradle-to-grave” approach, we distill agricultural trade-off analysis into four steps: 1) characterizing the decision setting and identifying the context-specific indicators needed to assess agricultural sustainability, 2) selecting the methods for generating indicator values across different scales, 3) deciding on the means of evaluating and communicating the trade-off options with stakeholders and decision-makers, and 4) improving uptake of trade-off analysis outputs by decision-makers. Given the breadth of the Sustainable Development Goals and the importance of agriculture to many of them, we assess notions of human well-being beyond income or direct health concerns (e.g. related to gender, equality, nutrition), as well as diverse environmental indicators ranging from soil health to biodiversity to climate forcing. Looking forward, areas of future work include integrating the four steps into a single modeling platform and connecting tools across scales and disciplines to facilitate trade-off analysis. Likewise, enhancing the policy relevance of agricultural trade-off analysis requires improving scientist-stakeholder engagement in the research process. Only then can this field proactively address trade-off issues that are integral to sustainably intensifying local and global agriculture – a critical step toward successfully implementing the Sustainable Development Goals.</t>
  </si>
  <si>
    <t>73-88</t>
  </si>
  <si>
    <t>163</t>
  </si>
  <si>
    <t>RQ3MKTM7</t>
  </si>
  <si>
    <t>IEA</t>
  </si>
  <si>
    <t>Extended world energy balances</t>
  </si>
  <si>
    <t>L2B2P65L</t>
  </si>
  <si>
    <t>IAASTD</t>
  </si>
  <si>
    <t>Agriculture at a Crossroads: Global Report</t>
  </si>
  <si>
    <t>978-1-59726-538-6</t>
  </si>
  <si>
    <t>http://www.fao.org/fileadmin/templates/est/Investment/Agriculture_at_a_Crossroads_Global_Report_IAASTD.pdf</t>
  </si>
  <si>
    <t>ADGGZD7Q</t>
  </si>
  <si>
    <t>Karp, D. S. a b; Tallis, H. b; Sachse, R. c; Halpern, B. d e f; Thonicke, K. g h; Cramer, W. i; Mooney, H. j; Polasky, S. k; Tietjen, B. h l; Waha, K. g m; Walz, A. c g; Wolny, S. n</t>
  </si>
  <si>
    <t>National indicators for observing ecosystem service change</t>
  </si>
  <si>
    <t>10.1016/j.gloenvcha.2015.07.014</t>
  </si>
  <si>
    <t>https://www.scopus.com/inward/record.uri?eid=2-s2.0-84940055529%7B&amp;%7DpartnerID=40%7B&amp;%7Dmd5=cb15d4e0fb9c2f9854b9ebc4e4728a88</t>
  </si>
  <si>
    <t>Earth's life-support systems are in rapid decline, yet we have few metrics or indicators with which to track these changes. The world's governments are calling for biodiversity and ecosystem-service monitoring to guide and evaluate international conservation policy as well as to incorporate natural capital into their national accounts. The Group on Earth Observations Biodiversity Observation Network (GEO BON) has been tasked with setting up this monitoring system. Here we explore the immediate feasibility of creating a global ecosystem-service monitoring platform under the GEO BON framework through combining data from national statistics, global vegetation models, and production function models. We found that nine ecosystem services could be annually reported at a national scale in the short term: carbon sequestration, water supply for hydropower, and non-fisheries marine products, crop, livestock, game meat, fisheries, mariculture, and timber production. Reported changes in service delivery over time reflected ecological shocks (e.g., droughts and disease outbreaks), highlighting the immediate utility of this monitoring system. Our work also identified three opportunities for creating a more comprehensive monitoring system. First, investing in input data for ecological process models (e.g., global land-use maps) would allow many more regulating services to be monitored. Currently, only 1 of 9 services that can be reported is a regulating service. Second, household surveys and censuses could help evaluate how nature affects people and provides non-monetary benefits. Finally, to forecast the sustainability of service delivery, research efforts could focus on calculating the total remaining biophysical stocks of provisioning services. Regardless, we demonstrated that a preliminary ecosystem-service monitoring platform is immediately feasible. With sufficient international investment, the platform could evolve further into a much-needed system to track changes in our planet's life-support systems. {©} 2015 Elsevier Ltd.</t>
  </si>
  <si>
    <t>12-21</t>
  </si>
  <si>
    <t>V8XPEPIM</t>
  </si>
  <si>
    <t>Jones, Holly P.; Jones, Peter C.; Barbier, Edward B.; Blackburn, Ryan C.; Rey Benayas, Jose M.; Holl, Karen D.; McCrackin, Michelle; Meli, Paula; Montoya, Daniel; Mateos, David Moreno</t>
  </si>
  <si>
    <t>Restoration and repair of Earth's damaged ecosystems</t>
  </si>
  <si>
    <t>Proceedings of the Royal Society B: Biological Sciences</t>
  </si>
  <si>
    <t>0962-8452</t>
  </si>
  <si>
    <t>10.1098/rspb.2017.2577</t>
  </si>
  <si>
    <t>Given that few ecosystems on the Earth have been unaffected by humans, restoring them holds great promise for stemming the biodiversity crisis and ensuring ecosystem services are provided to humanity. Nonetheless, few studies have documented the recovery of ecosystems globally or the rates at which ecosystems recover. Even fewer have addressed the added benefit of actively restoring ecosystems versus allowing them to recover without human intervention following the cessation of a disturbance. Our meta-analysis of 400 studies worldwide that document recovery from large-scale disturbances, such as oil spills, agriculture and logging, suggests that though ecosystems are progressing towards recovery following disturbances, they rarely recover completely. This result reinforces conservation of intact ecosystems as a key strategy for protecting biodiversity. Recovery rates slowed down with time since the disturbance ended, suggesting that the final stages of recovery are the most challenging to achieve. Active restoration did not result in faster or more complete recovery than simply ending the disturbances ecosystems face. Our results on the added benefit of restoration must be interpreted cautiously, because few studies directly compared different restoration actions in the same location after the same disturbance. The lack of consistent value added of active restoration following disturbance suggests that passive recovery should be considered as a first option; if recovery is slow, then active restoration actions should be better tailored to overcome specific obstacles to recovery and achieve restoration goals. We call for a more strategic investment of limited restoration resources into innovative collaborative efforts between scientists, local communities and practitioners to develop restoration techniques that are ecologically, economically and socially viable.</t>
  </si>
  <si>
    <t>20172577</t>
  </si>
  <si>
    <t>1873</t>
  </si>
  <si>
    <t>285</t>
  </si>
  <si>
    <t>HLH7E5RW</t>
  </si>
  <si>
    <t>Kaczan, David; Pfaff, Alexander; Rodriguez, Luz; Shapiro-Garza, Elizabeth</t>
  </si>
  <si>
    <t>Increasing the impact of collective incentives in payments for ecosystem services</t>
  </si>
  <si>
    <t>10.1016/j.jeem.2017.06.007</t>
  </si>
  <si>
    <t>48-67</t>
  </si>
  <si>
    <t>3XILZSZ2</t>
  </si>
  <si>
    <t>The Cultures of Globalization</t>
  </si>
  <si>
    <t>Duke University Press</t>
  </si>
  <si>
    <t>Jameson, Fredric; Miyoshi, Masao</t>
  </si>
  <si>
    <t>NVDTKEWH</t>
  </si>
  <si>
    <t>ISAAA</t>
  </si>
  <si>
    <t>Global Status of Commercialized Biotech/GM Crops: 2016</t>
  </si>
  <si>
    <t>Ithaca</t>
  </si>
  <si>
    <t>MWHWX2EE</t>
  </si>
  <si>
    <t>IUCN</t>
  </si>
  <si>
    <t>Commitments | The Bonn Challenge</t>
  </si>
  <si>
    <t>H2IQ5CNN</t>
  </si>
  <si>
    <t>Indigenous peoples, protected areas and implementation of the Durban Accord</t>
  </si>
  <si>
    <t>4.048 Indigenous peoples, protected areas and implementation of the Durban Accord RECALLING previous IUCN Resolutions and Recommendations recognizing, promoting and calling for the appropriate implementation of conservation policies and practices that respect the human rights, roles, cultures and traditional knowledge of indigenous peoples in accordance with international agreements and their right to self-determination; WELCOMING the adoption by United Nations General Assembly in September 2007 of the United Nations Declaration on the Rights of Indigenous Peoples; UNDERLINING that the use of the term "indigenous peoples" is consistent with the above-mentioned Declaration; RECALLING that the Vth IUCN World Parks Congress (Durban, 2003) adopted the Durban Accord and the Durban Action Plan, which inter alia: (a) established a 'new paradigm' of protected areas according to which indigenous peoples' and local communities' rights are recognized, respected and upheld in the planning, establishment and management of protected areas; (b) called for a halt to forced resettlement and involuntary sedentarization of indigenous peoples without their free, prior and informed consent; (c) encouraged national reviews of innovative governance for protected areas; and (d) called for the establishment by 2010 of participatory mechanisms for the restitution of indigenous peoples' lands that were incorporated into protected areas without their free, prior and informed consent; ALSO RECALLING Decision VII/28 of the 7th Meeting of the Conference of Parties to the Convention on Biological Diversity (Kuala Lumpur, 2004) which required "that establishment, management and monitoring of protected areas should take place with the full and effective participation, and the full respect for the rights of, indigenous and local communities consistent with national law and applicable international obligations"; and FURTHER RECALLING that Resolution 3.055 Indigenous Peoples, Protected Areas and the CBD Programme of Work adopted by the 3rd IUCN World Conservation Congress, called: (a) for IUCN and its members to take action to promote the implementation of the Durban Accord and the Programme of Work of the CBD related to indigenous peoples; and (b) on the Director General to conduct an implementation review of Resolution 1.53 Indigenous peoples and protected areas adopted by the 1st IUCN World Conservation Congress (Montreal, 1996) and the document Indigenous and Traditional Peoples and Pr\ldots</t>
  </si>
  <si>
    <t>LSBNCC2K</t>
  </si>
  <si>
    <t>How to save the world. Strategy for world conservation</t>
  </si>
  <si>
    <t>Kogan Page Ltd.</t>
  </si>
  <si>
    <t>GPG24HFF</t>
  </si>
  <si>
    <t>IFC</t>
  </si>
  <si>
    <t>Performance Standards on Environmental and Social Sustainability</t>
  </si>
  <si>
    <t>Perfromance Standard 6 : Biodiversity Conservation and Sustainable Management of Living Natural resources biodiversity et services écosystémiques guide de bonnes pratiques....</t>
  </si>
  <si>
    <t>International Finance Corporation</t>
  </si>
  <si>
    <t>RFDP5ZHC</t>
  </si>
  <si>
    <t>Climate Change 2007: Synthesis Report. Contribution of Working Groups I, II and III to the Fourth Assessment Report of the Intergovernmental Panel on Climate Change</t>
  </si>
  <si>
    <t>Pachauri, R. K.; Reisinger</t>
  </si>
  <si>
    <t>HPNQL9LG</t>
  </si>
  <si>
    <t>Holmstrom, Katrin; Graslund, Sara; Wahlstrom, Ann; Poungshompoo, Somlak; Bengtsson, Bengt-Erik; Kautsky, Nils</t>
  </si>
  <si>
    <t>Antibiotic use in shrimp farming and implications for environmental impacts and human health</t>
  </si>
  <si>
    <t>International Journal of Food Science and Technology</t>
  </si>
  <si>
    <t>0950-5423</t>
  </si>
  <si>
    <t>10.1046/j.1365-2621.2003.00671.x</t>
  </si>
  <si>
    <t>The use of antibiotics in aquaculture may cause development of antibiotic resistance among pathogens infecting cultured animals and humans. However, this is a recent issue and has not yet been thoroughly investigated. Furthermore, there is limited knowledge about the environmental effects of antibiotic use in aquaculture. It is well known that antibiotics are commonly used in shrimp farming to prevent or treat disease outbreaks, but there is little published documentation on details of usage patterns. This study, conducted in 2000, shows that a large proportion of shrimp farmers along the Thai coast used antibiotics in their farms. Of the seventy-six farmers interviewed, 74% used antibiotics in shrimp pond management. Most farmers used them prophylactically, some on a daily basis, and at least thirteen different antibiotics were used. Many farmers were not well informed about efficient and safe application practices. A more restrictive use of antibiotics could have positive effects for the individual farmer and, simultaneously, decrease impacts on regional human medicine and adjacent coastal ecosystems. It is likely that dissemination of information could contribute to a decreased use of antibiotics, without decreasing the level of shrimp production.</t>
  </si>
  <si>
    <t>2003-03</t>
  </si>
  <si>
    <t>255-266</t>
  </si>
  <si>
    <t>9NTM9UVK</t>
  </si>
  <si>
    <t>Hostert, Patrick; Kuemmerle, Tobias; Prishchepov, Alexander; Sieber, Anika; Lambin, Eric F.; Radeloff, Volker C.</t>
  </si>
  <si>
    <t>Land use change is a principal force and inherent element of global environmental change, threatening biodiversity, natural ecosystems, and their services. However, our ability to anticipate future land use change is severely limited by a lack of understanding of how major socio-economic disturbances (e.g., wars, revolutions, policy changes, and economic crises) affect land use. Here we explored to what extent socio-economic disturbances can shift land use systems onto a different trajectory, and whether this can result in less intensive land use. Our results show that the collapse of the Soviet Union in 1991 caused a major reorganization in land use systems. The effects of this socio-economic disturbance were at least as drastic as those of the nuclear disaster in the Chernobyl region in 1986. While the magnitudes of land abandonment were similar in Ukraine and Belarus in the case of the nuclear disaster (28% and 36% of previously farmed land, respectively), the rates of land abandonment after the collapse of the Soviet Union in Ukraine were twice as high as those in Belarus. This highlights that national policies and institutions play an important role in mediating effects of socio-economic disturbances. The socio-economic disturbance that we studied caused major hardship for local populations, yet also presents opportunities for conservation, as natural ecosystems are recovering on large areas of former farmland. Our results illustrate the potential of socio-economic disturbances to revert land use intensification and the important role institutions and policies play in determining land use systems' resilience against such socio-economic disturbances.</t>
  </si>
  <si>
    <t>NSP8KW75</t>
  </si>
  <si>
    <t>Hooke, Roger Le B.; Martín-Duque, José F.; Pedraza, Javier</t>
  </si>
  <si>
    <t>Land transformation by humans: A review</t>
  </si>
  <si>
    <t>GSA Today</t>
  </si>
  <si>
    <t>10525173</t>
  </si>
  <si>
    <t>10.1130/GSAT151A.1</t>
  </si>
  <si>
    <t>In recent decades, changes that human activities have wrought in Earth's life support system have worried many people. The hu-man population has doubled in the past 40 years and is projected to increase by the same amount again in the next 40. The expan-sion of infrastructure and agriculture necessitated by this popula-tion growth has quickened the pace of land transformation and degradation. We estimate that humans have modified \textgreater50% of Earth's land surface. The current rate of land transformation, particularly of agricultural land, is unsustainable. We need a lively public discussion of the problems resulting from population pressures and the resulting land degradation.</t>
  </si>
  <si>
    <t>HI8U8JEJ</t>
  </si>
  <si>
    <t>Homans, Frances R.; Wilen, James E.</t>
  </si>
  <si>
    <t>Markets and rent dissipation in regulated open access fisheries</t>
  </si>
  <si>
    <t>10.1016/j.jeem.2003.12.008</t>
  </si>
  <si>
    <t>2005-03</t>
  </si>
  <si>
    <t>381-404</t>
  </si>
  <si>
    <t>BALHRCB5</t>
  </si>
  <si>
    <t>A Model of Regulated Open Access Resource Use</t>
  </si>
  <si>
    <t>10.1006/jeem.1996.0947</t>
  </si>
  <si>
    <t>This paper develops a model of regulated open access resource exploitation. The regulatory model assumes that regulators are goal oriented, choosing target harvest levels according to a safe stock concept. These harvest quotas are implemented by setting season lengths, conditioned on the industry fishing capacity. The industry enters until rents are dissipated, conditioned on season length regulations. Harvest levels, fishing capacity, season length, and biomass are determined jointly. Using parameter estimates from the long-regulated North Pacific Halibut fishery, predictions of these variables from the regulated open access model are compared to predictions that arise from the Gordon model.</t>
  </si>
  <si>
    <t>1-21</t>
  </si>
  <si>
    <t>Q94M4FIE</t>
  </si>
  <si>
    <t>Kelleher, Kieran; Willmann, Rolf; Arnason, Ragnar</t>
  </si>
  <si>
    <t>The Sunken Billions: The Economic Justification for Fisheries Reform</t>
  </si>
  <si>
    <t>KKZHAADH</t>
  </si>
  <si>
    <t>Katznelson, Ira</t>
  </si>
  <si>
    <t>When affirmative action was white : an untold history of racial inequality in twentieth-century America</t>
  </si>
  <si>
    <t>0-393-05213-3</t>
  </si>
  <si>
    <t>1st ed. "A work that exposes the twisted origins of affirmative action"–Provided by publisher. Doctor of laws – Welfare in black and white – Rules for work – Divisions in war – White veterans only – Johnson's ambitions, Powell's principles : thoughts on renewing affirmative action.</t>
  </si>
  <si>
    <t>238</t>
  </si>
  <si>
    <t>W.W. Norton</t>
  </si>
  <si>
    <t>L6GRZFG9</t>
  </si>
  <si>
    <t>Kathage, J.; Qaim, M.</t>
  </si>
  <si>
    <t>Economic impacts and impact dynamics of Bt (Bacillus thuringiensis) cotton in India</t>
  </si>
  <si>
    <t>10.1073/pnas.1203647109</t>
  </si>
  <si>
    <t>Despite widespread adoption of genetically modified crops in many countries, heated controversies about their advantages and disadvantages continue. Especially for developing countries, there are concerns that genetically modified crops fail to benefit smallholder farmers and contribute to social and economic hardship. Many economic studies contradict this view, but most of them look at short-term impacts only, so that uncertainty about longer-term effects prevails. We address this shortcoming by analyzing economic impacts and impact dynamics of Bt cotton in India. Building on unique panel data collected between 2002 and 2008, and controlling for nonrandom selection bias in technology adoption, we show that Bt has caused a 24% increase in cotton yield per acre through reduced pest damage and a 50% gain in cotton profit among smallholders. These benefits are stable; there are even indications that they have increased over time. We further show that Bt cotton adoption has raised consumption expenditures, a common measure of household living standard, by 18% during the 2006-2008 period. We conclude that Bt cotton has created large and sustainable benefits, which contribute to positive economic and social development in India.</t>
  </si>
  <si>
    <t>PHS5TBJ3</t>
  </si>
  <si>
    <t>Hoornweg, Daniel; Bhada-Tata, Perinaz</t>
  </si>
  <si>
    <t>What a Waste: A Global Review of Solid Waste Management</t>
  </si>
  <si>
    <t>9781599203805 (hardcover)</t>
  </si>
  <si>
    <t>As the world hurtles toward its urban future, the amount of municipal solid waste (MSW), one of the most important by-products of an urban lifestyle, is growing even faster than the rate of urbanization. Ten years ago there were 2.9 billion urban residents who generated about 0.64 kg of MSW per person per day (0.68 billion tonnes per year). This report estimates that today these amounts have increased to about 3 billion residents generating 1.2 kg per person per day (1.3 billion tonnes per year). By 2025 this will likely increase to 4.3 billion urban residents generating about 1.42 kg/capita/day of municipal solid waste (2.2 billion tonnes per year). This report provides consolidated data on MSW generation, collection, composition, and disposal by country and by region. Despite its importance, reliable global MSW information is not typically available. Data is often inconsistent, incomparable and incomplete; however as suggested in this report there is now enough MSW information to estimate global amounts and trends. The report also makes projections on MSW generation and composition for 2025 in order for decision makers to prepare plans and budgets for solid waste management in the coming years. Detailed annexes provide available MSW generation, collection, composition, and disposal data by city and by country.</t>
  </si>
  <si>
    <t>615–617</t>
  </si>
  <si>
    <t>CUVXPH84</t>
  </si>
  <si>
    <t>Huang, Ling; Smith, Martin D.</t>
  </si>
  <si>
    <t>The Dynamic Efficiency Costs of Common-Pool Resource Exploitation</t>
  </si>
  <si>
    <t>10.1257/aer.104.12.4071</t>
  </si>
  <si>
    <t>4071-4103</t>
  </si>
  <si>
    <t>2KG2VR4D</t>
  </si>
  <si>
    <t>Houghton, R. A.</t>
  </si>
  <si>
    <t>The net emissions of carbon from deforestation and degradation in the tropics, including the draining and burning of peat swamps in SE Asia, averaged ???1.4 (??0.5)PgCyr-1 over the period 1990-2010. Most (60-90%) of the emissions were from deforestation; degradation (or reductions of biomass density within forests) is more difficult to document but results from harvest of wood and the re-clearing of fallow forests within the shifting cultivation cycle. The main driver of deforestation is agriculture, whether permanent or shifting, and whether for food crops or pasture. The relative contribution of deforestation and degradation to anthropogenic carbon emissions has been declining, but reducing emissions from land, along with reduced emissions from fossil fuels, could help stabilize the CO2 concentration of the atmosphere.Received: 25-4-2012; Accepted: 8-6-2012. ?? 2012 Elsevier B.V.</t>
  </si>
  <si>
    <t>28FIH4HP</t>
  </si>
  <si>
    <t>Hunter, Lori M.; Boardman, Jason D.; Saint Onge, Jarron M.</t>
  </si>
  <si>
    <t>The Association Between Natural Amenities, Rural Population Growth, and Long-Term Residents' Economic Well-Being</t>
  </si>
  <si>
    <t>Rural sociology</t>
  </si>
  <si>
    <t>0036-0112</t>
  </si>
  <si>
    <t>10.1526/003601105775012714</t>
  </si>
  <si>
    <t>Population growth in rural areas characterized by high levels of natural amenities has recently received substantial research attention. A noted concern with amenity-driven rural population growth is its potential to raise local costs-of-living while yielding only low-wage service sector employment for long-term residents. The work presented here empirically models long-term rural residents' economic well-being, making use of longitudinal data from the Panel Study of Income Dynamics. In general, the results suggest that long-term rural families residing in high-growth amenity and recreation areas tend to have higher annual incomes than do their counterparts in non-growth amenity/recreation areas, regardless of the sex, race, or age of the family head. However, higher costs-of-living in these areas supplant any relative gains in income. As such, these analyses provide empirical evidence of patterns inferred by earlier anecdotal evidence and case studies.</t>
  </si>
  <si>
    <t>26U2Q5BW</t>
  </si>
  <si>
    <t>Hungerford, Harold R.; Volk, Trudi L.</t>
  </si>
  <si>
    <t>Changing Learner Behavior Through Environmental Education</t>
  </si>
  <si>
    <t>10.1080/00958964.1990.10753743</t>
  </si>
  <si>
    <t>1990-03</t>
  </si>
  <si>
    <t>8-21</t>
  </si>
  <si>
    <t>4DZDYULE</t>
  </si>
  <si>
    <t>Huitric, M.; Peterson, G.; Rocha, J.</t>
  </si>
  <si>
    <t>What factors build or erode resilience in the Arctic?</t>
  </si>
  <si>
    <t>96-125</t>
  </si>
  <si>
    <t>GDRD5543</t>
  </si>
  <si>
    <t>Hugo, Graeme</t>
  </si>
  <si>
    <t>Environmental Concerns and International Migration</t>
  </si>
  <si>
    <t>The International Migration Review</t>
  </si>
  <si>
    <t>01979183, 17477379</t>
  </si>
  <si>
    <t>10.2307/2547462</t>
  </si>
  <si>
    <t>[This article focuses on international migration occurring as a result of environmental changes and processes. It briefly reviews attempts to conceptualize environment-related migration and then considers the extent to which environmental factors have been and may be significant in initiating migration. Following is an examination of migration as an independent variable in the migration-environment relationship. Finally, ethical and policy dimensions are addressed.]</t>
  </si>
  <si>
    <t>105-131</t>
  </si>
  <si>
    <t>L78YY7CL</t>
  </si>
  <si>
    <t>Hunter, Lori M.; Murray, Sheena; Riosmena, Fernando</t>
  </si>
  <si>
    <t>Rainfall patterns and U.S. Migration from rural Mexico</t>
  </si>
  <si>
    <t>International Migration Review</t>
  </si>
  <si>
    <t>01979183</t>
  </si>
  <si>
    <t>10.1111/imre.12051</t>
  </si>
  <si>
    <t>In many rural regions of developing countries, natural resource dependency means changes in climate patterns hold tremendous potential to impact livelihoods. When environmentally-based livelihood options are constrained, migration can become an important adaptive strategy. Using data from the Mexican Migration Project, we model U.S. emigration from rural communities as related to community, household and climate factors. The results suggest that households subjected to very recent drought conditions are less likely to send a U.S. migrant, but in communities with drought two years prior and with strong migration histories, emigration is much more likely. In regions lacking such social networks, rainfall deficits actually reduce migration propensities, perhaps reflecting constraints in the ability to engage in migration as a coping strategy. Policy implications emphasize diversification of rural Mexican livelihoods in the face of contemporary climate change.</t>
  </si>
  <si>
    <t>5IZR497L</t>
  </si>
  <si>
    <t>Hunter, Lori M.; Luna, Jessie K.; Norton, Rachel M.</t>
  </si>
  <si>
    <t>The Environmental Dimensions of Migration</t>
  </si>
  <si>
    <t>Annual review of sociology</t>
  </si>
  <si>
    <t>0360-0572</t>
  </si>
  <si>
    <t>10.1146/annurev-soc-073014-112223</t>
  </si>
  <si>
    <t>Research on the environmental dimensions of human migration has made important strides in recent years. However, findings have been spread across multiple disciplines with wide ranging methodologies and limited theoretical development. This article reviews key findings of the field and identifies future directions for sociological research. We contend that the field has moved beyond linear environmental "push" theories towards a greater integration of context, including micro-, meso-, and macro-level interactions. We highlight findings that migration is often a household strategy to diversify risk (NELM), interacting with household composition, individual characteristics, social networks, and historical, political and economic contexts. We highlight promising developments in the field, including the recognition that migration is a long-standing form of environmental adaptation and yet only one among many forms of adaptation. Finally, we argue that sociologists could contribute significantly to migration-environment inquiry through attention to issues of inequality, perceptions, and agency vis-à-vis structure.</t>
  </si>
  <si>
    <t>377-397</t>
  </si>
  <si>
    <t>XZ5WVZAP</t>
  </si>
  <si>
    <t>Hunter, Lori M.</t>
  </si>
  <si>
    <t>Migration and environmental hazards</t>
  </si>
  <si>
    <t>0-13-753856-1</t>
  </si>
  <si>
    <t>Losses due to natural hazards (e.g., earthquakes, hurricanes) and technological hazards (e.g., nuclear waste facilities, chemical spills) are both on the rise. One response to hazard-related losses is migration, with this paper offering a review of research examining the association between migration and environmental hazards. Using examples from both developed and developing regional contexts, the overview demonstrates that the association between migration and environmental hazards varies by setting, hazard types, and household characteristics. In many cases, however, results demonstrate that environmental factors play a role in shaping migration decisions, particularly among those most vulnerable. Research also suggests that risk perception acts as a mediating factor. Classic migration theory is reviewed to offer a foundation for examination of these associations.</t>
  </si>
  <si>
    <t>NWBNP5E5</t>
  </si>
  <si>
    <t>A comparison of the environmental attitudes, concern, and behaviors of native-born and foreign-born U.S. Residents</t>
  </si>
  <si>
    <t>0199-0039</t>
  </si>
  <si>
    <t>10.1007/BF02436772</t>
  </si>
  <si>
    <t>This research offers an examination of environmental attitudes, concern, and behaviors among individuals presently living within the context producing contemporary American environmental awareness, but who originated from context socially, environmentally and economically distinct. More specifically, data from the 1993 environmental module of the General Social Survey are used to examine variations in environmental awareness across native-and foreign-born individuals, Results suggest that immigrants living in the U.S. do, indeed, express similar attitudes toward environmental issues as compared to native-born residents. However, shorter-term immigrants (those residing abroad at age 16) in particular express significantly higher level of concern with regard to environmental problems as compared to native-born residents. In addition, shorter-term immigrants are more likely to engage in "environmental friendly" behaviors as compared to native-born residents, although they appear less llikely to have signed an environmentally oriented petition.</t>
  </si>
  <si>
    <t>S9VAF79C</t>
  </si>
  <si>
    <t>Isobe, Atsuhiko; Uchida, Keiichi; Tokai, Tadashi; Iwasaki, Shinsuke</t>
  </si>
  <si>
    <t>18793363</t>
  </si>
  <si>
    <t>To investigate concentrations of pelagic micro- (\textless5mm in size) and mesoplastics (\textgreater5mm) in the East Asian seas around Japan, field surveys using two vessels were conducted concurrently in summer 2014. The total particle count (pieceskm-2) was computed based on observed concentrations (piecesm-3) of small plastic fragments (both micro- and mesoplastics) collected using neuston nets. The total particle count of microplastics within the study area was 1,720,000pieceskm-2, 16 times greater than in the North Pacific and 27 times greater than in the world oceans. The proportion of mesoplastics increased upstream of the northeastward ocean currents, such that the small plastic fragments collected in the present surveys were considered to have originated in the Yellow Sea and East China Sea southwest of the study area.</t>
  </si>
  <si>
    <t>EP6WXHJ2</t>
  </si>
  <si>
    <t>Hvenegaard, Glen T.</t>
  </si>
  <si>
    <t>Birder Specialization Differences in Conservation Involvement, Demographics, and Motivations</t>
  </si>
  <si>
    <t>10.1080/108712002753574765</t>
  </si>
  <si>
    <t>21-36</t>
  </si>
  <si>
    <t>RDPNJE84</t>
  </si>
  <si>
    <t>Hutson, Andrew M.; Biravadolu, Monica; Gereffi, Gary</t>
  </si>
  <si>
    <t>Value Chain for the US Cotton Industry</t>
  </si>
  <si>
    <t>DTWZYCDU</t>
  </si>
  <si>
    <t>Ioffe, Grigory; Nefedova, Tatyana; Kirsten, De Beurs</t>
  </si>
  <si>
    <t>Land Abandonment in Russia</t>
  </si>
  <si>
    <t>Eurasian Geography and Economics</t>
  </si>
  <si>
    <t>1538-7216</t>
  </si>
  <si>
    <t>10.2747/1539-7216.53.4.527</t>
  </si>
  <si>
    <t>Field observations in two regions of European Russia (Kostroma and Samara oblasts) in summer 2010, reinforced by satellite imagery, provide a basis for a team of U.S. and Russian geographers to investigate ongoing changes in agricultural land use since the early 1990s. The authors highlight the contrasting situations in Kostroma (northern European Russia), where agriculture is limited and in retreat beyond relatively small scale operations in suburbia, and Samara (southern European Russia), where agricultural activity appears to be sustainable, albeit on a somewhat less extensive spatial scale than in the past. The comparison suggests that the change from central planning to unregulated market has not been popular, and that crop farming in both regions has better prospects than animal husbandry</t>
  </si>
  <si>
    <t>UQ3VQJ8V</t>
  </si>
  <si>
    <t>Hunter, Lori M.; Nawrotzki, Raphael; Leyk, Stefan; Maclaurin, Galen J.; Twine, Wayne; Collinson, Mark; Erasmus, Barend</t>
  </si>
  <si>
    <t>Rural Outmigration, Natural Capital, and Livelihoods in South Africa</t>
  </si>
  <si>
    <t>15448452</t>
  </si>
  <si>
    <t>10.1002/psp.1776</t>
  </si>
  <si>
    <t>Rural households across the globe engage in both migration and natural resource use as components of livelihood strategies designed to meet household needs. Yet, migration scholars have only recently begun to regularly integrate environmental factors into empirical modelling efforts. To examine the migration-environment association in rural South Africa, we use vegetation measures derived from satellite imagery combined with detailed demographic data from over 9000 households at the Agincourt Health and Demographic Surveillance Site. Results reveal that household-level temporary migration is associated with higher levels of local natural capital, although no such association exists for permanent migration. Further, more advantaged households exhibit a stronger association between migration-environment, in-line with the ‘environmental capital' hypothesis, suggesting that natural resource availability can facilitate household income diversification. We argue that a focus on migration's environmental aspects is especially timely in the contemporary era of climate change and that natural capital availability and variability represent critical pieces of the empirical migration puzzle, especially regarding cyclical livelihood migration.</t>
  </si>
  <si>
    <t>JMUA7BTT</t>
  </si>
  <si>
    <t>Jagger, Pamela; Shively, Gerald; Arinaitwe, Arthur</t>
  </si>
  <si>
    <t>Circular migration, small-scale logging, and household livelihoods in Uganda</t>
  </si>
  <si>
    <t>10.1007/s11111-011-0155-z</t>
  </si>
  <si>
    <t>Little is known about the contribution of migrant logging to rural livelihoods in East Africa. In this paper, we analyze logging by circular migrants in land constrained and population dense southwestern Uganda. Drawing on a sample of 180 households, including both migrant and non-migrant households, we describe the demographic and socioeconomic characteristics of migrant loggers, estimate the contribution of migrant logging to household income portfolios, test several hypotheses regarding why households decide to undertake this relatively risky activity, and explore the role of social networks as a determinant of higher incomes for migrant loggers. We find that household endowments of land, labor, and capital are different for migrant logger and comparison group households. Above all, labor endowments appear to be driving decisions to participate in logging. We find support for two migration hypotheses: higher expected incomes and wages at destination; and relative deprivation at origin. We find strong evidence that migrant logging reduces income inequality in the home community. © 2011 Springer Science+Business Media, LLC.</t>
  </si>
  <si>
    <t>X7LI3DHX</t>
  </si>
  <si>
    <t>Jack, B. Kelsey; Kousky, Carolyn; Sims, Katharine R. E.</t>
  </si>
  <si>
    <t>Designing payments for ecosystem services : Lessons from previous experience with incentive-based mechanisms</t>
  </si>
  <si>
    <t>9465-9470</t>
  </si>
  <si>
    <t>RDPFBZEC</t>
  </si>
  <si>
    <t>Jayanthakumaran, Kankesu; Verma, Reetu; Liu, Ying</t>
  </si>
  <si>
    <t>CO 2 emissions, energy consumption, trade and income: A comparative analysis of China and India</t>
  </si>
  <si>
    <t>10.1016/j.enpol.2011.12.010</t>
  </si>
  <si>
    <t>In order to prevent the destabilisation of the Earth's biosphere, CO 2 emissions must be reduced quickly and significantly. The causes of CO 2 emissions by individual countries need to be apprehended in order to understand the processes required for reducing emissions around the globe. China and India are the two largest transitional countries and growing economies, but are in two entirely different categories in terms of structural changes in growth, trade and energy use. CO 2 emissions from the burning of fossil fuels have significantly increased in the recent past. This paper compares China and India using the bounds testing approach to cointegration and the ARDL methodology to test the long- and short-run relationships between growth, trade, energy use and endogenously determined structural breaks. The CO 2 emissions in China were influenced by per capita income, structural changes and energy consumption. A similar causal connection cannot be established for India with regard to structural changes and CO 2 emissions, because India's informal economy is much larger than China's. India possesses an extraordinarily large number of micro-enterprises that are low energy consumers and not competitive enough to reach international markets. Understanding these contrasting scenarios is prerequisite to reaching an international agreement on climate change affecting these two countries. © 2011 Elsevier Ltd.</t>
  </si>
  <si>
    <t>UUZ864S5</t>
  </si>
  <si>
    <t>Jagger, P.</t>
  </si>
  <si>
    <t>Forest sector reforms, livelihoods and sustainability in Western Uganda</t>
  </si>
  <si>
    <t>Governing Africa's forests in a globalized world</t>
  </si>
  <si>
    <t>978-1-84407-756-4</t>
  </si>
  <si>
    <t>Many countries around the world are engaged in decentralization processes, and most African countries face serious problems with forest governance, from benefits sharing to illegality and sustainable forest management. This book summarizes experiences to date on the extent and nature of decentralization and its outcomes - most of which suggest an underperformance of governance reforms - and explores the viability of different governance instruments in the context of weak governance and expanding commercial pressures over forests. Findings are grouped into two thematic areas: decentralization. Forest governance and decentralization in Africa: linking local, regional and global dialogues / Laura A. German [and others] – Part I. Governing Africa's forests in a globalized world, framing the dialogue. Forestry and democratic decentralization in sub-Saharan Africa: a rough review / Jesse C. Ribot – Elusive meanings: decentralization, conservation and local democracy / Mariteuw Chimère Diaw – The new economic 'grand game' in Africa and the future of governance reforms in the forestry sector / Alain Karsenty – Part II. Decentralized forest management, forms and outcomes. Forest sector reforms, livelihoods and sustainability in western Uganda / Pamela Jagger – Hidden harvest: unlocking the economic potential of community-based forest management in Tanzania / Tom Blomley [and others] – Gendered representation and participation in decentralized forest management: case studies from Cameroon and Senegal / Solange Bandiaky and Anne-Marie Tiani – Forest revenue decentralization and profits redistribution in the Democratic Republic of Congo / Sébastien Malele Mbala and Alain Karsenty – Governance of decentralized forest revenue in central Africa: for better or for worse? / Patrice Bigombé Logo – Local government and forest resource governance in Mali: taxation and decentralized management of forest resources in Siby Rural Commune / Bréhima Kassibo – Decentralization outcomes in the context of political uncertainty in Zimbabwe: a comparative assessment of co-management and CAMPFIRE and implications for policy / Everisto Mapedza – Bridging the gap between environmental decision-makers in Madagascar / Nadia Rabesahala Horning – Part III. International trade, finance and forest sector governance reform. Trends in Ghana's international timber trade: implications for local livelihoods and sustainable forest management / J. Henry Owusu – Forestry governance a\ldots</t>
  </si>
  <si>
    <t>103-125</t>
  </si>
  <si>
    <t>German, Laura; Karsenty, Alain; Tiani, Anne-Marie</t>
  </si>
  <si>
    <t>G5EA3P6Y</t>
  </si>
  <si>
    <t>Ivarsson, I.; Alvstam, Claes Göran</t>
  </si>
  <si>
    <t>Upgrading in global value-chains: a case study of technology-learning among IKEA-suppliers in China and Southeast Asia</t>
  </si>
  <si>
    <t>Journal of Economic Geography</t>
  </si>
  <si>
    <t>1468-2702</t>
  </si>
  <si>
    <t>10.1093/jeg/lbq009</t>
  </si>
  <si>
    <t>This article analyses technology upgrading in global value-chains, by using unique data from the Swedish-based home-furnishing retailer IKEA and 23 of its suppliers in China and Southeast Asia. We show how these suppliers use IKEA's technological support to improve their operational and duplicative capabilities, and, more importantly, their adaptive and innovative capabilities. Theoretically, this suggests that typologies of governance structures need to include a 'developmental' category, where buyer-driven value-chains are coordinated by powerful retailers with a global sourcing organization designed to facilitate close, local and long-term interaction, resulting in an efficient sourcing of low-cost, finished products, as well as technological upgrading among suppliers.</t>
  </si>
  <si>
    <t>2010-07</t>
  </si>
  <si>
    <t>731-752</t>
  </si>
  <si>
    <t>IVDRBA4B</t>
  </si>
  <si>
    <t>Jones, P. J. S.; Qiu, W.; De Santo, E. M.</t>
  </si>
  <si>
    <t>Governing marine protected areas: Social-ecological resilience through institutional diversity</t>
  </si>
  <si>
    <t>10.1016/j.marpol.2012.12.026</t>
  </si>
  <si>
    <t>Marine protected areas (MPAs) worldwide are facing increasing driving forces, which represent a major and increasing challenge for MPA governance. The Marine Protected Area Governance (MPAG) project examined a range of different incentives - economic, interpretative, knowledge, legal and participative - employed to address the driving forces and promote effectiveness in 20 case studies across the globe. This paper argues that, regardless of the MPA governance approach adopted (i.e., government-led, decentralised, private or community-led), resilience in MPA governance systems derives from employing a diversity of inter-connected incentives. The significance of institutional diversity to governance systems parallels that of species diversity to ecosystems, conferring resilience to the overall socio-ecological system. The paper concludes that, in the face of strong driving forces, rather than relying on particular types of incentives and institutions, it is important to recognise that the key to resilience is diversity, both of species in ecosystems and of institutions in governance systems. © 2013 Elsevier Ltd.</t>
  </si>
  <si>
    <t>BVTT2RQJ</t>
  </si>
  <si>
    <t>Jeuland, Marc; Pattanayak, Subhrendu K.; Tan Soo, Jie Sheng</t>
  </si>
  <si>
    <t>Preference Heterogeneity and Adoption of Environmental Health Improvements : Evidence from a Cookstove Promotion Experiment</t>
  </si>
  <si>
    <t>DPPHYQR6</t>
  </si>
  <si>
    <t>Jeuland, Marc; Orgill, Jennifer; Shaheed, Ameer; Revell, Geoff; Brown, Joe</t>
  </si>
  <si>
    <t>A matter of good taste : investigating preferences for in-house water treatment in peri-urban communities in Cambodia</t>
  </si>
  <si>
    <t>10.1017/S1355770X15000248</t>
  </si>
  <si>
    <t>291-317</t>
  </si>
  <si>
    <t>MFZXIB8X</t>
  </si>
  <si>
    <t>Jepson, Wendy</t>
  </si>
  <si>
    <t>Claiming Space, Claiming Water: Contested Legal Geographies of Water in South Texas</t>
  </si>
  <si>
    <t>10.1080/00045608.2011.641897</t>
  </si>
  <si>
    <t>Current scholarship on poverty in the U.S. borderlands argues that limited low-income housing and unenforced land development regulations cause poor domestic water access in south Texas's predominantly Mexican- American rural and periurban low-income communities (colonias). In this article, I argue that water politics, not only poverty or failed public policy, determined the trajectory of inadequate water access. Drawing from legislative archives, legal documents, and court records, I examine two companion legal cases (Jimenez v.Hidalgo WCID2 et al. [1971] and Fonseca v. HidalgoWCID2 et al. [1971]) that challenged the ability of farmer-controlled water control and improvement districts (WCIDs) to dominate regional water governance by excluding colonias from district territory. This territorial exclusion denied colonias residents the right to vote for WCID board candidates and, thus, denied residents the political standing to change the district's operation from irrigation to domestic water supply. Drawing on current scholarship in critical legal geography, the article details how emerging legal discourses rescripted narratives about colonias residents' access to water through debates over the political territoriality of the WCIDs. Moreover, the legal process shifted the terms of debate from voting rights to historical precedent, the market, policy failure, and prospective water rights. The final legal ruling against colonias residents foreclosed any standing they had in regional water governance and shunted them into their current position of passive consumers of dysfunctional public services with limited ability to change their relationship to regional water management institutions</t>
  </si>
  <si>
    <t>6DMTWH9A</t>
  </si>
  <si>
    <t>Jenkins, Clinton N.; Joppa, Lucas</t>
  </si>
  <si>
    <t>Expansion of the global terrestrial protected area system</t>
  </si>
  <si>
    <t>10.1016/j.biocon.2009.04.016</t>
  </si>
  <si>
    <t>Under the Convention on Biological Diversity, the world's governments set a goal of protecting 10% of all ecological regions by 2010. We evaluated progress toward that goal for the world's major terrestrial biomes, realms, and ecoregions. Total land area under any legal protection has increased from previous estimates to 12.9%, a notable achievement, although only 5.8% has strict protection for biodiversity. For biomes, protection ranges from 4% to 25%, with six of 14 biomes still below the 10% level. Geographic patterns of protection have a distinct bias, with higher rates of protection in New World realms than Old World realms. Of the world's terrestrial ecoregions, half do not meet the 2010 Target and 76% have less than 10% of their area strictly protected. Approximately 13% of ecoregions have no strict protected areas. Recent years have seen an expansion of the protected area network, with an average of 0.13% of the global land area added per year. Most of the expansion since 2003 though has been in Brazil, particularly the Amazon. Without major investments in conservation, spread across the world's ecosystems, the world will likely miss the 2010 target. ?? 2009 Elsevier Ltd. All rights reserved.</t>
  </si>
  <si>
    <t>MTY48EKT</t>
  </si>
  <si>
    <t>Kabisch, Nadja; Haase, Dagmar</t>
  </si>
  <si>
    <t>Diversifying European agglomerations: evidence of urban population trends for the 21st century</t>
  </si>
  <si>
    <t>15448444</t>
  </si>
  <si>
    <t>10.1002/psp.600</t>
  </si>
  <si>
    <t>236-253</t>
  </si>
  <si>
    <t>QMHJF73N</t>
  </si>
  <si>
    <t>Joppa, Lucas N.; Loarie, Scott R.; Pimm, Stuart L.</t>
  </si>
  <si>
    <t>On population growth near protected areas</t>
  </si>
  <si>
    <t>10.1371/journal.pone.0004279</t>
  </si>
  <si>
    <t>BACKGROUND: Protected areas are the first, and often only, line of defense in efforts to conserve biodiversity. They might be detrimental or beneficial to rural communities depending on how they alter economic opportunities and access to natural resources. As such, protected areas may attract or repel human settlement. Disproportionate increases in population growth near protected area boundaries may threaten their ability to conserve biodiversity.$\backslash$n$\backslash$nMETHODOLOGY/PRINCIPAL FINDINGS: Using decadal population datasets, we analyze population growth across 45 countries and 304 protected areas. We find no evidence for population growth near protected areas to be greater than growth of rural areas in the same country. Furthermore, we argue that what growth does occur near protected areas likely results from a general expansion of nearby population centers.$\backslash$n$\backslash$nCONCLUSIONS/SIGNIFICANCE: Our results contradict those from a recent study by Wittemyer et al., who claim overwhelming evidence for increased human population growth near protected areas. To understand the disagreement, we re-analyzed the protected areas in Wittemyer et al.'s paper. Their results are simply artifacts of mixing two incompatible datasets. Protected areas may experience unusual population pressures near their edges; indeed, individual case studies provide examples. There is no evidence, however, of a general pattern of disproportionate population growth near protected areas.</t>
  </si>
  <si>
    <t>Y6F846XZ</t>
  </si>
  <si>
    <t>Johnson, Andrew C.; Donnachie, Rachel L.; Sumpter, John P.; Jürgens, Monika D.; Moeckel, Claudia; Pereira, M. Gloria</t>
  </si>
  <si>
    <t>1372-1381</t>
  </si>
  <si>
    <t>599-600</t>
  </si>
  <si>
    <t>PLF79ALQ</t>
  </si>
  <si>
    <t>Kaplinsky, R.; Memedovic, O.; Morris, M.; Readman, J.</t>
  </si>
  <si>
    <t>The Global Wood Furniture Value Chain: What Prospects for Upgrading by Developing Countries</t>
  </si>
  <si>
    <t>87JMUEM9</t>
  </si>
  <si>
    <t>Kaplinsky, Raphael; Readman, J.</t>
  </si>
  <si>
    <t>Globalization and upgrading: what can (and cannot) be learnt from international trade statistics in the wood furniture sector?</t>
  </si>
  <si>
    <t>Industrial and Corporate Change</t>
  </si>
  <si>
    <t>0960-6491</t>
  </si>
  <si>
    <t>10.1093/icc/dth065</t>
  </si>
  <si>
    <t>2005-06</t>
  </si>
  <si>
    <t>679-703</t>
  </si>
  <si>
    <t>KRHR7SKH</t>
  </si>
  <si>
    <t>Kanemoto, K.; Moran, D.; Lenzen, M.; Geschke, A.</t>
  </si>
  <si>
    <t>Many developed countries in Annex B of the Kyoto Protocol have been able to report decreasing emissions, and some have officially fulfilled their CO2 reduction commitments. This is in part because current reporting and regulatory regimes allow these countries to displace emissions intensive production offshore. Using a new highly detailed account of emissions embodied in international trade we investigate this phenomenon of emissions leakage. We independently confirm previous findings that adjusting for trade, developed countries emissions have increased, not decreased. We find that the sectors successfully holding or lowering their domestic emissions are often the same as those increasing their imports of embodied CO2. We also find that the fastest growing flow paths of embodied CO2 largely originate outside the Kyoto Annex B signatory nations. Finally, we find that historically the same phenomenon of emissions displacement has already occurred for air pollution, with the result that despite aggressive legislation in major emitters total global air pollution emissions have increased. If regulatory policies do not account for embodied imports, global emissions are likely to rise even if developed countries emitters enforce strong national emissions targets. ?? 2013 Elsevier Ltd.</t>
  </si>
  <si>
    <t>52-59</t>
  </si>
  <si>
    <t>649PE3DT</t>
  </si>
  <si>
    <t>Kaczan, David James</t>
  </si>
  <si>
    <t>Can Roads Contribute to Forest Transitions?</t>
  </si>
  <si>
    <t>Job Market Paper</t>
  </si>
  <si>
    <t>MUEIWMJJ</t>
  </si>
  <si>
    <t>Barsimantov, James A.</t>
  </si>
  <si>
    <t>Vicious and virtuous cycles and the role of external non-government actors in community forestry in Oaxaca and Michoacán, Mexico</t>
  </si>
  <si>
    <t>10.1007/s10745-009-9289-3</t>
  </si>
  <si>
    <t>2022-09-23 09:10:13</t>
  </si>
  <si>
    <t>2022-09-23T09:10:13Z</t>
  </si>
  <si>
    <t>49-63</t>
  </si>
  <si>
    <t>M4FZSLYR</t>
  </si>
  <si>
    <t>Bartels, Larry M.</t>
  </si>
  <si>
    <t>Beyond the running tally: Partisan bias in political perceptions</t>
  </si>
  <si>
    <t>Political behavior</t>
  </si>
  <si>
    <t>10.1023/A:1021226224601</t>
  </si>
  <si>
    <t>2022-09-23 09:03:12</t>
  </si>
  <si>
    <t>2022-09-23T09:03:12Z</t>
  </si>
  <si>
    <t>117-150</t>
  </si>
  <si>
    <t>PB7WB9T9</t>
  </si>
  <si>
    <t>Bartley, Tim</t>
  </si>
  <si>
    <t>Institutional emergence in an era of globalization: The rise of transnational private regulation of labor and environmental conditions</t>
  </si>
  <si>
    <t>American journal of sociology</t>
  </si>
  <si>
    <t>10.1086/518871</t>
  </si>
  <si>
    <t>297-351</t>
  </si>
  <si>
    <t>MMU6SH9U</t>
  </si>
  <si>
    <t>Barrios, Edmundo; Valencia, Vivian; Jonsson, Mattias; Brauman, Alain; Hairiah, Kurniatun; Mortimer, Peter E.; Okubo, Satoru</t>
  </si>
  <si>
    <t>Contribution of trees to the conservation of biodiversity and ecosystem services in agricultural landscapes</t>
  </si>
  <si>
    <t>International Journal of Biodiversity Science, Ecosystem Services &amp; Management</t>
  </si>
  <si>
    <t>2151-3732, 2151-3740</t>
  </si>
  <si>
    <t>10.1080/21513732.2017.1399167</t>
  </si>
  <si>
    <t>https://www.tandfonline.com/doi/full/10.1080/21513732.2017.1399167</t>
  </si>
  <si>
    <t>2018-01-01</t>
  </si>
  <si>
    <t>2022-09-23 06:51:29</t>
  </si>
  <si>
    <t>2022-09-23T06:51:29Z</t>
  </si>
  <si>
    <t>2022-09-19 21:16:30</t>
  </si>
  <si>
    <t>1-16</t>
  </si>
  <si>
    <t>DER8UKEA</t>
  </si>
  <si>
    <t>Barrows, Geoffrey; Sexton, Steven; Zilberman, David</t>
  </si>
  <si>
    <t>Agricultural Biotechnology: The Promise and Prospects of Genetically Modified Crops</t>
  </si>
  <si>
    <t>10.1257/jep.28.1.99</t>
  </si>
  <si>
    <t>For millennia, humans have modified plant genes in order to develop crops best suited for food, fiber, feed, and energy production. Conventional plant breeding remains inherently random and slow, constrained by the availability of desirable traits in closely related plant species. In contrast, agricultural biotechnology employs the modern tools of genetic engineering to reduce uncertainty and breeding time and to transfer traits from more distantly related plants. Critics express concerns that the technology imposes negative environmental effects and jeopardizes the health of those who consume the 'frankenfoods.' Supporters emphasize potential gains from boosting output and lowering food prices for consumers. They argue that such gains are achieved contemporaneous with the adoption of farming practices that lower agrochemical use and lessen soil. The extensive experience with agricultural biotechnology since 1996 provides ample evidence with which to test the claims of supporters and opponents and to evaluate the prospects of genetic crop engineering. In this paper, we begin with an overview of the adoption of the first generation of agricultural biotechnology crops. We then look at the evidence on the effects of these crops: on output and prices, on the environment, and on consumer health. Finally, we consider intellectual property issues surrounding this new technology. [PUBLICATION ABSTRACT]</t>
  </si>
  <si>
    <t>SLEUG2T8</t>
  </si>
  <si>
    <t>Barrios, Edmundo; Trejo, M. T.</t>
  </si>
  <si>
    <t>Implications of local soil knowledge for integrated soil management in Latin America</t>
  </si>
  <si>
    <t>0016-7061</t>
  </si>
  <si>
    <t>10.1016/S0016-7061(02)00265-3</t>
  </si>
  <si>
    <t>217-231</t>
  </si>
  <si>
    <t>Y5WIZ24I</t>
  </si>
  <si>
    <t>Barrett, Scott; Stavins, Robert</t>
  </si>
  <si>
    <t>Increasing Participation and Compliance in International Climate Change Agreements</t>
  </si>
  <si>
    <t>International Environmental Agreements: Politics, Law and Economics</t>
  </si>
  <si>
    <t>1567-9764</t>
  </si>
  <si>
    <t>10.1023/B:INEA.0000005767.67689.28</t>
  </si>
  <si>
    <t>Scientific and economic consensus points to the need for a credible and cost-effective approach to address the threat of global climate change, but the Kyoto Protocol to the U.N. Framework Convention on Climate Change appears incapable of inducing significant participation and compliance. We assess the Protocol and alternative policy architectures, with particular attention to their respective abilities to induce participation and compliance. We find that those approaches that offer cost-effective mitigation are unlikely to induce significant participation and compliance, while those approaches that are likely to enjoy a reasonably high level of implementation by sovereign states are sorely lacking in terms of their anticipated cost effectiveness. The feasible set of policy architectures is thus limited to second-best alternatives.</t>
  </si>
  <si>
    <t>6MD6EVD6</t>
  </si>
  <si>
    <t>Barrett, Scott; Frankel, Jeffrey; Victor, David</t>
  </si>
  <si>
    <t>Climate treaties and "breakthrough" technologies</t>
  </si>
  <si>
    <t>10.1257/000282806777212332</t>
  </si>
  <si>
    <t>This article discusses alternative approaches and climate change treaties in the battle against global warming. The article suggests that an effective climate change treaty must promote climate change mitigation and the knowledge of new technologies that can lower mitigation costs. Research and development is needed to bring about long-term reductions in atmospheric concentrations of greenhouse gases, which will require the development and diffusion of revolutionary technologies. The article questions the Kyoto Protocol, which is the United Nations convention for climate change, and other possible methods by using mathematical equations of "X" and "Y". The "Technology Y Treaty" is a sector-specific breakthrough that is not applicable to the whole community. The "Technology X Treaty" exhibits increasing returns including electrical generation and transportation technology such as hydrogen cars.</t>
  </si>
  <si>
    <t>A8XJR4RG</t>
  </si>
  <si>
    <t>The impact of agricultural biotechnology on supply and land-use</t>
  </si>
  <si>
    <t>1355-770X</t>
  </si>
  <si>
    <t>10.1017/S1355770X14000400</t>
  </si>
  <si>
    <t>Increased demand for agricultural produce for food, fiber, feed, and energy generates a tradeoff between high prices and environmentally costly land conversion. Genetically engineered (GE) seeds can potentially increase supply without recruiting new lands to production. We develop a simple adoption model to show how first-generation GE increases yield per hectare. We identify yield increases from cross country time series variation in GE adoption share within the main GE crops- cotton, corn, and soybeans. We find that GE increased yields 34% for cotton, 32% for corn, but only 2% for soybeans. The model also predicts that GE extends the range of lands that can be farmed profitably. If the output on these lands are attributed to GE technology, then overall supply effects are larger than previously understood. Considering this extensive margin effect, the supply effect of GE increases from 10% to 16% for corn, 15% to 20% for cotton, and 2% to 39% for soybeans, generating significant downward pressure on prices. Finally, we compute $\backslash$saved" lands and greenhouse gasses as the difference between observed hectarage per crop and counterfactual hectarage needed to generate the same output without the yield boost from GE. We find that all together, GE saved 21million Ha of land from conversion to agriculture in 2010, or 0.41 Gt ofCO2emissions (using a constantCO2/land conversion factor). These averted emissions are equivalent to roughly 1/3 the annual emissions from driving in the US.</t>
  </si>
  <si>
    <t>L6YWL94W</t>
  </si>
  <si>
    <t>Barrett, Scott; Dannenberg, Astrid</t>
  </si>
  <si>
    <t>Tipping versus Cooperating to Supply a Public Good</t>
  </si>
  <si>
    <t>In some important multi-player situations, such as efforts to supply a global public good, players can choose the game they want to play. In this paper we conduct an experimental test of the decision to choose between a “tipping” game, in which every player wants to contribute to the public good provided enough other players contribute, and a prisoners' dilemma, the classic cooperation game. In the prisoners' dilemma, the first best outcome is attainable, but cannot be sustained as a Nash equilibrium. In the tipping game, only a second best outcome may be attainable, but there exists a Nash equilibrium that is strictly preferred to the one in the prisoners' dilemma. We show that groups do significantly better when they choose the tipping game, and yet many groups repeatedly choose the prisoners' dilemma, indicating a mistaken and persistent tendency to prefer a game with potentially higher payoffs to one having a strategic advantage.</t>
  </si>
  <si>
    <t>4MA2MZIV</t>
  </si>
  <si>
    <t>Dobbs, Thomas L.; Pretty, Jules</t>
  </si>
  <si>
    <t>Case study of agri-environmental payments: The United Kingdom</t>
  </si>
  <si>
    <t>10.1016/j.ecolecon.2007.07.030</t>
  </si>
  <si>
    <t>2022-09-23 09:13:01</t>
  </si>
  <si>
    <t>2022-09-23T09:13:01Z</t>
  </si>
  <si>
    <t>765-775</t>
  </si>
  <si>
    <t>CW8HZ698</t>
  </si>
  <si>
    <t>Du, Shiqiang; He, Chunyang; Huang, Qingxu; Shi, Peijun</t>
  </si>
  <si>
    <t>How did the urban land in floodplains distribute and expand in China from 1992–2015?</t>
  </si>
  <si>
    <t>10.1088/1748-9326/aaac07</t>
  </si>
  <si>
    <t>2022-09-23 09:12:06</t>
  </si>
  <si>
    <t>2022-09-23T09:12:06Z</t>
  </si>
  <si>
    <t>34018</t>
  </si>
  <si>
    <t>MHNZJZTJ</t>
  </si>
  <si>
    <t>Dorling, Daniel</t>
  </si>
  <si>
    <t>Opinion: Social inequality and environmental Justice</t>
  </si>
  <si>
    <t>Journal of the Institution of Environmental Sciences</t>
  </si>
  <si>
    <t>2022-09-23 09:11:31</t>
  </si>
  <si>
    <t>2022-09-23T09:11:31Z</t>
  </si>
  <si>
    <t>9-13</t>
  </si>
  <si>
    <t>42TM6QW9</t>
  </si>
  <si>
    <t>Eira, Inger Marie Gaup; Jaedicke, Christian; Magga, Ole Henrik; Maynard, Nancy G.; Vikhamar-Schuler, Dagrun; Mathiesen, Svein D.</t>
  </si>
  <si>
    <t>Traditional Sámi snow terminology and physical snow classification—Two ways of knowing</t>
  </si>
  <si>
    <t>Cold Regions Science and Technology</t>
  </si>
  <si>
    <t>10.1016/j.coldregions.2012.09.004</t>
  </si>
  <si>
    <t>117-130</t>
  </si>
  <si>
    <t>W78DZMEZ</t>
  </si>
  <si>
    <t>Egan, Patrick J.; Mullin, Megan</t>
  </si>
  <si>
    <t>Turning personal experience into political attitudes: The effect of local weather on Americans' perceptions about global warming</t>
  </si>
  <si>
    <t>10.1017/S0022381612000448</t>
  </si>
  <si>
    <t>2022-09-23 09:10:03</t>
  </si>
  <si>
    <t>2022-09-23T09:10:03Z</t>
  </si>
  <si>
    <t>796-809</t>
  </si>
  <si>
    <t>RITMVYUX</t>
  </si>
  <si>
    <t>Dunlap, Riley E.; Van Liere, Kent D.</t>
  </si>
  <si>
    <t>The “new environmental paradigm”</t>
  </si>
  <si>
    <t>The journal of environmental education</t>
  </si>
  <si>
    <t>10.1080/00958964.1978.10801875</t>
  </si>
  <si>
    <t>2022-09-23 09:08:51</t>
  </si>
  <si>
    <t>2022-09-23T09:08:51Z</t>
  </si>
  <si>
    <t>10-19</t>
  </si>
  <si>
    <t>YGT8HBGG</t>
  </si>
  <si>
    <t>Edwards, David P.; Sloan, Sean; Weng, Lingfei; Dirks, Paul; Sayer, Jeffrey; Laurance, William F.</t>
  </si>
  <si>
    <t>Mining and the African environment</t>
  </si>
  <si>
    <t>10.1111/conl.12076</t>
  </si>
  <si>
    <t>2022-09-23 09:07:09</t>
  </si>
  <si>
    <t>2022-09-23T09:07:09Z</t>
  </si>
  <si>
    <t>302-311</t>
  </si>
  <si>
    <t>H7L4JLHB</t>
  </si>
  <si>
    <t>Duran-Medina, Elvira; Mas, Jean-Francois; Velázquez, Alejandro</t>
  </si>
  <si>
    <t>Land use/cover change in community-based forest management regions and protected areas in Mexico</t>
  </si>
  <si>
    <t>The Community Forests of Mexico: Managing for Sustainable Landscapes. University of Texas Press, United States of America</t>
  </si>
  <si>
    <t>2022-09-23 09:06:33</t>
  </si>
  <si>
    <t>2022-09-23T09:06:33Z</t>
  </si>
  <si>
    <t>215-238</t>
  </si>
  <si>
    <t>QKV3HA4W</t>
  </si>
  <si>
    <t>Duke, Stephen O.; Powles, Stephen B.</t>
  </si>
  <si>
    <t>Glyphosate-resistant crops and weeds: Now and in the future</t>
  </si>
  <si>
    <t>AgBioForum</t>
  </si>
  <si>
    <t>1522936X</t>
  </si>
  <si>
    <t>120 million ha of transgenic crops grown annually worldwide. GR crops have been rapidly adopted in soybean, maize, cotton, canola, and sugarbeet in large part because of the economic advantage of the technology, as well as the simple and superior weed control that glyphosate delivers. Furthermore, the GR crop/glyphosate technology is generally more environmentally benign than the weed management technologies that it replaced. In the Americas, except for Canada, adoption has meant continuous and intense selection pressure with glyphosate, resulting in evolution of GR weeds and shifts to weed species that are only partially controlled by glyphosate. This development is jeopardizing the benefits of this valuable technology. New transgenic crops with resistance to other herbicide classes - in some cases coupled with glyphosate resistance - will be introduced soon. If used wisely, these tools can be integrated into resistance management and prevention strategies. Greater diversity in weed management technologies is badly needed to preserve the utility of the GR crop/glyphosate technology.</t>
  </si>
  <si>
    <t>2022-09-23 09:05:35</t>
  </si>
  <si>
    <t>2022-09-23T09:05:35Z</t>
  </si>
  <si>
    <t>D4U8AG9M</t>
  </si>
  <si>
    <t>Duke, Joshua M.; Dundas, Steven J.; Messer, Kent D.</t>
  </si>
  <si>
    <t>Cost-effective conservation planning: lessons from economics</t>
  </si>
  <si>
    <t>10.1016/j.jenvman.2013.03.048</t>
  </si>
  <si>
    <t>2022-09-23 09:04:04</t>
  </si>
  <si>
    <t>2022-09-23T09:04:04Z</t>
  </si>
  <si>
    <t>126-133</t>
  </si>
  <si>
    <t>KD9T3ZX4</t>
  </si>
  <si>
    <t>Eerkens, Jelmer W.</t>
  </si>
  <si>
    <t>Common pool resources, buffer zones, and jointly owned territories: Hunter-gatherer land and resource tenure in Fort Irwin, Southeastern California</t>
  </si>
  <si>
    <t>10.1023/A:1018777311943</t>
  </si>
  <si>
    <t>2022-09-23 09:03:39</t>
  </si>
  <si>
    <t>2022-09-23T09:03:39Z</t>
  </si>
  <si>
    <t>297-318</t>
  </si>
  <si>
    <t>U2M88G4Q</t>
  </si>
  <si>
    <t>DiGiano, Maria; Ellis, Edward; Keys, Eric</t>
  </si>
  <si>
    <t>Changing landscapes for forest commons: Linking land tenure with forest cover change following Mexico's 1992 agrarian counter-reforms</t>
  </si>
  <si>
    <t>Human ecology</t>
  </si>
  <si>
    <t>10.1007/s10745-013-9581-0</t>
  </si>
  <si>
    <t>2022-09-23 09:03:22</t>
  </si>
  <si>
    <t>2022-09-23T09:03:22Z</t>
  </si>
  <si>
    <t>707-723</t>
  </si>
  <si>
    <t>IPWBYT52</t>
  </si>
  <si>
    <t>Downs, Anthony</t>
  </si>
  <si>
    <t>An economic theory of political action in a democracy</t>
  </si>
  <si>
    <t>10.1086/257897</t>
  </si>
  <si>
    <t>1957</t>
  </si>
  <si>
    <t>2022-09-23 09:02:14</t>
  </si>
  <si>
    <t>2022-09-23T09:02:14Z</t>
  </si>
  <si>
    <t>135-150</t>
  </si>
  <si>
    <t>66FWG7M9</t>
  </si>
  <si>
    <t>Early, Regan; Bradley, Bethany A.; Dukes, Jeffrey S.; Lawler, Joshua J.; Olden, Julian D.; Blumenthal, Dana M.; Gonzalez, Patrick; Grosholz, Edwin D.; Ibañez, Ines; Miller, Luke P.; Sorte, Cascade J. B.; Tatem, Andrew J.</t>
  </si>
  <si>
    <t>2022-09-23 09:01:17</t>
  </si>
  <si>
    <t>2022-09-23T09:01:17Z</t>
  </si>
  <si>
    <t>12485</t>
  </si>
  <si>
    <t>KRUHSP4H</t>
  </si>
  <si>
    <t>Douvere, Fanny; Ehler, Charles N.</t>
  </si>
  <si>
    <t>The international perspective: Lessons from recent European experience with marine spatial planning</t>
  </si>
  <si>
    <t>Symposium on management for spatial and temporal complexity in ocean ecosystems in the 21st century at the 20th annual meeting of the Society for Conservation Biology</t>
  </si>
  <si>
    <t>2022-09-23 08:59:47</t>
  </si>
  <si>
    <t>2022-09-23T08:59:47Z</t>
  </si>
  <si>
    <t>TDIQEXGC</t>
  </si>
  <si>
    <t>Doyle, Timothy; Simpson, Adam</t>
  </si>
  <si>
    <t>Traversing more than speed bumps: Green politics under authoritarian regimes in Burma and Iran</t>
  </si>
  <si>
    <t>10.1080/09644010600937199</t>
  </si>
  <si>
    <t>2022-09-23 08:59:36</t>
  </si>
  <si>
    <t>2022-09-23T08:59:36Z</t>
  </si>
  <si>
    <t>750-767</t>
  </si>
  <si>
    <t>F9N3MPRE</t>
  </si>
  <si>
    <t>Ehler, C.; Douvere, F.</t>
  </si>
  <si>
    <t>Marine Spatial Planning: a step-by-step approach toward ecosystem-based management</t>
  </si>
  <si>
    <t>https://unesdoc.unesco.org/ark:/48223/pf0000186559</t>
  </si>
  <si>
    <t>2022-09-23 08:16:07</t>
  </si>
  <si>
    <t>2022-09-23T08:16:07Z</t>
  </si>
  <si>
    <t>99-pp.</t>
  </si>
  <si>
    <t>Intergovernmental Oceanographic Commission and Man and the Biosphere Programme</t>
  </si>
  <si>
    <t>ipbes-global_chapter2.1_drivers; ipbes-global_chapter2.2_nature; ipbes-global_chapter6</t>
  </si>
  <si>
    <t>GW35PTBQ</t>
  </si>
  <si>
    <t>Ebeling, Johannes; Yasué, Maï</t>
  </si>
  <si>
    <t>The effectiveness of market-based conservation in the tropics: Forest certification in Ecuador and Bolivia</t>
  </si>
  <si>
    <t>10.1016/j.jenvman.2008.05.003</t>
  </si>
  <si>
    <t>https://linkinghub.elsevier.com/retrieve/pii/S0301479708001424</t>
  </si>
  <si>
    <t>2022-09-23 07:50:08</t>
  </si>
  <si>
    <t>2022-09-23T07:50:08Z</t>
  </si>
  <si>
    <t>2022-09-22 07:27:07</t>
  </si>
  <si>
    <t>1145-1153</t>
  </si>
  <si>
    <t>The effectiveness of market-based conservation in the tropics</t>
  </si>
  <si>
    <t>N947XSF6</t>
  </si>
  <si>
    <t>Egoh, Benis N.; Paracchini, Maria L.; Zulian, Grazia; Schägner, Jan Philipp; Bidoglio, Giovanni</t>
  </si>
  <si>
    <t>Exploring restoration options for habitats, species and ecosystem services in the European Union</t>
  </si>
  <si>
    <t>10.1111/1365-2664.12251</t>
  </si>
  <si>
    <t>https://onlinelibrary.wiley.com/doi/10.1111/1365-2664.12251</t>
  </si>
  <si>
    <t>2022-09-23 07:41:48</t>
  </si>
  <si>
    <t>2022-09-23T07:41:48Z</t>
  </si>
  <si>
    <t>2022-09-19 21:16:34</t>
  </si>
  <si>
    <t>899-908</t>
  </si>
  <si>
    <t>J Appl Ecol</t>
  </si>
  <si>
    <t>Jones, Julia</t>
  </si>
  <si>
    <t>4SDXU7I2</t>
  </si>
  <si>
    <t>Dixon, M.J.R.; Loh, J.; Davidson, N.C.; Beltrame, C.; Freeman, R.; Walpole, M.</t>
  </si>
  <si>
    <t>https://linkinghub.elsevier.com/retrieve/pii/S0006320715301476</t>
  </si>
  <si>
    <t>2016-01</t>
  </si>
  <si>
    <t>2022-09-23 07:41:08</t>
  </si>
  <si>
    <t>2022-09-23T07:41:08Z</t>
  </si>
  <si>
    <t>27-35</t>
  </si>
  <si>
    <t>Tracking global change in ecosystem area</t>
  </si>
  <si>
    <t>QFBQACBG</t>
  </si>
  <si>
    <t>Dietz, Thomas; Ostrom, Elinor; Stern, Paul C.</t>
  </si>
  <si>
    <t>The Struggle to Govern the Commons</t>
  </si>
  <si>
    <t>10.1126/science.1091015</t>
  </si>
  <si>
    <t>https://www.science.org/doi/10.1126/science.1091015</t>
  </si>
  <si>
    <t>Human institutions—ways of organizing activities—affect the resilience of the environment. Locally evolved institutional arrangements governed by stable communities and buffered from outside forces have sustained resources successfully for centuries, although they often fail when rapid change occurs. Ideal conditions for governance are increasingly rare. Critical problems, such as transboundary pollution, tropical deforestation, and climate change, are at larger scales and involve nonlocal influences. Promising strategies for addressing these problems include dialogue among interested parties, officials, and scientists; complex, redundant, and layered institutions; a mix of institutional types; and designs that facilitate experimentation, learning, and change.</t>
  </si>
  <si>
    <t>2003-12-12</t>
  </si>
  <si>
    <t>2022-09-23 07:40:21</t>
  </si>
  <si>
    <t>2022-09-23T07:40:21Z</t>
  </si>
  <si>
    <t>2022-09-22 07:28:01</t>
  </si>
  <si>
    <t>1907-1912</t>
  </si>
  <si>
    <t>9QLQ6KRL</t>
  </si>
  <si>
    <t>Eden, Sally</t>
  </si>
  <si>
    <t>The work of environmental governance networks: Traceability, credibility and certification by the Forest Stewardship Council</t>
  </si>
  <si>
    <t>10.1016/j.geoforum.2008.01.001</t>
  </si>
  <si>
    <t>https://linkinghub.elsevier.com/retrieve/pii/S0016718508000031</t>
  </si>
  <si>
    <t>2022-09-23 07:21:29</t>
  </si>
  <si>
    <t>2022-09-23T07:21:29Z</t>
  </si>
  <si>
    <t>2022-09-22 07:27:03</t>
  </si>
  <si>
    <t>383-394</t>
  </si>
  <si>
    <t>The work of environmental governance networks</t>
  </si>
  <si>
    <t>7FI9CMAX</t>
  </si>
  <si>
    <t>Díaz, Sandra; Demissew, Sebsebe; Joly, Carlos; Lonsdale, W. Mark; Larigauderie, Anne</t>
  </si>
  <si>
    <t>A Rosetta Stone for Nature's Benefits to People</t>
  </si>
  <si>
    <t>10.1371/journal.pbio.1002040</t>
  </si>
  <si>
    <t>http://dx.plos.org/10.1371/journal.pbio.1002040</t>
  </si>
  <si>
    <t>e1002040</t>
  </si>
  <si>
    <t>RECV6EB7</t>
  </si>
  <si>
    <t>Ehara, Makoto; Hyakumura, Kimihiko; Sato, Ren'ya; Kurosawa, Kiyoshi; Araya, Kunio; Sokh, Heng; Kohsaka, Ryo</t>
  </si>
  <si>
    <t>Addressing Maladaptive Coping Strategies of Local Communities to Changes in Ecosystem Service Provisions Using the DPSIR Framework</t>
  </si>
  <si>
    <t>10.1016/j.ecolecon.2018.03.008</t>
  </si>
  <si>
    <t>https://linkinghub.elsevier.com/retrieve/pii/S0921800916306887</t>
  </si>
  <si>
    <t>2022-09-19 21:15:13</t>
  </si>
  <si>
    <t>C23RL5NL</t>
  </si>
  <si>
    <t>Ellen MacArthur Foundation</t>
  </si>
  <si>
    <t>Towards the circular economy. Opportunities for the consumer goods sector</t>
  </si>
  <si>
    <t>Isle of Wight, UK</t>
  </si>
  <si>
    <t>MNMQRH37</t>
  </si>
  <si>
    <t>EIB</t>
  </si>
  <si>
    <t>EIB Environmental and Social Handbook</t>
  </si>
  <si>
    <t>978-92-861-2046-6</t>
  </si>
  <si>
    <t>The promotion of sustainable development – in particular the preservation of environmental and social capital that exists today for future generations – underpins the EIB's lending strategy and objectives. The EIB Statement on Environmental and Social Principles and Standards sets the policy context for the protection of the environment and human well-being. An EIB Environmental and Social Handbook provides an operational translation of those standards grouped across 10 thematic areas. In order to achieve sustainability objectives, the EIB relies to a large extent on activities undertaken by our clients – the borrowers and project promoters. The following brief overview of the standards outlines the promoters' responsibilities in their application to EIB projects.</t>
  </si>
  <si>
    <t>European Investment Bank</t>
  </si>
  <si>
    <t>Luxembourg</t>
  </si>
  <si>
    <t>CG2GLPW7</t>
  </si>
  <si>
    <t>EEA</t>
  </si>
  <si>
    <t>Air quality in Europe — 2014 Report</t>
  </si>
  <si>
    <t>https://www.eea.europa.eu/publications/air-quality-in-europe-2014</t>
  </si>
  <si>
    <t>European Environment Agency</t>
  </si>
  <si>
    <t>RSJAQGU7</t>
  </si>
  <si>
    <t>Driscoll, Charles T.; Lawrence, Gregory B.; Bulger, Arther J.; Butler, Thomas J.; Cronan, Christopher S.; Eagar, Christopher; Lambert, Kathleen F.; Likens, Gene E.; Stoddard, John L.; Weathers, Kathleen C.</t>
  </si>
  <si>
    <t>Acidic Deposition in the Northeastern United States: Sources and Inputs, Ecosystem Effects, and Management Strategies: The effects of acidic deposition in the northeastern United States include the acidification of soil and water, which stresses terrestrial and aquatic biota</t>
  </si>
  <si>
    <t>10.1641/0006-3568(2001)051[0180:aditnu]2.0.co;2</t>
  </si>
  <si>
    <t>The effects of acidic deposition in the Northeastern United States include the acidification of soil and water, which stresses terrestrial and aquatic biota.</t>
  </si>
  <si>
    <t>180-198</t>
  </si>
  <si>
    <t>BAK9924G</t>
  </si>
  <si>
    <t>Downey, Liam; Bonds, Eric; Clark, Katherine</t>
  </si>
  <si>
    <t>Natural Resource Extraction, Armed Violence, and Environmental Degradation</t>
  </si>
  <si>
    <t>Organization &amp; Environment</t>
  </si>
  <si>
    <t>1086-0266</t>
  </si>
  <si>
    <t>10.1177/1086026610385903</t>
  </si>
  <si>
    <t>https://doi.org/10.1177/1086026610385903</t>
  </si>
  <si>
    <t>The goal of this article is to demonstrate that environmental sociologists cannot fully explain the relationship between humans and the natural world without theorizing a link between natural resource extraction, armed violence, and environmental degradation. The authors begin by arguing that armed violence is one of several overlapping mechanisms that provide powerful actors with the means to (a) prevail over others in conflicts over natural resources and (b) ensure that natural resources critical to industrial production and state power continue to be extracted and sold in sufficient quantities to promote capital accumulation, state power, and ecological unequal exchange. The authors then identify 10 minerals that are critical to the functioning of the U.S. economy and/or military and demonstrate that the extraction of these minerals often involves the use of armed violence. They further demonstrate that armed violence is associated with the activities of the world?s three largest mining companies, with African mines that receive World Bank funding, and with petroleum and rainforest timber extraction. The authors conclude that the natural resource base on which industrial societies stand is constructed in large part through the use and threatened use of armed violence. As a result, armed violence plays a critical role in fostering environmental degradation and ecological unequal exchange.</t>
  </si>
  <si>
    <t>2010-11-24</t>
  </si>
  <si>
    <t>417-445</t>
  </si>
  <si>
    <t>LQT4IQ37</t>
  </si>
  <si>
    <t>Doyle, Cathal; Wicks, Clive; Nally, Frank</t>
  </si>
  <si>
    <t>Mining in the Philippines: Concerns and Conflicts. Report of a Fact-finding Trip to the Philippines, July-August 2006</t>
  </si>
  <si>
    <t>978-1-902648-92-7</t>
  </si>
  <si>
    <t>Acknowledgments The Fact Finding Mission wishes to thank all those who took time to meet with us. The right to enjoy human rights and development is universal. We wish to encourage any and all communities and local authorities adversely affected by mining impacts to continue to explore and pursue all avenues available within the law at local, national and international levels to register their concerns and aspirations and seek redress for wrongs. We offer our continued support to all parties in future efforts to realize a national path to sustainable development based on justice. Disclaimer The views expressed in this report are those of the authors and not necessarily those of the participating or supporting organizations. The authors have however done their best to reflect the views, of the many people they met in the Philippines and the views of the people and organizations who have commented on the report.</t>
  </si>
  <si>
    <t>Society of St. Columban</t>
  </si>
  <si>
    <t>West Midlands</t>
  </si>
  <si>
    <t>PR6ZCIS3</t>
  </si>
  <si>
    <t>Dudley, N.</t>
  </si>
  <si>
    <t>Guidelines for applying protected area management categories</t>
  </si>
  <si>
    <t>978-2-8317-1086-0</t>
  </si>
  <si>
    <t>Fear is thought to facilitate the detection of threatening stimuli. Few studies have examined the effects of task-irrelevant phobic cues in search tasks that do not involve semantic categorization. In a combined reaction time and eye-tracking experiment we investigated whether peripheral visual cues capture initial attention and distract from the execution of goal-directed eye movements. Twenty-one spider-phobic patients and 21 control participants were instructed to search for a color singleton while ignoring task-irrelevant abrupt-onset distractors which contained either a small picture of a spider (phobic), a flower (non-phobic, but similar to spiders in shape), a mushroom (non-phobic, and not similar to spiders in shape), or no picture. As expected, patients' reaction times were longer on trials with spider distractors. However, eye movements revealed that this was not due to attentional capture by spider distractors; patients more often fixated on all distractors with pictures, but their reaction times were delayed by longer fixation durations on spider distractors. These data do not support automatic capture of attention by phobic cues but suggest that phobic patients fail to disengage attention from spiders.</t>
  </si>
  <si>
    <t>XLKT293G</t>
  </si>
  <si>
    <t>Ecochard, L.; Hily, E.; Garcia, S.</t>
  </si>
  <si>
    <t>Economic effects and funding of Natura 2000 in forests</t>
  </si>
  <si>
    <t>Natura 2000 and Forests – Assessing the State of Implementation and Effectiveness</t>
  </si>
  <si>
    <t>978-952-5980-38-7</t>
  </si>
  <si>
    <t>101-118</t>
  </si>
  <si>
    <t>Sotirov, M.</t>
  </si>
  <si>
    <t>M78G3G2P</t>
  </si>
  <si>
    <t>Dzioubinski, Oleg; Chipman, Ralph</t>
  </si>
  <si>
    <t>Trends in Consumption and Production: Household Energy Consumption</t>
  </si>
  <si>
    <t>VPBDZYG8</t>
  </si>
  <si>
    <t>Edwards, David P.; Hodgson, Jenny A.; Hamer, Keith C.; Mitchell, Simon L.; Ahmad, Abdul H.; Cornell, Stephen J.; Wilcove, David S.</t>
  </si>
  <si>
    <t>Wildlife-friendly oil palm plantations fail to protect biodiversity effectively</t>
  </si>
  <si>
    <t>10.1111/j.1755-263X.2010.00107.x</t>
  </si>
  <si>
    <t>Expansion of agriculture is a principal driver of biodiversity losses in the tropics, prompting suggestions that plantations should be made more hospitable to wildlife. Such ?wildlife-friendly? practices contrast with the alternative ?land sparing? strategy, which promotes separation of agricultural and conservation areas. Focusing on the wildlife-friendly strategy of retaining fragments of forest within the agricultural matrix, here we report the abundance and diversity of birds within oil palm plantations, fragments, and contiguous forest. Abundances of imperiled bird species were 60 times lower in fragments and 200 times lower in oil palm than in contiguous forest. Forest fragments also did not increase bird abundances in adjacent oil palm, had lower species richness than contiguous forest, and had an avifaunal composition that was more similar to oil palm than to contiguous forest. Therefore, from a conservation perspective, any investment in the retention of fragments would be better directed toward the protection of contiguous forest.</t>
  </si>
  <si>
    <t>236-242</t>
  </si>
  <si>
    <t>T7N5FBN8</t>
  </si>
  <si>
    <t>Easterly, William; Levine, Ross</t>
  </si>
  <si>
    <t>Tropics, germs, and crops: How endowments influence economic development</t>
  </si>
  <si>
    <t>03043932</t>
  </si>
  <si>
    <t>Does economic development depend on geographic endowments like temperate instead of tropical location, the ecological conditions shaping diseases, or an environment good for grains or certain cash crops? Or do these endowments of tropics, germs, and crops affect economic development only through institutions or policies? We test the endowment, institution, and policy views against each other using cross country evidence. We find evidence that tropics, germs, and crops affect development through institutions. We find no evidence that tropics, germs, and crops affect country incomes directly other than through institutions, nor do we find any effect of policies on development once we control for institutions. © 2002 Elsevier Science B.V. All rights reserved.</t>
  </si>
  <si>
    <t>U27FKMPG</t>
  </si>
  <si>
    <t>Dietz, Kristina; Engels, Bettina</t>
  </si>
  <si>
    <t>Contested Extractivism, Society and the State: An Introduction</t>
  </si>
  <si>
    <t>Contested Extractivism, Society and the State</t>
  </si>
  <si>
    <t>5KB7CRUM</t>
  </si>
  <si>
    <t>Dorje, Ogyen Trinley</t>
  </si>
  <si>
    <t>Walking the Path of Environmental Buddhism through Compassion and Emptiness</t>
  </si>
  <si>
    <t>10.1111/j.1523-1739.2011.01765.x</t>
  </si>
  <si>
    <t>An essay is presented on environmental Buddhism. It discusses the author's experience as a member of a Tibetan nomad (Drokpa) family and how the request of his community to make him plant a sapling at the source of their community's spring had sprouted his love for nature. He also discusses how to save the environment through compassion and emptiness and the relationship between Buddhism and the environment.</t>
  </si>
  <si>
    <t>1094-1097</t>
  </si>
  <si>
    <t>ILF3DFP3</t>
  </si>
  <si>
    <t>Dobson, Andrew</t>
  </si>
  <si>
    <t>Fairness and Futurity: Essays on Environmental Sustainability and Social Justice</t>
  </si>
  <si>
    <t>RAWS7U96</t>
  </si>
  <si>
    <t>Dittrich, Monika; Giljum, Stefan; Lutter, Stephan; Polzin, Christine</t>
  </si>
  <si>
    <t>Green economies around the world? Implications of resource use for development and the environment</t>
  </si>
  <si>
    <t>978-3-200-02640-7</t>
  </si>
  <si>
    <t>This new report reveals, for the first time, data on resource use and resource effi ciency for all countries of the world over three decades, from 1980 – 2008. The data covers the global, continental and country level, featuring illustrative case studies. The report addresses three main issues: 1. Patterns of material extraction, trade, consumption and resource productivity in different world regions and countries; 2. Connections between material use and indicators of economic and social development; 3. Links between material use and selected major environmental problems, such as carbon emissions, land use change and water use. The report evaluates the performances of different countries, highlighting the critical issues of current trends in resource use. It thus provides innovative input for the current discussion on green economies and poverty reduction in the context of the upcoming Rio+20.</t>
  </si>
  <si>
    <t>Vienna</t>
  </si>
  <si>
    <t>BL5UVXDL</t>
  </si>
  <si>
    <t>Dinan, Terry</t>
  </si>
  <si>
    <t>Offsetting a Carbon Tax's Costs on Low-Income Households: Working Paper 2012-16</t>
  </si>
  <si>
    <t>Imposing a tax on carbon dioxide emissions would reduce the damage from climate change but would also impose a larger burden, relative to income, on low-income households than on high-income households. This paper evaluates two broad groupings of options for reducing the regressive effects of a carbon tax; one group of options would affect large segments of the economy, for example by reducing payroll taxes, and the other group of options would be targeted at low-income households, for example by providing an additional payment to households currently receiving electronic transfer benefits.</t>
  </si>
  <si>
    <t>9KU46UL9</t>
  </si>
  <si>
    <t>Doney, Scott C.; Fabry, Victoria J.; Feely, Richard A.; Kleypas, Joan A.</t>
  </si>
  <si>
    <t>1941-1405</t>
  </si>
  <si>
    <t>Rising atmospheric carbon dioxide (CO2), primarily from human fossil fuel combustion, reduces ocean pH and causes wholesale shifts in seawater carbonate chemistry. The process of ocean acidification is well documented in field data, and the rate will accelerate over this century unless future CO2 emissions are curbed dramatically. Acidification alters seawater chemical speciation and biogeochemical cycles of many elements and compounds. One well-known effect is the lowering of calcium carbonate saturation states, which impacts shell-forming marine organisms from plankton to benthic molluscs, echinoderms, and corals. Many calcifying species exhibit reduced calcification and growth rates in laboratory experiments under high-CO2 conditions. Ocean acidification also causes an increase in carbon fixation rates in some photosynthetic organisms (both calcifying and noncalcifying). The potential for marine organisms to adapt to increasing CO2 and broader implications for ocean ecosystems are not well known; both ...</t>
  </si>
  <si>
    <t>TALCBG47</t>
  </si>
  <si>
    <t>Dolan, C.; Humphrey, J.</t>
  </si>
  <si>
    <t>Governance and Trade in Fresh Vegetables: The Impact of UK Supermarkets on the African Horticulture Industry</t>
  </si>
  <si>
    <t>Journal of Development Studies</t>
  </si>
  <si>
    <t>0022-0388</t>
  </si>
  <si>
    <t>10.1080/713600072</t>
  </si>
  <si>
    <t>147-176</t>
  </si>
  <si>
    <t>YJ7D2KVX</t>
  </si>
  <si>
    <t>Doka, Susan E.; McNicol, Donald K.; Mallory, Mark L.; Wong, Isaac; Minns, Charles K.; Yan, Norman D.</t>
  </si>
  <si>
    <t>0167-6369</t>
  </si>
  <si>
    <t>Biological damage to sensitive aquatic ecosystems is among the most recognisable, deleterious effects of acidic deposition. We compiled a large spatial database of over 2000 waterbodies across southeastern Canada from various federal, provincial and academic sources. Data for zooplankton, fish, macroinvertebrate (benthos) and loon species richness and occurrence were used to construct statistical models for lakes with varying pH, dissolved organic carbon content and lake size. pH changes, as described and predicted using the Integrated Assessment Model (Lam et al., 1998; Jeffries et al., 2000), were based on the range of emission reductions set forth in the Canada/US Air Quality Agreement (AQA). The scenarios tested include 1983, 1990, 1994 and 2010 sulphate deposition levels. Biotic models were developed for five regions in southeastern Canada (Algoma, Muskoka, and Sudbury, Ontario, southcentral Quebec, and Kejimkujik, Nova Scotia) using regression tree, multiple linear regression and logistic regression analyses to make predictions about recovery after emission reductions. The analyses produced different indicator species in different regions, although some species showed consistent trends across regions. Generally, the greatest predicted recovery occurred during the final phase of emission reductions between 1994 and 2010 across all taxonomic groups and regions. The Ontario regions, on average, were predicted to recover to a greater extent than either southcentral Quebec or the Kejimkujik area of Nova Scotia. Our results reconfirm that pH 5.5-6.0 is an important threshold below which damage to aquatic biota will remain a major local and regional environmental problem. This damage to biodiversity across trophic levels will persist well into the future if no further reductions in sulphate deposition are implemented.</t>
  </si>
  <si>
    <t>JEJAXTSV</t>
  </si>
  <si>
    <t>Dittrich, Monika; Bringezu, Stefan</t>
  </si>
  <si>
    <t>The physical dimension of international trade</t>
  </si>
  <si>
    <t>10.1016/j.ecolecon.2010.04.023</t>
  </si>
  <si>
    <t>http://linkinghub.elsevier.com/retrieve/pii/S0921800910001825</t>
  </si>
  <si>
    <t>The physical dimension of international trade is attaining increased importance. This article describes a method to calculate complete physical trade flows for all countries which report their trade to the UN. The method is based on the UN Comtrade database and it was used to calculate world-wide physical trade flows for all reporting countries in nine selected years between 1962 and 2005. The results show increasing global trade with global direct material trade flows reaching about 10 billion tonnes in 2005, corresponding to a physical trade volume of about 20 billion tonnes (adding both total imports and total exports). The share from European countries is declining, mainly in favour of Asian countries. The dominant traded commodity in physical units was fossil fuels, mainly oil. Physical trade balances were used to identify the dominant resource suppliers and demanders. Australia was the principal resource supplier over the period with a diverse material export structure. It was followed by mainly oil-exporting countries with varying volumes. As regards to regions, Latin America, south-east Asian islands and central Asia were big resource exporters, mostly with increasing absolute amounts of net exports. The largest net importers were Japan, the United States and single European countries. Emerging countries like the 'Asian Tigers' with major industrial productive sectors are growing net importers, some of them to an even higher degree than European countries. Altogether, with the major exception of Australia and Canada, industrialized countries are net importers and developing countries and transition countries are net exporters, but there are important differences within these groups. ?? 2010 Elsevier B.V.</t>
  </si>
  <si>
    <t>1838-1847</t>
  </si>
  <si>
    <t>5222XKKB</t>
  </si>
  <si>
    <t>Du Toit, Johan T.; Walker, Brian H.; Campbell, Bruce M.</t>
  </si>
  <si>
    <t>Conserving tropical nature: Current challenges for ecologists</t>
  </si>
  <si>
    <t>10.1016/j.tree.2003.09.018</t>
  </si>
  <si>
    <t>Tropical biodiversity continues to erode unabated, which calls for ecologists to address the problem directly, placing less reliance on indirect interventions, such as community-based development schemes. Ecologists must become more assertive in providing scientifically formulated and adaptively managed interventions, involving biodiversity payments, to serve local, regional and global interests in tropical nature. Priorities for tropical ecologists thus include the identification of key thresholds to ecological resilience, and the formulation of clear monitoring protocols and management strategies for implementation by local resource managers. A particular challenge is to demonstrate how nature reserves contribute to the adaptive capacity of regional land-use matrices and, hence, to the provision of sustainable benefits at multiple spatial and temporal scales.</t>
  </si>
  <si>
    <t>12-17</t>
  </si>
  <si>
    <t>2X9G5CD9</t>
  </si>
  <si>
    <t>Drèze, Jean; Sen, Amartya</t>
  </si>
  <si>
    <t>Hunger and Public Action</t>
  </si>
  <si>
    <t>978-0-19-828365-2</t>
  </si>
  <si>
    <t>6AGWAP6S</t>
  </si>
  <si>
    <t>Dovie, Delali B. K.; Witkowski, E. T. F.; Shackleton, Charlie M.</t>
  </si>
  <si>
    <t>The fuelwood crisis in southern Africa - Relating fuelwood use to livelihoods in a rural village</t>
  </si>
  <si>
    <t>10.1023/B:GEJO.0000033597.34013.9f</t>
  </si>
  <si>
    <t>The aim of the paper is to examine wood as a source of fuel energy in rural South Africa and factors influencing its usage. The analysis is based on household profiles and characteristics (e.g., gender, caste, population and income) in a livelihood framework. Fuelwood consumption was estimated to be 692 kg/capita, and 4343 kg/user household per annum, valued at 311 per household. Consumption was modelled in relation to informal and formal cash incomes, and population of children, female and male adults. However, only the population of female adults could significantly influence consumption of fuelwood. This implied that where there were more women in a household, consumption was likely to be high. This might be due to the majority of women doing the cooking and heating in the household. Any change in the value of cash income of households had no significant impacts on fuelwood consumed. Cash incomes might therefore not be strong determinants of the types of energy used by rural households. The average quantity of wood consumed for fuel energy in summer was not significantly different from consumption in winter. Some households perpetually used more wood than others. The study further showed that harvesting of wood for fuel energy is not opportunistic, but requires reallocation of time for other livelihood activities in times of shortage. The fuelwood crisis is not simple and not only about shortage of fuelwood and/or population growth but linked to household profiles and other livelihood strategies and subsequently vulnerability of households. These would require thorough investigation and understanding in relation to precise demand and supply data for fuelwood before the fuelwood problem can be sufficiently managed.</t>
  </si>
  <si>
    <t>JWM98MDY</t>
  </si>
  <si>
    <t>Fair play : a Daniel Dorling reader on social justice</t>
  </si>
  <si>
    <t>978-1-84742-879-0</t>
  </si>
  <si>
    <t>Encompassing an extensive range of print and online media, this reader brings together a selection of highly influential writings by Danny Dorling which look at inequality and social justice. Section I Inequality and poverty 11 – 1 Prime suspect: murder in Britain 13 – 2 The dream that turned pear-shaped 31 – 3 The soul searching within New Labour 41 – 4 Unequal Britain 49 – 5 Axing the child poverty measure is wrong 57 – Section II Injustice and ideology 61 – 6 Brutal budget to entrench inequality 63 – 7 New Labour and Inequality:Thatcherism Continued? 65 – 8 All in the mind? Why social inequalities persist 83 – 9 Glass conflict: David Cameron's claim to understand poverty 93 – 10 Clearing the poor away 97 – Section III Race and identity 101 – 11 Ghettos in the sky 103 – 12 Worlds apart: how inequality breeds fear and prejudice in Britain 111 – 13 How much evidence do you need? Ethnicity, harm and crime 115 – 14 UK medical school admissions by ethnicity, socioeconomic status, and sex 121 – 15 Race and the repercussions of recession 125 – Section IV Education and hierarchy 131 – 16 What's it to do with the price of fish? 133 – 17 Little progress towards a fairer education system 139 – 18 One of Labour's great successes 147 – 19 Do three points make a trend? 149 – 20 Educational mobility in England and Germany 155 – 21 Cash and the not so classless society 159 – 22 Britain must close the great pay divide 165 – 23 Raising equality in access to higher education 170 – Section V Elitism and geneticism 187 – 24 The Darwins and the Cecils are only empty vessels 189 – 25 The Fabian essay: the myth of inherited inequality 193 – 26 The return to elitism in education 199 – 27 The super-rich are still soaring away 209 – Section VI Mobility and employment 215 – 28 The trouble with moving upmarket 217 – 29 Britain – split and divided by inequality 221 – 30 London and the English desert: the grain of truth in a stereotype 225 – 31 Are the times changing back? 237 – 32 Unemployment and health 243 – Section VII Bricks and mortar 247 – 33 Mortality amongst street sleeping youth in the UK 249 – 34 Daylight robbery: there's no shortage of housing 251 – 35 The influence of selective migration patterns 255 – 36 The geography of poverty, inequality and wealth in the UK and abroad 263 – 37 All connected? Geographies of race, death, wealth, votes and births 291 – Section VIII Wellbeing and misery 297 – 38 Against the organization of\ldots</t>
  </si>
  <si>
    <t>Policy Press University of Bristol</t>
  </si>
  <si>
    <t>EF6YNHMJ</t>
  </si>
  <si>
    <t>Dupar, Mairi Kristina; Badenoch, Nathan</t>
  </si>
  <si>
    <t>Environment, livelihoods, and local institutions: decentralization in mainland Southeast Asia</t>
  </si>
  <si>
    <t>World Resources Inst</t>
  </si>
  <si>
    <t>J2GGGLEQ</t>
  </si>
  <si>
    <t>Dulac, John</t>
  </si>
  <si>
    <t>Global land transport infrastructure requirements: Estimating road and railway infrastructure capacity and costs to 2050</t>
  </si>
  <si>
    <t>International Energy Agency</t>
  </si>
  <si>
    <t>lookup</t>
  </si>
  <si>
    <t>Book Authors</t>
  </si>
  <si>
    <t>Book Editors</t>
  </si>
  <si>
    <t>Book Group Authors</t>
  </si>
  <si>
    <t>Author Full Names</t>
  </si>
  <si>
    <t>Book Author Full Names</t>
  </si>
  <si>
    <t>Group Authors</t>
  </si>
  <si>
    <t>Book Series Title</t>
  </si>
  <si>
    <t>Book Series Subtitle</t>
  </si>
  <si>
    <t>Conference Title</t>
  </si>
  <si>
    <t>Conference Date</t>
  </si>
  <si>
    <t>Conference Location</t>
  </si>
  <si>
    <t>Conference Sponsor</t>
  </si>
  <si>
    <t>Conference Host</t>
  </si>
  <si>
    <t>Author Keywords</t>
  </si>
  <si>
    <t>Keywords Plus</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</si>
  <si>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</si>
  <si>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</si>
  <si>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</si>
  <si>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</si>
  <si>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</si>
  <si>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</si>
  <si>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</si>
  <si>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</si>
  <si>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</si>
  <si>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</si>
  <si>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</si>
  <si>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</si>
  <si>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</si>
  <si>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</si>
  <si>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</si>
  <si>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 City</t>
  </si>
  <si>
    <t>Publisher Address</t>
  </si>
  <si>
    <t>eISSN</t>
  </si>
  <si>
    <t>Journal ISO Abbreviation</t>
  </si>
  <si>
    <t>Publication Date</t>
  </si>
  <si>
    <t>Part Number</t>
  </si>
  <si>
    <t>Supplement</t>
  </si>
  <si>
    <t>Special Issue</t>
  </si>
  <si>
    <t>Meeting Abstract</t>
  </si>
  <si>
    <t>Start Page</t>
  </si>
  <si>
    <t>End Page</t>
  </si>
  <si>
    <t>Article Number</t>
  </si>
  <si>
    <t>Book DOI</t>
  </si>
  <si>
    <t>Early Access Date</t>
  </si>
  <si>
    <t>Number of Pages</t>
  </si>
  <si>
    <t>Web of Science Index</t>
  </si>
  <si>
    <t>Research Areas</t>
  </si>
  <si>
    <t>IDS Number</t>
  </si>
  <si>
    <t>Pubmed Id</t>
  </si>
  <si>
    <t>Open Access Designations</t>
  </si>
  <si>
    <t>Highly Cited Status</t>
  </si>
  <si>
    <t>Hot Paper Status</t>
  </si>
  <si>
    <t>Gautam, M; Gupta, S</t>
  </si>
  <si>
    <t/>
  </si>
  <si>
    <t>Gautam, Monika; Gupta, Sharmita</t>
  </si>
  <si>
    <t>POPULATION STATUS AND CONSERVATION REQUIREMENT OF SOME ENDANGERED PLANTS GROWING IN DAYALBAGH EDUCATIONAL INSTITUTE, AGRA</t>
  </si>
  <si>
    <t>INTERNATIONAL JOURNAL OF CONSERVATION SCIENCE</t>
  </si>
  <si>
    <t>Threatened plants; Population status; Conservation requirement; Importance Value Index (IVI)</t>
  </si>
  <si>
    <t>The study area is rich in plant diversity but there is an urgent need of conservation. Some rare and endangered plants are still found abundantly in the region, but without protection these plants may become endangered in the near future. Endangered plant species have been categorized by the IUCN (International union for conservation of nature) as the ones likely to become extinct. When the death rate of the species exceeds its birth rate for a prolonged duration, that species is called endangered and eventually it may become extinct. Such are Adhatoda vasica, Ageratum conysoides, Agave americana, Aloe vera, Ammania baccifera, Alternanthera sessilis, Asparagus adscendens, Cactus, Centella asiatica, Costus speciosus, Chlorophytum tuberosum, Gloriosa superba, Piper longum, Sinopodophyllum hexandrum, Rauwolfia serpentina, Saraca asoca, Strebles asper, Tribulus terrestris, Withania somnifera, Zamia pygmeae. Among these threatened plants 4 species were assessed as Critically Endangered (CR), 7 as Endangered (EW), 2 as Vulnerable (VU), 5 as Least Concern (LC) and 1 as Data deficient (DD) by the IUCN Red List in Uttar Pradesh and in the study area. The extinction and decline in plant diversity is caused by many factors, such as population growth, high rates of habitat modification and deforestation, climate change, pollution, the spread of invasive alien species and over-exploitation. Threatened species are being rehabilitated and restored to a protected area from their former habitats.</t>
  </si>
  <si>
    <t>[Gautam, Monika; Gupta, Sharmita] DEI, Fac Sci, Dept Bot, Agra 282005, Uttar Pradesh, India</t>
  </si>
  <si>
    <t>Dayalbagh Educational Institute (DEI)</t>
  </si>
  <si>
    <t>Gupta, S (corresponding author), DEI, Fac Sci, Dept Bot, Agra 282005, Uttar Pradesh, India.</t>
  </si>
  <si>
    <t>drsharmitagupta123@gmail.com</t>
  </si>
  <si>
    <t>; Gupta, Sharmita/LUZ-5886-2024</t>
  </si>
  <si>
    <t>, Sharmita Gupta/0009-0009-6234-9631;</t>
  </si>
  <si>
    <t>UNIV ALEXANDRU IOAN CUZA IASI, ARHEOINVEST INTERDISCIPLINARY PLATFORM</t>
  </si>
  <si>
    <t>IASI</t>
  </si>
  <si>
    <t>LAB SCI INVES &amp; CONSERVATION, BLVD CAROL I, NO 22, CORP G, DEMISOL, IASI, 700506, ROMANIA</t>
  </si>
  <si>
    <t>2067-533X</t>
  </si>
  <si>
    <t>2067-8223</t>
  </si>
  <si>
    <t>INT J CONSERV SCI</t>
  </si>
  <si>
    <t>Int. J. Conserv. Sci.</t>
  </si>
  <si>
    <t>OCT-DEC</t>
  </si>
  <si>
    <t>Art</t>
  </si>
  <si>
    <t>Emerging Sources Citation Index (ESCI)</t>
  </si>
  <si>
    <t>CY3ZZ</t>
  </si>
  <si>
    <t>2025-11-28</t>
  </si>
  <si>
    <t>WOS:000366349700011</t>
  </si>
  <si>
    <t>Dahdouh-Guebas, F; Collin, S; Lo Seen, D; Rönnbäck, P; Depommier, D; Ravishankar, T; Koedam, N</t>
  </si>
  <si>
    <t>Dahdouh-Guebas, F.; Collin, S.; Lo Seen, D.; Ronnback, P.; Depommier, D.; Ravishankar, T.; Koedam, N.</t>
  </si>
  <si>
    <t>Analysing ethnobotanical and fishery-related importance of mangroves of the East-Godavari Delta (Andhra Pradesh, India) for conservation and management purposes</t>
  </si>
  <si>
    <t>JOURNAL OF ETHNOBIOLOGY AND ETHNOMEDICINE</t>
  </si>
  <si>
    <t>COASTAL; FOREST; SUBSISTENCE; DEPENDENCE; KNOWLEDGE; ECOSYSTEM; PRODUCTS; KENYA</t>
  </si>
  <si>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</si>
  <si>
    <t>[Dahdouh-Guebas, F.; Collin, S.] Vrije Univ Brussel, Mangrove Management Grp, Biocomplex Res Team, B-1050 Brussels, Belgium; [Koedam, N.] Vrije Univ Brussel, Lab Gen Bot &amp; Nat Management, Mangrove Management Grp, B-1050 Brussels, Belgium; [Lo Seen, D.; Depommier, D.] Inst Francais Pondichery, Pondicherry 605001, India; [Ronnback, P.] Univ Stockholm, Dept Syst Ecol, S-10691 Stockholm, Sweden; [Ravishankar, T.] MS Swaminathan Res Fdn, Reg Off, Kakinada 533004, Andhra Pradesh, India</t>
  </si>
  <si>
    <t>Vrije Universiteit Brussel; Vrije Universiteit Brussel; Stockholm University</t>
  </si>
  <si>
    <t>Dahdouh-Guebas, F (corresponding author), Vrije Univ Brussel, Mangrove Management Grp, Biocomplex Res Team, Pl Laan 2, B-1050 Brussels, Belgium.</t>
  </si>
  <si>
    <t>fdahdouh@vub.ac.be; fdahdouh@vub.ac.be; danny.loseen@ifpindia.org; pat@system.ecology.su.se; danny.loseen@ifpindia.org; raviethnobotanist@rediffmail.com; nikoedam@vub.ac.be</t>
  </si>
  <si>
    <t>Dahdouh-Guebas, Farid/B-9154-2008; Seen, Danny/C-2679-2008; Lo Seen, Danny/C-2679-2008</t>
  </si>
  <si>
    <t>Lo Seen, Danny/0000-0002-7773-2109; DAHDOUH-GUEBAS, Farid/0000-0002-5906-8996</t>
  </si>
  <si>
    <t>European Commission [ERB IC18-CT98-0295]; Flemish Inter-University Council (VLIR); Flanders Marine Institute (VLIZ Encouragement Award Marine Sciences); International Society of Ethnobiology</t>
  </si>
  <si>
    <t>European Commission(European Union (EU)European Commission Joint Research Centre); Flemish Inter-University Council (VLIR); Flanders Marine Institute (VLIZ Encouragement Award Marine Sciences); International Society of Ethnobiology</t>
  </si>
  <si>
    <t>From the French Institute of Pondicherry we thank D. Grandcolas for her useful socio-geographic input, G. Okrukaimani and Chandra Shekar for the translations, P. Grard and J. Prosperi for the botanical photographs, and S. Oliveau for the calculations of the demographic data from the database of the South Indian Fertility Project. We are particularly indebted to Nirmalla, Sirisha and their mother for making the field stay in Kakinada so pleasant. The first author is a Post-doctoral Researcher from the Fund for Scientific Research (FWO-Vlaanderen). The research was also funded by the European Commission (Contract ERB IC18-CT98-0295), and the Flemish Inter-University Council (VLIR), and it was awarded prizes by the Flanders Marine Institute (VLIZ Encouragement Award Marine Sciences) and by the International Society of Ethnobiology (9th International Congress on Ethnobiology on Social Change and Displacement, in collaboration with 45th Annual Meeting of the Society for Economic Botany, and the 8th International Congress of the International Society of Ethnopharmacology, 13-18 June, Canterbury, U.K.). This research is within the objectives of the International Geosphere-Biosphere Programme (IGBP), Past Global Changes (PAGES) Focus 5 : Past Ecosystem Processes and Human-Environment Interactions.</t>
  </si>
  <si>
    <t>BMC</t>
  </si>
  <si>
    <t>LONDON</t>
  </si>
  <si>
    <t>CAMPUS, 4 CRINAN ST, LONDON N1 9XW, ENGLAND</t>
  </si>
  <si>
    <t>J ETHNOBIOL ETHNOMED</t>
  </si>
  <si>
    <t>J. Ethnobiol. Ethnomed.</t>
  </si>
  <si>
    <t>10.1186/1746-4269-2-24</t>
  </si>
  <si>
    <t>Biodiversity Conservation; Plant Sciences; Pharmacology &amp; Pharmacy</t>
  </si>
  <si>
    <t>Science Citation Index Expanded (SCI-EXPANDED)</t>
  </si>
  <si>
    <t>Biodiversity &amp; Conservation; Plant Sciences; Pharmacology &amp; Pharmacy</t>
  </si>
  <si>
    <t>V34MW</t>
  </si>
  <si>
    <t>Green Submitted, gold</t>
  </si>
  <si>
    <t>WOS:000209091500024</t>
  </si>
  <si>
    <t>Schleuning, M; Farwig, N; Peters, MK; Bergsdorf, T; Bleher, B; Brandl, R; Dalitz, H; Fischer, G; Freund, W; Gikungu, MW; Hagen, M; Garcia, FH; Kagezi, GH; Kaib, M; Kraemer, M; Lung, T; Naumann, CM; Schaab, G; Templin, M; Uster, D; Wägele, JW; Böhning-Gaese, K</t>
  </si>
  <si>
    <t>Schleuning, Matthias; Farwig, Nina; Peters, Marcell K.; Bergsdorf, Thomas; Bleher, Baerbel; Brandl, Roland; Dalitz, Helmut; Fischer, Georg; Freund, Wolfram; Gikungu, Mary W.; Hagen, Melanie; Garcia, Francisco Hita; Kagezi, Godfrey H.; Kaib, Manfred; Kraemer, Manfred; Lung, Tobias; Naumann, Clas M.; Schaab, Gertrud; Templin, Mathias; Uster, Dana; Waegele, J. Wolfgang; Boehning-Gaese, Katrin</t>
  </si>
  <si>
    <t>Forest Fragmentation and Selective Logging Have Inconsistent Effects on Multiple Animal-Mediated Ecosystem Processes in a Tropical Forest</t>
  </si>
  <si>
    <t>HABITAT FRAGMENTATION; FUNCTIONAL DIVERSITY; PRUNUS-AFRICANA; SEED DISPERSAL; BIODIVERSITY; BIRDS; SECONDARY; SERVICES; IMPACTS; CONSERVATION</t>
  </si>
  <si>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</si>
  <si>
    <t>[Schleuning, Matthias; Bleher, Baerbel; Templin, Mathias; Boehning-Gaese, Katrin] Johannes Gutenberg Univ Mainz, Inst Zool, Dept Ecol, D-6500 Mainz, Germany; [Schleuning, Matthias; Templin, Mathias; Boehning-Gaese, Katrin] Biodivers &amp; Climate Res Ctr, Frankfurt, Germany; [Schleuning, Matthias; Templin, Mathias; Boehning-Gaese, Katrin] Senckenberg Gesell Nat Forsch, Frankfurt, Germany; [Farwig, Nina; Brandl, Roland; Kagezi, Godfrey H.] Univ Marburg, Dept Ecol, Marburg, Germany; [Peters, Marcell K.; Bergsdorf, Thomas; Fischer, Georg; Freund, Wolfram; Garcia, Francisco Hita; Naumann, Clas M.; Waegele, J. Wolfgang] Zool Res Museum A Koenig, Bonn, Germany; [Peters, Marcell K.] Univ Wurzburg, Dept Anim Ecol &amp; Trop Biol, Bioctr, Wurzburg, Germany; [Dalitz, Helmut; Uster, Dana] Univ Hohenheim, Inst Bot, D-7000 Stuttgart, Germany; [Gikungu, Mary W.] Natl Museums Kenya, Nairobi, Kenya; [Hagen, Melanie; Kraemer, Manfred] Univ Bielefeld, Bielefeld, Germany; [Hagen, Melanie] Aarhus Univ, Dept Biosci, Aarhus C, Denmark; [Kaib, Manfred] Univ Bayreuth, Dept Anim Physiol, Bayreuth, Germany; [Lung, Tobias; Schaab, Gertrud] Karlsruhe Univ Appl Sci, Dept Geomat, Karlsruhe, Germany; [Boehning-Gaese, Katrin] Goethe Univ, Dept Biol Sci, Frankfurt, Germany</t>
  </si>
  <si>
    <t>Johannes Gutenberg University of Mainz; Leibniz Association; Senckenberg Gesellschaft fur Naturforschung (SGN); Philipps University Marburg; University of Wurzburg; University Hohenheim; University of Bielefeld; Aarhus University; University of Bayreuth; Karlsruhe University of Applied Sciences; Goethe University Frankfurt</t>
  </si>
  <si>
    <t>Schleuning, M (corresponding author), Johannes Gutenberg Univ Mainz, Inst Zool, Dept Ecol, Saarstr 21, D-6500 Mainz, Germany.</t>
  </si>
  <si>
    <t>matthias.schleuning@senckenberg.de</t>
  </si>
  <si>
    <t>; Garcia, Francisco/C-9636-2015; Fischer, Georg/G-2484-2015; Farwig, Nina/JMQ-1406-2023; Hagen, Melanie/I-7939-2013; Böhning-Gaese, Katrin/W-2601-2019; Fischer, Georg/Y-3059-2019; Böhning-Gaese, Katrin/W-2601-2019; Schleuning, Matthias/H-2154-2015</t>
  </si>
  <si>
    <t>Peters, Marcell/0000-0002-1262-0827; Fischer, Georg/0000-0002-0637-6485; Böhning-Gaese, Katrin/0000-0003-0477-5586; Fischer, Georg/0000-0002-4033-2005; Hita Garcia, Francisco/0000-0003-4709-3083; Böhning-Gaese, Katrin/0000-0003-0477-5586; Schleuning, Matthias/0000-0001-9426-045X</t>
  </si>
  <si>
    <t>German Federal Ministry of Education and Research [01LC0025, 01LC0405, 01LC0625]; Hesse's Ministry of Higher Education, Research, and the Arts</t>
  </si>
  <si>
    <t>German Federal Ministry of Education and Research(Federal Ministry of Education &amp; Research (BMBF)); Hesse's Ministry of Higher Education, Research, and the Arts</t>
  </si>
  <si>
    <t>Financial support for this study was provided by the German Federal Ministry of Education and Research (http://www.bmbf.de) as part of the BIOTA Africa project (http://www.biota-africa.org; grant numbers: 01LC0025, 01LC0405, 01LC0625) and by the research funding program Landes-Offensive zur Entwicklung wissenschaftlich okonomischer Exzellenz of Hesse's Ministry of Higher Education, Research, and the Arts (http://www.hessen.de/irj/HMWK_Internet?cid=a2396939885f8c8c0a3ba39bda517cbd). The funders had no role in study design, data collection and analysis, decision to publish, or preparation of the manuscript.</t>
  </si>
  <si>
    <t>PUBLIC LIBRARY SCIENCE</t>
  </si>
  <si>
    <t>SAN FRANCISCO</t>
  </si>
  <si>
    <t>1160 BATTERY STREET, STE 100, SAN FRANCISCO, CA 94111 USA</t>
  </si>
  <si>
    <t>PLoS One</t>
  </si>
  <si>
    <t>NOV 16</t>
  </si>
  <si>
    <t>e27785</t>
  </si>
  <si>
    <t>10.1371/journal.pone.0027785</t>
  </si>
  <si>
    <t>Science &amp; Technology - Other Topics</t>
  </si>
  <si>
    <t>855HV</t>
  </si>
  <si>
    <t>WOS:000297555400114</t>
  </si>
  <si>
    <t>B</t>
  </si>
  <si>
    <t>Gros, P; Prouzet, P</t>
  </si>
  <si>
    <t>Monaco, A; Prouzet, P</t>
  </si>
  <si>
    <t>Gros, Philippe; Prouzet, Patrick</t>
  </si>
  <si>
    <t>The Impact of Global Change on the Dynamics of Marine Living Resources</t>
  </si>
  <si>
    <t>ECOSYSTEM SUSTAINABILITY AND GLOBAL CHANGE</t>
  </si>
  <si>
    <t>Wiley-ISTE</t>
  </si>
  <si>
    <t>Article; Book Chapter</t>
  </si>
  <si>
    <t>SALMON SALMO-SALAR; EXPLOITED FISH STOCKS; SOLE SOLEA-SOLEA; CLIMATE-CHANGE; OCEAN ACIDIFICATION; FEEDING AQUACULTURE; CAPTURE FISHERIES; JELLYFISH BLOOMS; SPAWNING STOCK; FOOD-WEB</t>
  </si>
  <si>
    <t>[Gros, Philippe] IFREMER, Brest, France; [Prouzet, Patrick] IFREMER, Issy Les Moulineaux, France</t>
  </si>
  <si>
    <t>Ifremer; Ifremer</t>
  </si>
  <si>
    <t>Gros, P (corresponding author), IFREMER, Brest, France.</t>
  </si>
  <si>
    <t>ISTE LTD</t>
  </si>
  <si>
    <t>27-37 ST GEORGES RD, 3RD FLR, TUITION HOUSE, LONDON, SW19 4EU, ENGLAND</t>
  </si>
  <si>
    <t>978-1-119-00770-8; 978-1-84821-703-4</t>
  </si>
  <si>
    <t>WILEY-ISTE</t>
  </si>
  <si>
    <t>10.1002/9781119007708</t>
  </si>
  <si>
    <t>Ecology; Marine &amp; Freshwater Biology; Oceanography</t>
  </si>
  <si>
    <t>Book Citation Index – Science (BKCI-S)</t>
  </si>
  <si>
    <t>Environmental Sciences &amp; Ecology; Marine &amp; Freshwater Biology; Oceanography</t>
  </si>
  <si>
    <t>BD9CK</t>
  </si>
  <si>
    <t>WOS:000364520200005</t>
  </si>
  <si>
    <t>Lyu, Z; Genet, H; He, YJ; Zhuang, QL; McGuire, AD; Bennett, A; Breen, A; Clein, J; Euskirchen, ES; Johnson, K; Kurkowski, T; Pastick, NJ; Rupp, TS; Wylie, BK; Zhu, ZL</t>
  </si>
  <si>
    <t>Lyu, Zhou; Genet, Helene; He, Yujie; Zhuang, Qianlai; McGuire, A. David; Bennett, Alec; Breen, Amy; Clein, Joy; Euskirchen, Eugenie S.; Johnson, Kristofer; Kurkowski, Tom; Pastick, Neal J.; Rupp, T. Scott; Wylie, Bruce K.; Zhu, Zhiliang</t>
  </si>
  <si>
    <t>The role of environmental driving factors in historical and projected carbon dynamics of wetland ecosystems in Alaska</t>
  </si>
  <si>
    <t>ECOLOGICAL APPLICATIONS</t>
  </si>
  <si>
    <t>Alaska; Alaska carbon cycle; atmospheric CO2; carbon balance; climate change; fire; global warming potential; methane; wetlands</t>
  </si>
  <si>
    <t>GREENHOUSE-PLUS FEEDBACK; SEASON-LONG MEASUREMENT; ARCTIC CLIMATE-CHANGE; PERMAFROST CARBON; METHANE EMISSIONS; ELEVATED CO2; TERRESTRIAL ECOSYSTEMS; POLAR AMPLIFICATION; GROWING-SEASON; BOREAL FOREST</t>
  </si>
  <si>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</si>
  <si>
    <t>[Lyu, Zhou; He, Yujie; Zhuang, Qianlai] Purdue Univ, Earth Atmospher &amp; Planetary Sci, W Lafayette, IN 47907 USA; [Genet, Helene; Clein, Joy; Euskirchen, Eugenie S.] Univ Alaska Fairbanks, Inst Arctic Biol, Fairbanks, AK 99775 USA; [McGuire, A. David] Univ Alaska Fairbanks, US Geol Survey, Alaska Cooperat Fish &amp; Wildlife Res Unit, Fairbanks, AK 99775 USA; [Bennett, Alec; Breen, Amy; Kurkowski, Tom; Rupp, T. Scott] Univ Alaska Fairbanks, Int Arctic Res Ctr, Scenarios Network Alaska &amp; Arctic Planning, Fairbanks, AK 99775 USA; [Johnson, Kristofer] US Forest Serv, USDA, Northern Res Stn, Newtown Sq, PA 19073 USA; [Pastick, Neal J.] Univ Minnesota, Dept Forest Resources, St Paul, MN 55108 USA; [Pastick, Neal J.] US Geol Survey, Stinger Ghaffarian Technol Inc, Sioux Falls, SD 57198 USA; [Wylie, Bruce K.] US Geol Survey, Earth Resources Observat Syst Ctr, Sioux Falls, SD 57198 USA; [Zhu, Zhiliang] US Geol Survey, Reston, VA 12201 USA</t>
  </si>
  <si>
    <t>Purdue University System; Purdue University; University of Alaska System; University of Alaska Fairbanks; United States Department of the Interior; United States Geological Survey; University of Alaska System; University of Alaska Fairbanks; University of Alaska System; University of Alaska Fairbanks; United States Department of Agriculture (USDA); United States Forest Service; University of Minnesota System; University of Minnesota Twin Cities; Stinger Ghaffarian Technologies, Inc. (SGT); United States Department of the Interior; United States Geological Survey; United States Department of the Interior; United States Geological Survey; United States Department of the Interior; United States Geological Survey</t>
  </si>
  <si>
    <t>Zhuang, QL (corresponding author), Purdue Univ, Earth Atmospher &amp; Planetary Sci, W Lafayette, IN 47907 USA.</t>
  </si>
  <si>
    <t>qzhuang@purdue.edu</t>
  </si>
  <si>
    <t>; Lyu, Zhou/AAD-7454-2021; Zhuang, Qianlai/A-5670-2009; Zhu, Zhiliang/I-2686-2018; Wylie, Bruce/H-3182-2014; Lyu, Zhou/D-3513-2019; He, Yujie/E-2514-2017</t>
  </si>
  <si>
    <t>Pastick, Neal/0000-0002-8169-3018; Lyu, Zhou/0000-0003-3015-9410; Clein, Joy/0000-0002-2816-5312</t>
  </si>
  <si>
    <t>U.S. Geological Survey (USGS) Land Change Science Program; Alaska Climate Science Center from the U.S. Geological Survey [G10AC00588]; Bonanza Creek Long-Term Ecological Research Program - National Science Foundation; U.S. Forest Service; DOE [DE-SC0008092]; NSF [IIS-1027955]</t>
  </si>
  <si>
    <t>U.S. Geological Survey (USGS) Land Change Science Program; Alaska Climate Science Center from the U.S. Geological Survey; Bonanza Creek Long-Term Ecological Research Program - National Science Foundation; U.S. Forest Service(United States Department of Agriculture (USDA)United States Forest Service); DOE(United States Department of Energy (DOE)); NSF(National Science Foundation (NSF))</t>
  </si>
  <si>
    <t>This research was funded by the U.S. Geological Survey (USGS) Land Change Science Program. Additional support was provided by the Alaska Climate Science Center through Grant/Cooperative Agreement G10AC00588 from the U.S. Geological Survey and by the Bonanza Creek Long-Term Ecological Research Program funded by the National Science Foundation and the U.S. Forest Service. The research was also partially supported by DOE project DE-SC0008092 and NSF project IIS-1027955 to Q. Zhuang. Any use of trade, firm, or product names is for descriptive purposes only and does not imply endorsement by the U.S. Government. We acknowledge the World Climate Research Programme's Working Group on Coupled Modeling, which is responsible for CMIP, and we thank all the climate modeling groups for producing and making available their model output. We also thank the U.S. Department of Energy's Program for Climate Model Diagnosis and Intercomparison for providing coordinating support and leading development of software infrastructure in partnership with the Global Organization for Earth System Science Portals.</t>
  </si>
  <si>
    <t>WILEY</t>
  </si>
  <si>
    <t>HOBOKEN</t>
  </si>
  <si>
    <t>111 RIVER ST, HOBOKEN 07030-5774, NJ USA</t>
  </si>
  <si>
    <t>1939-5582</t>
  </si>
  <si>
    <t>ECOL APPL</t>
  </si>
  <si>
    <t>Ecol. Appl.</t>
  </si>
  <si>
    <t>SEP</t>
  </si>
  <si>
    <t>10.1002/eap.1755</t>
  </si>
  <si>
    <t>Environmental Sciences &amp; Ecology</t>
  </si>
  <si>
    <t>GS3VZ</t>
  </si>
  <si>
    <t>Green Submitted</t>
  </si>
  <si>
    <t>WOS:000443555100001</t>
  </si>
  <si>
    <t>Easterday, K; Mclntyre, P; Kelly, M</t>
  </si>
  <si>
    <t>Easterday, Kelly; Mclntyre, Patrick; Kelly, Maggi</t>
  </si>
  <si>
    <t>Land ownership and 20th century changes to forest structure in California</t>
  </si>
  <si>
    <t>FOREST ECOLOGY AND MANAGEMENT</t>
  </si>
  <si>
    <t>Forest structure; Forest change; Land management; Land ownership; California; Vegetation Type Mapping (VTM)</t>
  </si>
  <si>
    <t>SPATIAL-PATTERNS; CONIFER FORESTS; CLIMATE-CHANGE; SIERRA-NEVADA; DECLINE; SHIFTS; ECOSYSTEMS; TREES</t>
  </si>
  <si>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</si>
  <si>
    <t>[Easterday, Kelly; Kelly, Maggi] Univ Calif Berkeley, Dept Environm Sci Policy &amp; Management, 134 Mulford Hall 3114, Berkeley, CA 94720 USA; [Mclntyre, Patrick] Western North Amer Nat Serve, 1680 38th St,Suite 120, Boulder, CO 80301 USA; [Kelly, Maggi] Univ Calif, Div Agr &amp; Nat Resources UC ANR, Oakland, CA USA</t>
  </si>
  <si>
    <t>University of California System; University of California Berkeley; University of California System; University of California Berkeley</t>
  </si>
  <si>
    <t>Kelly, M (corresponding author), Univ Calif Berkeley, Dept Environm Sci Policy &amp; Management, 134 Mulford Hall 3114, Berkeley, CA 94720 USA.</t>
  </si>
  <si>
    <t>Patrick_McIntyre@NatureServe.org; maggi@berkeley.edu</t>
  </si>
  <si>
    <t>Easterday, Kelly/0000-0002-1678-0975; McIntyre, Patrick/0000-0002-7800-6416</t>
  </si>
  <si>
    <t>Bancroft Library fellowship; Institute for the Study of Ecological and Evolutionary Climate Impacts (ISEECI) fellowship</t>
  </si>
  <si>
    <t>We would like to thank UC Berkeley's Geospatial Innovation Facility (GIF) for hosting the vtm.berkeley.edu website and providing access to the data. We thank A. Kelly and L Pitcher for providing early feedback on the manuscript. ICE was supported by The Bancroft Library fellowship and The Institute for the Study of Ecological and Evolutionary Climate Impacts (ISEECI) fellowship.</t>
  </si>
  <si>
    <t>ELSEVIER</t>
  </si>
  <si>
    <t>AMSTERDAM</t>
  </si>
  <si>
    <t>RADARWEG 29, 1043 NX AMSTERDAM, NETHERLANDS</t>
  </si>
  <si>
    <t>1872-7042</t>
  </si>
  <si>
    <t>FOREST ECOL MANAG</t>
  </si>
  <si>
    <t>For. Ecol. Manage.</t>
  </si>
  <si>
    <t>AUG 15</t>
  </si>
  <si>
    <t>10.1016/j.foreco.2018.04.012</t>
  </si>
  <si>
    <t>Forestry</t>
  </si>
  <si>
    <t>GH7SO</t>
  </si>
  <si>
    <t>Green Published, hybrid</t>
  </si>
  <si>
    <t>WOS:000433653900015</t>
  </si>
  <si>
    <t>Cowburn, B; Samoilys, MA; Obura, D</t>
  </si>
  <si>
    <t>Cowburn, B.; Samoilys, M. A.; Obura, D.</t>
  </si>
  <si>
    <t>The current status of coral reefs and their vulnerability to climate change and multiple human stresses in the Comoros Archipelago, Western Indian Ocean</t>
  </si>
  <si>
    <t>Climate change; Coral bleaching; Resilience; Artisanal fisheries; Pollution</t>
  </si>
  <si>
    <t>BASE-LINES; RESILIENCE; FISHERIES; IMPACTS; WORLDS; COMMUNITIES; MANAGEMENT; TRENDS; FUTURE</t>
  </si>
  <si>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</si>
  <si>
    <t>[Cowburn, B.; Samoilys, M. A.; Obura, D.] CORDIO East Africa, 9 Kibaki Flats,POB 10135, Mombasa 80101, Kenya; [Samoilys, M. A.] Univ Oxford, Dept Zool, Oxford OX2 6GG, England</t>
  </si>
  <si>
    <t>University of Oxford</t>
  </si>
  <si>
    <t>Samoilys, MA (corresponding author), CORDIO East Africa, 9 Kibaki Flats,POB 10135, Mombasa 80101, Kenya.;Samoilys, MA (corresponding author), Univ Oxford, Dept Zool, Oxford OX2 6GG, England.</t>
  </si>
  <si>
    <t>msamoilys@cordioea.net</t>
  </si>
  <si>
    <t>WWF Madagascar; Dresy Lovasoa and Harisoa Rakotondrazafy; Western Indian Ocean Marine Science Association grant (WIOMSA) [MASMA/OR/2008/05]; Pervoli Trust fellowship</t>
  </si>
  <si>
    <t>WWF Madagascar; Dresy Lovasoa and Harisoa Rakotondrazafy; Western Indian Ocean Marine Science Association grant (WIOMSA); Pervoli Trust fellowship</t>
  </si>
  <si>
    <t>This study was made possible by funding and logistical support provided by WWF Madagascar and in particular we would like to acknowledge the support provided by Dresy Lovasoa and Harisoa Rakotondrazafy for the work conducted in 2016. The surveys in 2010 were funded through a Western Indian Ocean Marine Science Association grant (WIOMSA:MASMA/OR/2008/05) to CORDIO East Africa. M.S. was supported by a Pervoli Trust fellowship. We appreciate the logistical support provided by the staff at Parc National de Moheli and Laka Lodge for completing our fieldwork. Finally, we would like to thank Juliet Furaha, Peter Musembi, Daniel Davis and Philippe Robert for their assistance in data collection in 2016.</t>
  </si>
  <si>
    <t>PERGAMON-ELSEVIER SCIENCE LTD</t>
  </si>
  <si>
    <t>OXFORD</t>
  </si>
  <si>
    <t>THE BOULEVARD, LANGFORD LANE, KIDLINGTON, OXFORD OX5 1GB, ENGLAND</t>
  </si>
  <si>
    <t>0025-326X</t>
  </si>
  <si>
    <t>1879-3363</t>
  </si>
  <si>
    <t>MAR POLLUT BULL</t>
  </si>
  <si>
    <t>Mar. Pollut. Bull.</t>
  </si>
  <si>
    <t>AUG</t>
  </si>
  <si>
    <t>10.1016/j.marpolbul.2018.04.065</t>
  </si>
  <si>
    <t>Environmental Sciences &amp; Ecology; Marine &amp; Freshwater Biology</t>
  </si>
  <si>
    <t>GQ6RU</t>
  </si>
  <si>
    <t>WOS:000441853600107</t>
  </si>
  <si>
    <t>Muthukrishnan, R; Fong, P</t>
  </si>
  <si>
    <t>Muthukrishnan, Ranjan; Fong, Peggy</t>
  </si>
  <si>
    <t>Rapid recovery of a coral dominated Eastern Tropical Pacific reef after experimentally produced anthropogenic disturbance</t>
  </si>
  <si>
    <t>MARINE ENVIRONMENTAL RESEARCH</t>
  </si>
  <si>
    <t>Coral reef; Anthropogenic disturbance; Multiple stressors; Recovery</t>
  </si>
  <si>
    <t>ALTERNATE STABLE STATES; PHASE-SHIFTS; KANEOHE BAY; MACROALGAL DOMINANCE; COMMUNITY STRUCTURE; CLIMATE-CHANGE; RESILIENCE; HERBIVORY; SEDIMENTS; NUTRIENT</t>
  </si>
  <si>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</si>
  <si>
    <t>[Muthukrishnan, Ranjan; Fong, Peggy] Univ Calif Los Angeles, Dept Ecol &amp; Evolutionary Biol, Los Angeles, CA 90095 USA; [Muthukrishnan, Ranjan] Univ Minnesota, Dept Fisheries Wildlife &amp; Conservat Biol, St Paul, MN 55108 USA</t>
  </si>
  <si>
    <t>University of California System; University of California Los Angeles; University of Minnesota System; University of Minnesota Twin Cities</t>
  </si>
  <si>
    <t>Muthukrishnan, R (corresponding author), Univ Calif Los Angeles, Dept Ecol &amp; Evolutionary Biol, Los Angeles, CA 90095 USA.</t>
  </si>
  <si>
    <t>mrunj@umn.edu</t>
  </si>
  <si>
    <t>Muthukrishnan, Ranjan/0000-0002-7001-6249</t>
  </si>
  <si>
    <t>NSF Graduate Research Fellowship; UCLA Graduate Division fellowships; NSF [OCE-0002317]</t>
  </si>
  <si>
    <t>NSF Graduate Research Fellowship(National Science Foundation (NSF)); UCLA Graduate Division fellowships; NSF(National Science Foundation (NSF))</t>
  </si>
  <si>
    <t>We thank B. Fodor, J. Shannon, and S. Hogan, S. Kappus, L. Toth, I. Enochs and V. Brandtneris for assistance in the field and J. Mate, E. Ochoa and the Smithsonian Tropical Research Institute for logistical support in Panama. This work was supported by an NSF Graduate Research Fellowship and UCLA Graduate Division fellowships to RM and NSF grant OCE-0002317 to PF and P. Glynn.</t>
  </si>
  <si>
    <t>ELSEVIER SCI LTD</t>
  </si>
  <si>
    <t>125 London Wall, London, ENGLAND</t>
  </si>
  <si>
    <t>0141-1136</t>
  </si>
  <si>
    <t>1879-0291</t>
  </si>
  <si>
    <t>MAR ENVIRON RES</t>
  </si>
  <si>
    <t>Mar. Environ. Res.</t>
  </si>
  <si>
    <t>10.1016/j.marenvres.2018.05.008</t>
  </si>
  <si>
    <t>Environmental Sciences; Marine &amp; Freshwater Biology; Toxicology</t>
  </si>
  <si>
    <t>Environmental Sciences &amp; Ecology; Marine &amp; Freshwater Biology; Toxicology</t>
  </si>
  <si>
    <t>GL1ZA</t>
  </si>
  <si>
    <t>WOS:000436911600009</t>
  </si>
  <si>
    <t>Grahmann, ED; Fulbright, TE; Hernández, F; Hehman, MW; Wester, DB; Ortega-Santos, A; Martin, BA</t>
  </si>
  <si>
    <t>Grahmann, Eric D.; Fulbright, Timothy E.; Hernandez, Fidel; Hehman, Michael W.; Wester, David B.; Ortega-Santos, Alfonso; Martin, Blake A.</t>
  </si>
  <si>
    <t>Demographic and Density Response of Northern Bobwhites to Pyric Herbivory of Non-Native Grasslands</t>
  </si>
  <si>
    <t>RANGELAND ECOLOGY &amp; MANAGEMENT</t>
  </si>
  <si>
    <t>buffelgrass; Colinus virginianus; grazing; Northern bobwhite; patch burning; pyric herbivory</t>
  </si>
  <si>
    <t>PATCH-BURN MANAGEMENT; SOUTH TEXAS; TALLGRASS PRAIRIE; HABITAT MANAGEMENT; COMMUNITY RESPONSE; BREEDING BIRDS; BUFFEL GRASS; FIRE; RANGELAND; HETEROGENEITY</t>
  </si>
  <si>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</si>
  <si>
    <t>[Grahmann, Eric D.; Fulbright, Timothy E.; Hernandez, Fidel; Wester, David B.; Ortega-Santos, Alfonso] Texas A&amp;M Univ, Dept Anim &amp; Wildlife Sci, Caesar Kleberg Wildlife Res Inst, 700 Univ Blvd, Kingsville, TX 78363 USA; [Hehman, Michael W.; Martin, Blake A.] Hixon Ranch, Cotulla, TX 78014 USA</t>
  </si>
  <si>
    <t>Texas A&amp;M University System; Texas A&amp;M University Kingsville</t>
  </si>
  <si>
    <t>Grahmann, ED (corresponding author), Texas A&amp;M Univ, Dept Anim &amp; Wildlife Sci, Caesar Kleberg Wildlife Res Inst, 700 Univ Blvd, Kingsville, TX 78363 USA.</t>
  </si>
  <si>
    <t>eric.grahmann@tamuk.edu</t>
  </si>
  <si>
    <t>South Texas Charity Weekend; Houston Livestock Show and Rodeo; South Texas Chapter of Quail Coalition; Harvey Weil Sportsman Foundation; Arthur Seeligson Conservation Fund; Texas A&amp;M University-Kingsville Presidential Scholars Program; Meadows Endowed Professorship in Semiarid Land Ecology</t>
  </si>
  <si>
    <t>We would like to thank the Hixon family for their generous in kind support and use of their ranch. Other funding was provided by South Texas Charity Weekend, the Houston Livestock Show and Rodeo, South Texas Chapter of Quail Coalition, the Harvey Weil Sportsman Foundation, Arthur Seeligson Conservation Fund, the Texas A&amp;M University-Kingsville Presidential Scholars Program, Mr. Rene Barrientos, and the Meadows Endowed Professorship in Semiarid Land Ecology.</t>
  </si>
  <si>
    <t>SOC RANGE MANAGEMENT</t>
  </si>
  <si>
    <t>LAKEWOOD</t>
  </si>
  <si>
    <t>445 UNION BLVD, STE 230, LAKEWOOD, CO 80228-1259 USA</t>
  </si>
  <si>
    <t>1550-7424</t>
  </si>
  <si>
    <t>1551-5028</t>
  </si>
  <si>
    <t>RANGELAND ECOL MANAG</t>
  </si>
  <si>
    <t>Rangel. Ecol. Manag.</t>
  </si>
  <si>
    <t>JUL</t>
  </si>
  <si>
    <t>10.1016/j.rama.2018.02.008</t>
  </si>
  <si>
    <t>GJ6GA</t>
  </si>
  <si>
    <t>WOS:000435480900008</t>
  </si>
  <si>
    <t>Lindenmayer, DB; McBurney, L; Blair, D; Wood, J; Banks, SC</t>
  </si>
  <si>
    <t>Lindenmayer, David B.; McBurney, Lachlan; Blair, David; Wood, Jeff; Banks, Sam C.</t>
  </si>
  <si>
    <t>From unburnt to salvage logged: Quantifying bird responses to different levels of disturbance severity</t>
  </si>
  <si>
    <t>mountain ash; salvage logging; variable retention harvesting</t>
  </si>
  <si>
    <t>RETENTION FORESTRY; CENTRAL HIGHLANDS; CLIMATE-CHANGE; FIRE; BIODIVERSITY; WILDFIRE; VICTORIA; IMPACTS; CAPACITY</t>
  </si>
  <si>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</si>
  <si>
    <t>[Lindenmayer, David B.; McBurney, Lachlan; Blair, David; Wood, Jeff; Banks, Sam C.] Australian Natl Univ, Fenner Sch Environm &amp; Soc, Canberra, ACT, Australia; [Lindenmayer, David B.; McBurney, Lachlan; Blair, David; Wood, Jeff; Banks, Sam C.] Australian Natl Univ, Fenner Sch Environm &amp; Soc, Long Term Ecol Res Network, Canberra, ACT, Australia</t>
  </si>
  <si>
    <t>Australian National University; Australian National University</t>
  </si>
  <si>
    <t>Lindenmayer, DB (corresponding author), Australian Natl Univ, Fenner Sch Environm &amp; Soc, Canberra, ACT, Australia.;Lindenmayer, DB (corresponding author), Australian Natl Univ, Fenner Sch Environm &amp; Soc, Long Term Ecol Res Network, Canberra, ACT, Australia.</t>
  </si>
  <si>
    <t>david.lindenmayer@anu.edu.au.au</t>
  </si>
  <si>
    <t>Lindenmayer, David/P-7183-2017; Banks, Sam/K-4907-2012; Lindenmayer, David B/P-7183-2017</t>
  </si>
  <si>
    <t>Banks, Sam/0000-0003-2415-0057; Lindenmayer, David B/0000-0002-4766-4088</t>
  </si>
  <si>
    <t>Australian Research Council [DP1097170]; Parks Victoria; Victorian Department of Environment, Land, Water and Planning; Australian Research Council [DP1097170] Funding Source: Australian Research Council</t>
  </si>
  <si>
    <t>Australian Research Council(Australian Research Council); Parks Victoria; Victorian Department of Environment, Land, Water and Planning; Australian Research Council(Australian Research Council)</t>
  </si>
  <si>
    <t>Australian Research Council, Grant/Award Number: DP1097170; Parks Victoria; Victorian Department of Environment, Land, Water and Planning</t>
  </si>
  <si>
    <t>0021-8901</t>
  </si>
  <si>
    <t>1365-2664</t>
  </si>
  <si>
    <t>J APPL ECOL</t>
  </si>
  <si>
    <t>J. Appl. Ecol.</t>
  </si>
  <si>
    <t>10.1111/1365-2664.13137</t>
  </si>
  <si>
    <t>Biodiversity &amp; Conservation; Environmental Sciences &amp; Ecology</t>
  </si>
  <si>
    <t>GJ0UP</t>
  </si>
  <si>
    <t>Green Submitted, Bronze</t>
  </si>
  <si>
    <t>WOS:000434970200007</t>
  </si>
  <si>
    <t>Turubanova, S; Potapov, PV; Tyukavina, A; Hansen, MC</t>
  </si>
  <si>
    <t>Turubanova, Svetlana; Potapov, Peter V.; Tyukavina, Alexandra; Hansen, Matthew C.</t>
  </si>
  <si>
    <t>Ongoing primary forest loss in Brazil, Democratic Republic of the Congo, and Indonesia</t>
  </si>
  <si>
    <t>deforestation; primary forest; remote sensing</t>
  </si>
  <si>
    <t>ESTIMATING AREA; COVER LOSS; DEFORESTATION; BIODIVERSITY; EMISSIONS; ACCURACY; CARBON; INTACT; TRENDS</t>
  </si>
  <si>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</si>
  <si>
    <t>[Turubanova, Svetlana; Potapov, Peter V.; Tyukavina, Alexandra; Hansen, Matthew C.] Univ Maryland, College Pk, MD 20742 USA</t>
  </si>
  <si>
    <t>University System of Maryland; University of Maryland College Park</t>
  </si>
  <si>
    <t>Hansen, MC (corresponding author), Univ Maryland, College Pk, MD 20742 USA.</t>
  </si>
  <si>
    <t>mhansen@umd.edu</t>
  </si>
  <si>
    <t>Hansen, Matthew/ABE-7226-2020; Tyukavina, Alexandra/AGW-0785-2022; Potapov, Peter/AAE-7388-2019</t>
  </si>
  <si>
    <t>Potapov, Peter/0000-0003-3977-0021; Tyukavina, Alexana/0000-0003-3872-9844</t>
  </si>
  <si>
    <t>IOP Publishing Ltd</t>
  </si>
  <si>
    <t>BRISTOL</t>
  </si>
  <si>
    <t>TEMPLE CIRCUS, TEMPLE WAY, BRISTOL BS1 6BE, ENGLAND</t>
  </si>
  <si>
    <t>ENVIRON RES LETT</t>
  </si>
  <si>
    <t>10.1088/1748-9326/aacd1c</t>
  </si>
  <si>
    <t>Environmental Sciences &amp; Ecology; Meteorology &amp; Atmospheric Sciences</t>
  </si>
  <si>
    <t>GN0NL</t>
  </si>
  <si>
    <t>gold</t>
  </si>
  <si>
    <t>WOS:000438666900001</t>
  </si>
  <si>
    <t>Zhang, C; Ding, LY; Ding, CZ; Chen, LQ; Sun, J; Jiang, XM</t>
  </si>
  <si>
    <t>Zhang, Chao; Ding, Liuyong; Ding, Chengzhi; Chen, Liqiang; Sun, Jie; Jiang, Xiaoming</t>
  </si>
  <si>
    <t>Responses of species and phylogenetic diversity of fish communities in the Lancang River to hydropower development and exotic invasions</t>
  </si>
  <si>
    <t>Fish assemblages; Hydropower development; Exotic invasion; Species diversity; Phylogenetic diversity</t>
  </si>
  <si>
    <t>TAXONOMIC DISTINCTNESS INDEXES; MEKONG RIVER; HABITAT FRAGMENTATION; WATER TEMPERATURE; NILE TILAPIA; BIODIVERSITY; HOMOGENIZATION; EXTINCTION; INTRODUCTIONS; ASSEMBLAGES</t>
  </si>
  <si>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</si>
  <si>
    <t>[Zhang, Chao; Ding, Liuyong; Ding, Chengzhi; Chen, Liqiang; Sun, Jie] Yunnan Univ, Yunnan Key Lab Int Rivers &amp; Transboundary Ecosecu, Kunming 650091, Yunnan, Peoples R China; [Zhang, Chao; Ding, Liuyong; Ding, Chengzhi; Chen, Liqiang; Sun, Jie] Yunnan Univ, Inst Int Rivers &amp; Ecosecur, Kunming 650091, Yunnan, Peoples R China; [Jiang, Xiaoming] Xian Univ Technol, State Key Lab Ecohydraul Northwest Arid Reg China, Xian 710048, Shaanxi, Peoples R China</t>
  </si>
  <si>
    <t>Yunnan University; Yunnan University; Xi'an University of Technology</t>
  </si>
  <si>
    <t>Ding, CZ (corresponding author), Yunnan Univ, Yunnan Key Lab Int Rivers &amp; Transboundary Ecosecu, Kunming 650091, Yunnan, Peoples R China.;Ding, CZ (corresponding author), Yunnan Univ, Inst Int Rivers &amp; Ecosecur, Kunming 650091, Yunnan, Peoples R China.;Jiang, XM (corresponding author), Xian Univ Technol, State Key Lab Ecohydraul Northwest Arid Reg China, Xian 710048, Shaanxi, Peoples R China.</t>
  </si>
  <si>
    <t>chzhding@ynu.edu.cn; jxm123.83@163.com</t>
  </si>
  <si>
    <t>Ding, Liuyong/0000-0002-5490-182X; Ding, Chengzhi/0000-0001-5215-7374; Chen, Liqiang/0000-0001-5430-4585</t>
  </si>
  <si>
    <t>National Key Research and Development Program of China [2016YFA0601601]; National Natural Science Foundation of China [41501574, 31770460]; Yunnan Applied Basic Research Projects [2016FB079]; project Balancing River Health and Hydropower Requirements in LCR Basin; CGIAR Fund</t>
  </si>
  <si>
    <t>National Key Research and Development Program of China(National Key Research &amp; Development Program of China); National Natural Science Foundation of China(National Natural Science Foundation of China (NSFC)); Yunnan Applied Basic Research Projects; project Balancing River Health and Hydropower Requirements in LCR Basin; CGIAR Fund(CGIAR)</t>
  </si>
  <si>
    <t>The authors wish to thank Dr. Chunlong Liu for helpful comments and suggestions on the manuscript. We appreciated the journal editors and three anonymous reviewers for their valuable comments and suggestions. This study was financially supported by the National Key Research and Development Program of China (2016YFA0601601), the National Natural Science Foundation of China (grants 41501574, 31770460) and the Yunnan Applied Basic Research Projects (2016FB079), the project Balancing River Health and Hydropower Requirements in the LCR Basin, which is a part of the CGIAR Research Program on Water, Land and Ecosystem (WLE) and supported by CGIAR Fund Donors.</t>
  </si>
  <si>
    <t>1872-7034</t>
  </si>
  <si>
    <t>ECOL INDIC</t>
  </si>
  <si>
    <t>Ecol. Indic.</t>
  </si>
  <si>
    <t>10.1016/j.ecolind.2018.03.004</t>
  </si>
  <si>
    <t>GO7QL</t>
  </si>
  <si>
    <t>WOS:000440266100029</t>
  </si>
  <si>
    <t>Rappaport, DI; Morton, DC; Longo, M; Keller, M; Dubayah, R; dos-Santos, MN</t>
  </si>
  <si>
    <t>Rappaport, Danielle I.; Morton, Douglas C.; Longo, Marcos; Keller, Michael; Dubayah, Ralph; dos-Santos, Maiza Nara</t>
  </si>
  <si>
    <t>Quantifying long-term changes in carbon stocks and forest structure from Amazon forest degradation</t>
  </si>
  <si>
    <t>aboveground biomass; forest structure; habitat; understory fires; carbon cycling; airborne lidar; REDD</t>
  </si>
  <si>
    <t>TREE MORTALITY; LAND-USE; ABOVEGROUND BIOMASS; TROPICAL FORESTS; BRAZILIAN AMAZON; FIRE; DROUGHT; SUSCEPTIBILITY; PROJECTIONS; INCREASES</t>
  </si>
  <si>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</si>
  <si>
    <t>[Rappaport, Danielle I.; Dubayah, Ralph] Univ Maryland, Dept Geog Sci, College Pk, MD 20742 USA; [Morton, Douglas C.] NASA, Goddard Space Flight Ctr, Greenbelt, MD USA; [Longo, Marcos; Keller, Michael; dos-Santos, Maiza Nara] Brazilian Agr Res Corp EMBRAPA, Embrapa Agr Informat, Campinas, SP, Brazil; [Longo, Marcos; Keller, Michael] CALTECH, NASA, Jet Prop Lab, Pasadena, CA 91125 USA; [Keller, Michael] US Forest Serv, USDA, Int Inst Trop Forestry, San Juan, PR USA</t>
  </si>
  <si>
    <t>University System of Maryland; University of Maryland College Park; National Aeronautics &amp; Space Administration (NASA); NASA Goddard Space Flight Center; Empresa Brasileira de Pesquisa Agropecuaria (EMBRAPA); National Aeronautics &amp; Space Administration (NASA); NASA Jet Propulsion Laboratory (JPL); California Institute of Technology; United States Department of Agriculture (USDA); United States Forest Service</t>
  </si>
  <si>
    <t>Rappaport, DI (corresponding author), Univ Maryland, Dept Geog Sci, College Pk, MD 20742 USA.</t>
  </si>
  <si>
    <t>drappap@umd.edu</t>
  </si>
  <si>
    <t>Morton, Douglas/D-5044-2012; Keller, Michael/A-8976-2012; Longo, Marcos/F-5033-2014</t>
  </si>
  <si>
    <t>Keller, Michael/0000-0002-0253-3359; Longo, Marcos/0000-0001-5062-6245; dos-Santos, Maiza/0000-0003-2720-2393; Rappaport, Danielle/0000-0001-9122-9684</t>
  </si>
  <si>
    <t>National Science Foundation Doctoral Dissertation Research Improvement Grant [1634168]; NASA Earth and Space Science Fellowship; NASA's Carbon Monitoring System program; Brazilian National Council for Scientific and Technological Development (CNPq) [457927/2013-5]; Sao Paulo State Research Foundation (FAPESP) [2015/07227-6]; Next Generation Ecosystem Experiments-Tropics - US Department of Energy, Office of Science, Office of Biological and Environmental Research; Science Without Borders program; Sustainable Landscapes Brazil project; Brazilian Agricultural ResearchCorporation (EMBRAPA); US Forest Service, USAID; US Department of State; Direct For Social, Behav &amp; Economic Scie; Division Of Behavioral and Cognitive Sci [1634168] Funding Source: National Science Foundation</t>
  </si>
  <si>
    <t>National Science Foundation Doctoral Dissertation Research Improvement Grant; NASA Earth and Space Science Fellowship; NASA's Carbon Monitoring System program; Brazilian National Council for Scientific and Technological Development (CNPq)(Conselho Nacional de Desenvolvimento Cientifico e Tecnologico (CNPQ)); Sao Paulo State Research Foundation (FAPESP)(Fundacao de Amparo a Pesquisa do Estado de Sao Paulo (FAPESP)); Next Generation Ecosystem Experiments-Tropics - US Department of Energy, Office of Science, Office of Biological and Environmental Research(United States Department of Energy (DOE)); Science Without Borders program; Sustainable Landscapes Brazil project; Brazilian Agricultural ResearchCorporation (EMBRAPA)(Empresa Brasileira de Pesquisa Agropecuaria (EMBRAPA)); US Forest Service, USAID(United States Agency for International Development (USAID)); US Department of State; Direct For Social, Behav &amp; Economic Scie; Division Of Behavioral and Cognitive Sci(National Science Foundation (NSF)NSF - Directorate for Social, Behavioral &amp; Economic Sciences (SBE))</t>
  </si>
  <si>
    <t>This work was partially supported by a National Science Foundation Doctoral Dissertation Research Improvement Grant (grant 1634168), a NASA Earth and Space Science Fellowship (D Rappaport), and NASA's Carbon Monitoring System program. Additional support was provided by the Brazilian National Council for Scientific and Technological Development (CNPq, grant 457927/2013-5) and Science Without Borders program (D Morton), and the Sao Paulo State Research Foundation (FAPESP, grant 2015/07227-6, M Longo). M Keller was supported as part of the Next Generation Ecosystem Experiments-Tropics, funded by the US Department of Energy, Office of Science, Office of Biological and Environmental Research. Support for data acquisition and M.N. dos-Santos was provided by the Sustainable Landscapes Brazil project, a collaboration of the Brazilian Agricultural ResearchCorporation (EMBRAPA), the US Forest Service, USAID, and the US Department of State. We gratefully acknowledge the assistance from Hyeungu Choi with lidar data processing.</t>
  </si>
  <si>
    <t>JUN</t>
  </si>
  <si>
    <t>10.1088/1748-9326/aac331</t>
  </si>
  <si>
    <t>GI9AZ</t>
  </si>
  <si>
    <t>WOS:000434818600001</t>
  </si>
  <si>
    <t>Brown, MI; Pearce, T; Leon, J; Sidle, R; Wilson, R</t>
  </si>
  <si>
    <t>Brown, Matthew I.; Pearce, Tristan; Leon, Javier; Sidle, Roy; Wilson, Rachele</t>
  </si>
  <si>
    <t>Using remote sensing and traditional ecological knowledge (TEK) to understand mangrove change on the Maroochy River, Queensland, Australia</t>
  </si>
  <si>
    <t>Ecosystem services; Traditional owners; Indigenous knowledge; Kabi Kabi; Gubbi Gubbi; Participatory mapping; Knowledge system</t>
  </si>
  <si>
    <t>DIFFERENCE WATER INDEX; SEA-LEVEL RISE; CLIMATE-CHANGE; ECOSYSTEM SERVICES; IMAGE-ANALYSIS; COVER CHANGES; FORESTS; ADAPTATION; COMMUNITY; FISHES</t>
  </si>
  <si>
    <t>Mangrove forests support a variety of ecosystem functions and services imperative for ecosystem health. Despite the importance of mangroves, however, mangrove forests worldwide are under threat from human development and climate change. To date, most research on mangrove change in Australia has drawn on approximately 40 years of remotely sensed imagery, a fraction of the time period required to assess spatial change. To improve our understanding of mangrove change, data were collected using historic and current remotely sensed satellite imagery and participatory mapping with Kabi Kabi Traditional Owners to assess mangrove change on the Maroochy River, Queensland, Australia. The results indicate that mangrove extent in the lower Maroochy River has changed significantly since European colonisation in the mid to late 1800s, and declined in recent decades by approximately 30%, a rate similar to global estimates of mangrove loss. Past drivers of change included land clearing for cattle grazing and sugar cane production, and present drivers include agricultural activities, population growth, rapid urbanisation and discharge of pollutants and sewage. These changes have consequences for coastal protection, water purification, biodiversity and cultural services. This research demonstrates how using traditional ecological knowledge (TEK) and remote sensing for understanding ecosystem change, particularly where scientific data are limited, can increase the time period during which change is assessed and enhance the detail and scope of the assessment.</t>
  </si>
  <si>
    <t>[Brown, Matthew I.; Pearce, Tristan; Leon, Javier; Sidle, Roy; Wilson, Rachele] Univ Sunshine Coast, Sustainabil Res Ctr, 90 Sippy Downs Dr, Sippy Downs, Qld 4558, Australia; [Brown, Matthew I.; Leon, Javier; Wilson, Rachele] Univ Sunshine Coast, Sch Sci &amp; Engn, 90 Sippy Downs Dr, Sippy Downs, Qld 4558, Australia; [Pearce, Tristan] Univ Guelph, Dept Geog, 50 Stone Rd East, Guelph, ON N1G 2W1, Canada</t>
  </si>
  <si>
    <t>University of the Sunshine Coast; University of the Sunshine Coast; University of Guelph</t>
  </si>
  <si>
    <t>Pearce, T (corresponding author), Univ Sunshine Coast, Sustainabil Res Ctr, 90 Sippy Downs Dr, Sippy Downs, Qld 4558, Australia.</t>
  </si>
  <si>
    <t>matthew.jm.brown@gmail.com; tpearce@usc.edu.au; jleon@usc.edu.au; rsidle@usc.edu.au; rwilson2@usc.edu.au</t>
  </si>
  <si>
    <t>Wilson, Rachele/GWU-7198-2022; Leon, Javier/J-3971-2012; Leon, Javier/J-3971-2012; Pearce, Tristan/L-9139-2019</t>
  </si>
  <si>
    <t>Wilson, Rachele/0000-0002-2567-3151; Leon, Javier/0000-0002-4201-5804; Leon, Javier/0000-0002-4201-5804;</t>
  </si>
  <si>
    <t>University of the Sunshine Coast Faculty of Science, Health, Education and Engineering; USC Vice Chancellor Research Award</t>
  </si>
  <si>
    <t>We acknowledge the Kabi Kabi peoples, and their Elders both past and present, who are the Traditional Owners and custodians of the Country on which this research was conducted. We thank the members and friends of Bunya Bunya Country Aboriginal Corporation (BBCAC) for generously contributing to this research, the participants who shared their knowledge and advice throughout the duration of this project. We would particularly like to thank Kerry Jones, Sean Fleischfresser, Rodney Jones, Arnold Jones and Genevieve Jones for their intellectual contributions. The research was funded by the University of the Sunshine Coast Faculty of Science, Health, Education and Engineering and a USC Vice Chancellor Research Award. Thank you Nearmap for the images used in this research and the Digital Globe Foundation for supplying QuickBird satellite imagery.</t>
  </si>
  <si>
    <t>THE BOULEVARD, LANGFORD LANE, KIDLINGTON, OXFORD OX5 1GB, OXON, ENGLAND</t>
  </si>
  <si>
    <t>0143-6228</t>
  </si>
  <si>
    <t>1873-7730</t>
  </si>
  <si>
    <t>APPL GEOGR</t>
  </si>
  <si>
    <t>Appl. Geogr.</t>
  </si>
  <si>
    <t>MAY</t>
  </si>
  <si>
    <t>10.1016/j.apgeog.2018.03.006</t>
  </si>
  <si>
    <t>Social Science Citation Index (SSCI)</t>
  </si>
  <si>
    <t>GF8PC</t>
  </si>
  <si>
    <t>WOS:000432233800006</t>
  </si>
  <si>
    <t>Lindegren, M; Van Deurs, M; MacKenzie, BR; Clausen, LW; Christensen, A; Rindorf, A</t>
  </si>
  <si>
    <t>Lindegren, Martin; Van Deurs, Mikael; MacKenzie, Brian R.; Clausen, Lotte Worsoe; Christensen, Asbjorn; Rindorf, Anna</t>
  </si>
  <si>
    <t>Productivity and recovery of forage fish under climate change and fishing: North Sea sandeel as a case study</t>
  </si>
  <si>
    <t>FISHERIES OCEANOGRAPHY</t>
  </si>
  <si>
    <t>climate change; fisheries management; modelling; population dynamics; recruitment</t>
  </si>
  <si>
    <t>AMMODYTES-MARINUS; POPULATION-DYNAMICS; LESSER SANDEEL; COPEPOD SIZE; REGIME SHIFT; ANCHOVY; ABUNDANCE; SARDINE; FLUCTUATIONS; RECRUITMENT</t>
  </si>
  <si>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</si>
  <si>
    <t>[Lindegren, Martin] Tech Univ Denmark, Ctr Ocean Life, Natl Inst Aquat Resources, Lyngby, Denmark; [Lindegren, Martin; Van Deurs, Mikael; MacKenzie, Brian R.; Clausen, Lotte Worsoe; Christensen, Asbjorn; Rindorf, Anna] Tech Univ Denmark, Natl Inst Aquat Resources, Lyngby, Denmark; [Clausen, Lotte Worsoe] ICES Secretariat, Copenhagen, Denmark</t>
  </si>
  <si>
    <t>Technical University of Denmark; Technical University of Denmark</t>
  </si>
  <si>
    <t>Lindegren, M (corresponding author), Tech Univ Denmark, Ctr Ocean Life, Natl Inst Aquat Resources, Lyngby, Denmark.;Lindegren, M (corresponding author), Tech Univ Denmark, Natl Inst Aquat Resources, Lyngby, Denmark.</t>
  </si>
  <si>
    <t>mli@aqua.dtu.dk</t>
  </si>
  <si>
    <t>; Rindorf, Anna/AAX-3463-2021; Christensen, Asbjørn/AAW-7042-2021; MacKenzie, Brian R/T-9379-2019; MacKenzie, Brian/T-9379-2019</t>
  </si>
  <si>
    <t>van Deurs, Mikael/0000-0003-2368-2502; Worsoe Clausen, Lotte/0000-0003-1503-6092; MacKenzie, Brian R/0000-0002-4798-0363; Christensen, Asbjørn/0000-0002-4286-7409; Rindorf, Anna/0000-0002-4290-3983; Lindegren, Martin/0000-0002-9185-951X</t>
  </si>
  <si>
    <t>COFASP ERA-NET [321553]; European Fisheries and Maritime Fund [33113-B-15-002]; Natural Environment Research Council [NE/I030062/1, SAH01001] Funding Source: researchfish; NERC [SAH01001, NE/I030062/1] Funding Source: UKRI</t>
  </si>
  <si>
    <t>COFASP ERA-NET; European Fisheries and Maritime Fund; Natural Environment Research Council(UK Research &amp; Innovation (UKRI)Natural Environment Research Council (NERC)); NERC(UK Research &amp; Innovation (UKRI)Natural Environment Research Council (NERC))</t>
  </si>
  <si>
    <t>COFASP ERA-NET, Grant/Award Number: 321553; European Fisheries and Maritime Fund, Grant/Award Number: 33113-B-15-002</t>
  </si>
  <si>
    <t>1054-6006</t>
  </si>
  <si>
    <t>1365-2419</t>
  </si>
  <si>
    <t>FISH OCEANOGR</t>
  </si>
  <si>
    <t>Fish Oceanogr.</t>
  </si>
  <si>
    <t>10.1111/fog.12246</t>
  </si>
  <si>
    <t>Fisheries; Oceanography</t>
  </si>
  <si>
    <t>GA5UX</t>
  </si>
  <si>
    <t>WOS:000428400500003</t>
  </si>
  <si>
    <t>Wang, XD; Kuang, FL; Tan, K; Ma, ZJ</t>
  </si>
  <si>
    <t>Wang, Xiaodan; Kuang, Fenliang; Tan, Kun; Ma, Zhijun</t>
  </si>
  <si>
    <t>Population trends, threats, and conservation recommendations for waterbirds in China</t>
  </si>
  <si>
    <t>AVIAN RESEARCH</t>
  </si>
  <si>
    <t>Conservation; Habitats; Population trend; Threatened species; Waterbirds; Wetlands; China</t>
  </si>
  <si>
    <t>ORGANOCHLORINE PESTICIDES OCPS; AROMATIC-HYDROCARBONS PAHS; IBIS NIPPONIA-NIPPON; HUMAN DISTURBANCE; CLIMATE-CHANGE; YELLOW SEA; YANGTZE-RIVER; LOWER REACHES; GRUS-MONACHA; DECLINES</t>
  </si>
  <si>
    <t>Background: China is one of the countries with abundant waterbird diversity. Over the past decades, China's waterbirds have suffered increasing threats from direct and indirect human activities. It is important to clarify the population trends of and threats to waterbirds as well as to put forward conservation recommendations. Methods: We collected data of population trends of a total of 260 waterbird species in China from Wetlands International database. We calculated the number of species with increasing, declining, stable, and unknown trends. We collected threatened levels of waterbirds from the Red List of China's Vertebrates (2016), which was compiled according to the IUCN criteria of threatened species. Based on literature review, we refined the major threats to the threatened waterbird species in China. Results: Of the total 260 waterbird species in China, 84 species (32.3%) exhibited declining, 35 species (13.5%) kept stable, and 16 species (6.2%) showed increasing trends. Population trends were unknown for 125 species (48.1%). There was no significant difference in population trends between the migratory (32.4% decline) and resident (31.8% decline) species or among waterbirds distributed exclusively along coasts (28.6% decline), inland (36.6% decline), and both coasts and inland (32.5% decline). A total of 38 species (15.1% of the total) were listed as threatened species and 27 species (10.8% of the total) Near Threatened species. Habitat loss was the major threat to waterbirds, with 32 of the total 38 (84.2%) threatened species being affected. In addition, 73.7% (28 species), 71.1% (27 species), and 57.9% (22 species) of the threatened species were affected by human disturbance, environmental pollution, and illegal hunting, respectively. Conclusions: We propose recommendations for waterbird conservation, including (1) strengthening conservation of nature wetlands and restoration of degraded wetlands, (2) enhancing public awareness on waterbird conservation, (3) improving the enforcement of Wildlife Protection Law and cracking down on illegal hunting, (4) carrying out long-term waterbird surveys to clarify population dynamics, (5) restoring populations of highly-threatened species through artificial intervention, and (6) promoting international and regional exchanges and cooperation to share information in waterbirds and their conservation.</t>
  </si>
  <si>
    <t>[Wang, Xiaodan; Kuang, Fenliang; Tan, Kun; Ma, Zhijun] Fudan Univ, Key Lab Biodivers Sci &amp; Ecol Engn, Shanghai Inst Ecochongming SIEC, Minist Educ,Coastal Ecosyst Res Stn Yangtze River, Shanghai 200433, Peoples R China</t>
  </si>
  <si>
    <t>Fudan University</t>
  </si>
  <si>
    <t>Ma, ZJ (corresponding author), Fudan Univ, Key Lab Biodivers Sci &amp; Ecol Engn, Shanghai Inst Ecochongming SIEC, Minist Educ,Coastal Ecosyst Res Stn Yangtze River, Shanghai 200433, Peoples R China.</t>
  </si>
  <si>
    <t>zhijunm@fudan.edu.cn</t>
  </si>
  <si>
    <t>马, 志军/B-4650-2011; Ma, Zhijun/B-4650-2011</t>
  </si>
  <si>
    <t>马, 志军/0000-0001-7459-9448; Wang, Xiaodan/0000-0001-5714-0395</t>
  </si>
  <si>
    <t>National Natural Science Foundation of China [31572280, 31071939]</t>
  </si>
  <si>
    <t>National Natural Science Foundation of China(National Natural Science Foundation of China (NSFC))</t>
  </si>
  <si>
    <t>This study was financially supported by the National Natural Science Foundation of China (Grant Nos. 31572280 and 31071939).</t>
  </si>
  <si>
    <t>2053-7166</t>
  </si>
  <si>
    <t>AVIAN RES</t>
  </si>
  <si>
    <t>Avian Res.</t>
  </si>
  <si>
    <t>APR 28</t>
  </si>
  <si>
    <t>10.1186/s40657-018-0106-9</t>
  </si>
  <si>
    <t>Zoology</t>
  </si>
  <si>
    <t>GE3IY</t>
  </si>
  <si>
    <t>WOS:000431108200001</t>
  </si>
  <si>
    <t>Helms, JA; Woerner, CR; Fawzi, N; MacDonald, A; Juliansyah; Pohnan, E; Webb, K</t>
  </si>
  <si>
    <t>Helms, Jackson A.; Woerner, Christopher R.; Fawzi, Nurul, I; MacDonald, Andrew; Juliansyah; Pohnan, Erica; Webb, Kinari</t>
  </si>
  <si>
    <t>Rapid Response of Bird Communities to Small-Scale Reforestation in Indonesian Borneo</t>
  </si>
  <si>
    <t>TROPICAL CONSERVATION SCIENCE</t>
  </si>
  <si>
    <t>biodiversity hotspots; deforestation; ecological succession; fire; Imperata cylindrica; restoration ecology; species-area relationship</t>
  </si>
  <si>
    <t>RAIN-FOREST; DEFORESTATION; AFFORESTATION; BIODIVERSITY; AREA</t>
  </si>
  <si>
    <t>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t>
  </si>
  <si>
    <t>[Helms, Jackson A.] Michigan State Univ, WK Kellogg Biol Stn, 3700 E Gull Lake Dr, Hickory Corners, MI 49060 USA; [Helms, Jackson A.; Fawzi, Nurul, I; Juliansyah; Pohnan, Erica; Webb, Kinari] Alam Sehat Lestari, Sukadana, Kalimantan Bara, Indonesia; [MacDonald, Andrew] Univ Paul Sabatier, CNRS, Toulouse, France; [Webb, Kinari] Hlth Harmony, Portland, OR USA</t>
  </si>
  <si>
    <t>Michigan State University; Centre National de la Recherche Scientifique (CNRS); Universite de Toulouse; Universite Toulouse III - Paul Sabatier</t>
  </si>
  <si>
    <t>Helms, JA (corresponding author), Michigan State Univ, WK Kellogg Biol Stn, 3700 E Gull Lake Dr, Hickory Corners, MI 49060 USA.</t>
  </si>
  <si>
    <t>jacksonhelmsiv@gmail.com</t>
  </si>
  <si>
    <t>Helms, Jackson/J-5667-2019</t>
  </si>
  <si>
    <t>Health In Harmony; Arcus Foundation; Disney Conservation Fund; Ford Foundation; USAID; U.S. Fish and Wildlife Service; WWF</t>
  </si>
  <si>
    <t>Health In Harmony; Arcus Foundation; Disney Conservation Fund; Ford Foundation; USAID(United States Agency for International Development (USAID)); U.S. Fish and Wildlife Service(US Fish &amp; Wildlife Service); WWF</t>
  </si>
  <si>
    <t>The author(s) disclosed receipt of the following financial support for the research, authorship, and/or publication of this article: This project was conducted as part of a reforestation program by Yayasan Alam Sehat Lestari (ASRI), with financial assistance from Health In Harmony, the Arcus Foundation, Disney Conservation Fund, Ford Foundation, USAID, U.S. Fish and Wildlife Service, and WWF.</t>
  </si>
  <si>
    <t>SAGE PUBLICATIONS INC</t>
  </si>
  <si>
    <t>THOUSAND OAKS</t>
  </si>
  <si>
    <t>2455 TELLER RD, THOUSAND OAKS, CA 91320 USA</t>
  </si>
  <si>
    <t>1940-0829</t>
  </si>
  <si>
    <t>TROP CONSERV SCI</t>
  </si>
  <si>
    <t>Trop. Conserv. Sci.</t>
  </si>
  <si>
    <t>APR 18</t>
  </si>
  <si>
    <t>10.1177/1940082918769460</t>
  </si>
  <si>
    <t>Biodiversity Conservation</t>
  </si>
  <si>
    <t>Biodiversity &amp; Conservation</t>
  </si>
  <si>
    <t>GL8VZ</t>
  </si>
  <si>
    <t>Bronze</t>
  </si>
  <si>
    <t>WOS:000437507600001</t>
  </si>
  <si>
    <t>Duran, A; Shantz, AA; Burkepile, DE; Collado-Vides, L; Ferrer, VM; Palma, L; Ramos, A; González-Díaz, P</t>
  </si>
  <si>
    <t>Duran, A.; Shantz, A. A.; Burkepile, D. E.; Collado-Vides, L.; Ferrer, V. M.; Palma, L.; Ramos, A.; Gonzalez-Diaz, P.</t>
  </si>
  <si>
    <t>Fishing, pollution, climate change, and the long-term decline of coral reefs off Havana, Cuba</t>
  </si>
  <si>
    <t>BULLETIN OF MARINE SCIENCE</t>
  </si>
  <si>
    <t>GREAT-BARRIER-REEF; NUTRIENT ENRICHMENT; FLORIDA-KEYS; RECRUITMENT; MACROALGAE; ASSEMBLAGES; TEMPERATURE; VARIABILITY; SETTLEMENT; PATTERNS</t>
  </si>
  <si>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</si>
  <si>
    <t>[Duran, A.; Collado-Vides, L.; Palma, L.] Florida Int Univ, 11200 SW 8th St, Miami, FL 33199 USA; [Shantz, A. A.; Burkepile, D. E.] Univ Calif Santa Barbara, Dept Ecol Evolut &amp; Marine Biol, Santa Barbara, CA 93106 USA; [Burkepile, D. E.] Univ Calif Santa Barbara, Marine Sci Inst, Santa Barbara, CA 93106 USA; [Collado-Vides, L.] Florida Int Univ, Southeast Environm Res Ctr, 11200 SW 8th St, Miami, FL 33199 USA; [Ferrer, V. M.; Ramos, A.; Gonzalez-Diaz, P.] Univ Havana, Ctr Marine Res, 16th St,114,1st &amp; 3rd Ave, Havana, Cuba</t>
  </si>
  <si>
    <t>State University System of Florida; Florida International University; University of California System; University of California Santa Barbara; University of California System; University of California Santa Barbara; State University System of Florida; Florida International University; Universidad de la Habana</t>
  </si>
  <si>
    <t>Duran, A (corresponding author), Florida Int Univ, 11200 SW 8th St, Miami, FL 33199 USA.</t>
  </si>
  <si>
    <t>adurao23@fiu.edu</t>
  </si>
  <si>
    <t>Burkepile, Deron/F-2368-2013; Shantz, Andrew/NNG-3451-2025; Duran, Alain/AAN-3190-2020</t>
  </si>
  <si>
    <t>Collado Vides, Ligia/0000-0002-8842-8321; Duran, Alain/0000-0002-7847-6426; Shantz, Anew/0000-0001-5641-8914; Burkepile, Deron/0000-0002-0427-0484</t>
  </si>
  <si>
    <t>Kimberly Green Latin American and Caribbean Center; International Center for Tropical Botany</t>
  </si>
  <si>
    <t>We thank the two Florida International University funding sources of this project: the Kimberly Green Latin American and Caribbean Center and the International Center for Tropical Botany. We also thank the faculty and staff of the Center for Marine Research from University of Havana, Cuba, especially the diving center led by I Rodriguez. In addition, we are grateful for the advice and data contribution of P Alcolado-Prieto and H Salvat. This is the contribution #75 from the Marine Education and Research Center in the Institute for Water and Environment at Florida International University.</t>
  </si>
  <si>
    <t>ROSENSTIEL SCH MAR ATMOS SCI</t>
  </si>
  <si>
    <t>MIAMI</t>
  </si>
  <si>
    <t>4600 RICKENBACKER CAUSEWAY, MIAMI, FL 33149 USA</t>
  </si>
  <si>
    <t>0007-4977</t>
  </si>
  <si>
    <t>1553-6955</t>
  </si>
  <si>
    <t>B MAR SCI</t>
  </si>
  <si>
    <t>Bull. Mar. Sci.</t>
  </si>
  <si>
    <t>APR</t>
  </si>
  <si>
    <t>10.5343/bms.2017.1061</t>
  </si>
  <si>
    <t>GN4QO</t>
  </si>
  <si>
    <t>hybrid</t>
  </si>
  <si>
    <t>WOS:000439017000005</t>
  </si>
  <si>
    <t>Park, IW; Hooper, J; Flegal, JM; Jenerette, GD</t>
  </si>
  <si>
    <t>Park, Isaac W.; Hooper, Jennifer; Flegal, James M.; Jenerette, G. Darrel</t>
  </si>
  <si>
    <t>Impacts of climate, disturbance and topography on distribution of herbaceous cover in Southern California chaparral: Insights from a remote-sensing method</t>
  </si>
  <si>
    <t>DIVERSITY AND DISTRIBUTIONS</t>
  </si>
  <si>
    <t>Angeles National Forest; chaparral; invasion; normalized difference vegetation index; phenology; remote sensing</t>
  </si>
  <si>
    <t>LEAF-AREA INDEX; POSTFIRE RECOVERY; 4 DECADES; VEGETATION CONVERSION; SHORT-INTERVAL; UNITED-STATES; EXOTIC GRASS; FIRE; SHRUBLANDS; SUCCESSION</t>
  </si>
  <si>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</si>
  <si>
    <t>[Park, Isaac W.; Jenerette, G. Darrel] Univ Calif Riverside, Dept Bot &amp; Plant Sci, Riverside, CA 92521 USA; [Park, Isaac W.; Jenerette, G. Darrel] Univ Calif Riverside, Ctr Conservat Biol, Riverside, CA 92521 USA; [Hooper, Jennifer] US Forest Serv, USDA, Angeles Natl Forest, Arcadia, CA USA; [Flegal, James M.] Univ Calif Riverside, Dept Stat, Riverside, CA 92521 USA</t>
  </si>
  <si>
    <t>University of California System; University of California Riverside; University of California System; University of California Riverside; United States Department of Agriculture (USDA); United States Forest Service; University of California System; University of California Riverside</t>
  </si>
  <si>
    <t>Park, IW (corresponding author), Univ Calif Riverside, Dept Bot &amp; Plant Sci, Riverside, CA 92521 USA.</t>
  </si>
  <si>
    <t>park@lifesci.ucsb.edu</t>
  </si>
  <si>
    <t>Flegal, James/ABD-5545-2020</t>
  </si>
  <si>
    <t>Flegal, James/0000-0002-9960-8942; Park, Isaac/0000-0001-5539-1641; Jenerette, G Darrel/0000-0003-2387-7537</t>
  </si>
  <si>
    <t>US Forest Service [11-CS-11050100-031]; UC-Riverside</t>
  </si>
  <si>
    <t>US Forest Service(United States Department of Agriculture (USDA)United States Forest Service); UC-Riverside</t>
  </si>
  <si>
    <t>UC-Riverside; US Forest Service, Grant/Award Number: 11-CS-11050100-031</t>
  </si>
  <si>
    <t>1366-9516</t>
  </si>
  <si>
    <t>1472-4642</t>
  </si>
  <si>
    <t>DIVERS DISTRIB</t>
  </si>
  <si>
    <t>Divers. Distrib.</t>
  </si>
  <si>
    <t>10.1111/ddi.12693</t>
  </si>
  <si>
    <t>FZ0GP</t>
  </si>
  <si>
    <t>WOS:000427246300007</t>
  </si>
  <si>
    <t>Maharaj, RR; Lam, VWY; Pauly, D; Cheung, WWL</t>
  </si>
  <si>
    <t>Maharaj, Ravi R.; Lam, Vicky W. Y.; Pauly, Daniel; Cheung, William W. L.</t>
  </si>
  <si>
    <t>Regional variability in the sensitivity of Caribbean reef fish assemblages to ocean warming</t>
  </si>
  <si>
    <t>MARINE ECOLOGY PROGRESS SERIES</t>
  </si>
  <si>
    <t>Ocean climate; Coral reef; Fish community; Caribbean; Fisheries; Habitat; Ecosystem indicator</t>
  </si>
  <si>
    <t>MARINE PROTECTED AREAS; ECOSYSTEM-BASED MANAGEMENT; CORAL-REEF; CLIMATE-CHANGE; HABITAT COMPLEXITY; SPATIAL HETEROGENEITY; COMMUNITY STRUCTURE; FISHERIES CATCH; PHASE-SHIFTS; CONSERVATION</t>
  </si>
  <si>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</si>
  <si>
    <t>[Maharaj, Ravi R.; Lam, Vicky W. Y.; Cheung, William W. L.] Univ British Columbia, Inst Oceans &amp; Fisheries, Changing Ocean Res Unit, Vancouver, BC V6T 1Z4, Canada; [Pauly, Daniel] Univ British Columbia, Inst Oceans &amp; Fisheries, Sea Around Us, Vancouver, BC V6T 1Z4, Canada</t>
  </si>
  <si>
    <t>University of British Columbia; University of British Columbia</t>
  </si>
  <si>
    <t>Maharaj, RR (corresponding author), Univ British Columbia, Inst Oceans &amp; Fisheries, Changing Ocean Res Unit, Vancouver, BC V6T 1Z4, Canada.</t>
  </si>
  <si>
    <t>r.maharaj@oceans.ubc.ca</t>
  </si>
  <si>
    <t>; Cheung, William/F-5104-2013; Pauly, Daniel/AAY-2316-2021; Lam, Vicky/AAX-1684-2020</t>
  </si>
  <si>
    <t>Pauly, Daniel/0000-0003-3756-4793;</t>
  </si>
  <si>
    <t>Natural Sciences and Engineering Research Council of Canada; University of British Columbia; Sea Around Us; Nippon Foundation-UBC Nereus program; Wellcome Trust</t>
  </si>
  <si>
    <t>Natural Sciences and Engineering Research Council of Canada(Natural Sciences and Engineering Research Council of Canada (NSERC)CGIAR); University of British Columbia; Sea Around Us; Nippon Foundation-UBC Nereus program; Wellcome Trust(Wellcome Trust)</t>
  </si>
  <si>
    <t>R.R.M. and W.W.L.C acknowledge funding support from the Natural Sciences and Engineering Research Council of Canada and the University of British Columbia. D.P. is thankful for support by the Sea Around Us, itself supported by a number of philanthropic foundations. W.W.L.C. and V.W.Y.L. acknowledge funding support from the Nippon Foundation-UBC Nereus program and the Wellcome Trust.</t>
  </si>
  <si>
    <t>INTER-RESEARCH</t>
  </si>
  <si>
    <t>OLDENDORF LUHE</t>
  </si>
  <si>
    <t>NORDBUNTE 23, D-21385 OLDENDORF LUHE, GERMANY</t>
  </si>
  <si>
    <t>0171-8630</t>
  </si>
  <si>
    <t>1616-1599</t>
  </si>
  <si>
    <t>MAR ECOL PROG SER</t>
  </si>
  <si>
    <t>Mar. Ecol.-Prog. Ser.</t>
  </si>
  <si>
    <t>MAR 12</t>
  </si>
  <si>
    <t>10.3354/meps12462</t>
  </si>
  <si>
    <t>GB1NJ</t>
  </si>
  <si>
    <t>WOS:000428817200014</t>
  </si>
  <si>
    <t>Le Bris, A; Mills, KE; Wahle, RA; Chen, Y; Alexander, MA; Allyn, AJ; Schuetz, JG; Scott, JD; Pershing, AJ</t>
  </si>
  <si>
    <t>Le Bris, Arnault; Mills, Katherine E.; Wahle, Richard A.; Chen, Yong; Alexander, Michael A.; Allyn, Andrew J.; Schuetz, Justin G.; Scott, James D.; Pershing, Andrew J.</t>
  </si>
  <si>
    <t>Climate vulnerability and resilience in the most valuable North American fishery</t>
  </si>
  <si>
    <t>climate impacts; resilience; harvest strategies; population dynamics; American lobster</t>
  </si>
  <si>
    <t>LOBSTER HOMARUS-AMERICANUS; SPATIOTEMPORAL VARIABILITY; COASTAL WATERS; MAINE LOBSTER; BODY-SIZE; TEMPERATURE; ABUNDANCE; IMPACTS; GULF; MATURITY</t>
  </si>
  <si>
    <t>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t>
  </si>
  <si>
    <t>[Le Bris, Arnault; Mills, Katherine E.; Allyn, Andrew J.; Schuetz, Justin G.; Pershing, Andrew J.] Gulf Maine Res Inst, Portland, ME 04101 USA; [Wahle, Richard A.; Chen, Yong] Univ Maine, Sch Marine Sci, Orono, ME 04469 USA; [Alexander, Michael A.; Scott, James D.] NOAA, Earth Syst Res Lab, Boulder, CO 80305 USA; [Scott, James D.] Univ Colorado, Cooperat Inst Res Environm Sci, Boulder, CO 80309 USA; [Le Bris, Arnault] Mem Univ Newfoundland, Fisheries &amp; Marine Inst, Ctr Fisheries Ecosyst Res, St John, NF A1C 5R3, Canada</t>
  </si>
  <si>
    <t>Gulf of Maine Research Institute; University of Maine System; University of Maine Orono; National Oceanic Atmospheric Admin (NOAA) - USA; University of Colorado System; University of Colorado Boulder; Memorial University Newfoundland</t>
  </si>
  <si>
    <t>Le Bris, A (corresponding author), Gulf Maine Res Inst, Portland, ME 04101 USA.;Le Bris, A (corresponding author), Mem Univ Newfoundland, Fisheries &amp; Marine Inst, Ctr Fisheries Ecosyst Res, St John, NF A1C 5R3, Canada.</t>
  </si>
  <si>
    <t>arnault.lebris@mi.mun.ca</t>
  </si>
  <si>
    <t>; Wahle, Richard/AAI-3047-2020; Alexander, Michael/JBJ-7594-2023</t>
  </si>
  <si>
    <t>Mills, Katherine/0000-0001-6078-7747; Le Bris, Arnault/0000-0003-1958-3755; Allyn, Anew/0000-0002-1584-0198; Scott, James D/0000-0002-8709-8594</t>
  </si>
  <si>
    <t>National Science Foundation's Coastal SEES Program [OCE-1325484]; Directorate For Geosciences; Division Of Ocean Sciences [1325484] Funding Source: National Science Foundation</t>
  </si>
  <si>
    <t>National Science Foundation's Coastal SEES Program; Directorate For Geosciences; Division Of Ocean Sciences(National Science Foundation (NSF)NSF - Directorate for Geosciences (GEO))</t>
  </si>
  <si>
    <t>The authors thank Burton Shank, Carl Wilson, Curt Brown, and Andy Thomas, for helpful discussions; and Mike Fogarty and Jon Hare for their comments. This work was supported by the National Science Foundation's Coastal SEES Program Grant OCE-1325484 (to A.L.B., A.J.P., K.E.M., Y.C., R.A.W., M.A.A., and J.D.S.).</t>
  </si>
  <si>
    <t>NATL ACAD SCIENCES</t>
  </si>
  <si>
    <t>WASHINGTON</t>
  </si>
  <si>
    <t>2101 CONSTITUTION AVE NW, WASHINGTON, DC 20418 USA</t>
  </si>
  <si>
    <t>P NATL ACAD SCI USA</t>
  </si>
  <si>
    <t>Proc. Natl. Acad. Sci. U. S. A.</t>
  </si>
  <si>
    <t>FEB 20</t>
  </si>
  <si>
    <t>10.1073/pnas.1711122115</t>
  </si>
  <si>
    <t>FW7IJ</t>
  </si>
  <si>
    <t>WOS:000425495000061</t>
  </si>
  <si>
    <t>Chakona, G; Swartz, ER; Chakona, A</t>
  </si>
  <si>
    <t>Chakona, Gamuchirai; Swartz, Ernst R.; Chakona, Albert</t>
  </si>
  <si>
    <t>The status and distribution of a newly identified endemic galaxiid in the eastern Cape Fold Ecoregion, of South Africa</t>
  </si>
  <si>
    <t>AQUATIC CONSERVATION-MARINE AND FRESHWATER ECOSYSTEMS</t>
  </si>
  <si>
    <t>Africa; biodiversity hotspot; climate change; conservation; Galaxiidae; habitat degradation; non-native species; risk assessment; stream fish</t>
  </si>
  <si>
    <t>FRESH-WATER BIODIVERSITY; FLORISTIC REGION; CONSERVATION ASSESSMENT; PSEUDOBARBUS-SKELTONI; EVOLUTIONARY HISTORY; ECOLOGICAL IMPACTS; REGRESSION TREES; CLIMATE-CHANGE; BERG RIVER; CYPRINIDAE</t>
  </si>
  <si>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t>
  </si>
  <si>
    <t>[Chakona, Gamuchirai; Swartz, Ernst R.; Chakona, Albert] SAIAB, Private Bag 1015, ZA-6140 Grahamstown, South Africa; [Chakona, Gamuchirai] Rhodes Univ, Dept Ichthyol &amp; Fisheries Sci, Grahamstown, South Africa; [Chakona, Gamuchirai] Rhodes Univ, Dept Environm Sci, Grahamstown, South Africa</t>
  </si>
  <si>
    <t>National Research Foundation - South Africa; South African Institute for Aquatic Biodiversity; Rhodes University; Rhodes University</t>
  </si>
  <si>
    <t>Chakona, G (corresponding author), SAIAB, Private Bag 1015, ZA-6140 Grahamstown, South Africa.</t>
  </si>
  <si>
    <t>matarutseg@yahoo.com</t>
  </si>
  <si>
    <t>Chakona, Albert/M-4265-2017; Swartz, Ernst/C-5139-2009</t>
  </si>
  <si>
    <t>Chakona, Albert/0000-0001-6844-7501; Chakona, Gamuchirai/0000-0003-3784-8980;</t>
  </si>
  <si>
    <t>South African Institute for Aquatic Biodiversity (SAIAB); Rhodes University Margaret Smith bursary; DST/NRF Centre of Excellence for Invasion Biology through OLF Weyl's core team member grant</t>
  </si>
  <si>
    <t>South African Institute for Aquatic Biodiversity (SAIAB)(National Research Foundation - South Africa); Rhodes University Margaret Smith bursary; DST/NRF Centre of Excellence for Invasion Biology through OLF Weyl's core team member grant</t>
  </si>
  <si>
    <t>This work was part of GC's MSc research which was funded by the South African Institute for Aquatic Biodiversity (SAIAB), Rhodes University Margaret Smith bursary and the DST/NRF Centre of Excellence for Invasion Biology through OLF Weyl's core team member grant. Nkosinathi Mazungula, Bruce Ellender, Christine Coppinger, Tuuli Makinen and Roger Smith are thanked for assistance with fieldwork, and Wilbert Kadye for assistance with data collection and analysis. The authors acknowledge that opinions, findings and conclusions or recommendations expressed here are those of the authors and that the NRF accepts no liability whatsoever in this regard.</t>
  </si>
  <si>
    <t>1052-7613</t>
  </si>
  <si>
    <t>1099-0755</t>
  </si>
  <si>
    <t>AQUAT CONSERV</t>
  </si>
  <si>
    <t>Aquat. Conserv.-Mar. Freshw. Ecosyst.</t>
  </si>
  <si>
    <t>FEB</t>
  </si>
  <si>
    <t>10.1002/aqc.2850</t>
  </si>
  <si>
    <t>Environmental Sciences; Marine &amp; Freshwater Biology; Water Resources</t>
  </si>
  <si>
    <t>Environmental Sciences &amp; Ecology; Marine &amp; Freshwater Biology; Water Resources</t>
  </si>
  <si>
    <t>FW2GU</t>
  </si>
  <si>
    <t>WOS:000425121900007</t>
  </si>
  <si>
    <t>Kuczynski, L; Legendre, P; Grenouillet, G</t>
  </si>
  <si>
    <t>Kuczynski, Lucie; Legendre, Pierre; Grenouillet, Gael</t>
  </si>
  <si>
    <t>Concomitant impacts of climate change, fragmentation and non-native species have led to reorganization of fish communities since the 1980s</t>
  </si>
  <si>
    <t>alpha diversity; assemblage reorganization; beta diversity; community uniqueness; freshwater fish; global change; temporal changes</t>
  </si>
  <si>
    <t>LOW-HEAD DAMS; BIOTIC HOMOGENIZATION; BETA-DIVERSITY; MAJOR CAUSE; CONSEQUENCES; POPULATIONS; THREATS; SHIFTS; DISSIMILARITY; URBANIZATION</t>
  </si>
  <si>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</si>
  <si>
    <t>[Kuczynski, Lucie; Grenouillet, Gael] Univ Toulouse, CNRS, Lab Evolut &amp; Diversite Biol, ENFA,UPS, Toulouse, France; [Legendre, Pierre] Univ Montreal, Dept Sci Biol, Montreal, PQ, Canada; [Grenouillet, Gael] Inst Univ France, Paris, France</t>
  </si>
  <si>
    <t>Centre National de la Recherche Scientifique (CNRS); Universite Federale Toulouse Midi-Pyrenees (ComUE); Universite de Toulouse; Ecole Nationale Formation Agronomique (ENSFEA); Universite Toulouse III - Paul Sabatier; Universite de Montreal; Institut Universitaire de France</t>
  </si>
  <si>
    <t>Kuczynski, L (corresponding author), Lab Evolut &amp; Diversite Biol, 118 Route Narbonne, F-31062 Toulouse 9, France.</t>
  </si>
  <si>
    <t>lucie.kuczynski@hotmail.com</t>
  </si>
  <si>
    <t>Legendre, Pierre/U-9266-2019; Grenouillet, Gael/E-6518-2019; Legene, Pierre/C-8279-2013</t>
  </si>
  <si>
    <t>Grenouillet, Gaël/0000-0003-3588-3694; Legene, Pierre/0000-0002-3838-3305</t>
  </si>
  <si>
    <t>Investissement d'Avenir [ANR-10-LABX-0025, ANR-10-LABX-41]</t>
  </si>
  <si>
    <t>Investissement d'Avenir(Agence Nationale de la Recherche (ANR))</t>
  </si>
  <si>
    <t>Investissement d'Avenir, Grant/Award Number: ANR-10-LABX-0025 and ANR-10-LABX-41</t>
  </si>
  <si>
    <t>1466-822X</t>
  </si>
  <si>
    <t>1466-8238</t>
  </si>
  <si>
    <t>GLOBAL ECOL BIOGEOGR</t>
  </si>
  <si>
    <t>Glob. Ecol. Biogeogr.</t>
  </si>
  <si>
    <t>10.1111/geb.12690</t>
  </si>
  <si>
    <t>Environmental Sciences &amp; Ecology; Physical Geography</t>
  </si>
  <si>
    <t>FS9PN</t>
  </si>
  <si>
    <t>WOS:000422750700005</t>
  </si>
  <si>
    <t>Nicola, GG; Elvira, B; Jonsson, B; Ayllón, D; Almodóvar, A</t>
  </si>
  <si>
    <t>Nicola, Graciela G.; Elvira, Benigno; Jonsson, Bror; Ayllon, Daniel; Almodovar, Ana</t>
  </si>
  <si>
    <t>Local and global climatic drivers of Atlantic salmon decline in southern Europe</t>
  </si>
  <si>
    <t>FISHERIES RESEARCH</t>
  </si>
  <si>
    <t>Climate change; Flow alteration; Land-ocean temperature; Long-term abundance; Salmo salar</t>
  </si>
  <si>
    <t>LONG-TERM CHANGES; NORTH-ATLANTIC; SALAR L.; SEAWARD MIGRATION; LIFE-HISTORY; TEMPERATURE; GROWTH; SIZE; ABUNDANCE; TRENDS</t>
  </si>
  <si>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</si>
  <si>
    <t>[Nicola, Graciela G.] UCLM, Dept Environm Sci, Toledo 45071, Spain; [Elvira, Benigno; Ayllon, Daniel; Almodovar, Ana] Complutense Univ Madrid UCM, Dept Zool &amp; Phys Anthropol, Madrid 28040, Spain; [Jonsson, Bror] Norwegian Inst Nat Res, Landscape Ecol Dept, N-0349 Oslo, Norway</t>
  </si>
  <si>
    <t>Universidad de Castilla-La Mancha; Complutense University of Madrid; Norwegian Institute Nature Research</t>
  </si>
  <si>
    <t>Nicola, GG (corresponding author), UCLM, Fac Environm Sci &amp; Biochem, Dept Environm Sci, Toledo 45071, Spain.</t>
  </si>
  <si>
    <t>graciela.nicola@uclm.es; belvira@bio.ucm.es; bror.jonsson@nina.no; daniel.ayllon@bio.ucm.es; aalmodovar@bio.ucm.es</t>
  </si>
  <si>
    <t>Elvira, Benigno/A-9273-2009; G. Nicola, Graciela/ABE-5362-2021; Almodóvar, Ana/L-5400-2014; Ayllon, Daniel/K-6862-2019</t>
  </si>
  <si>
    <t>Elvira, Benigno/0000-0002-6127-5302; Almodóvar, Ana/0000-0003-1465-3857; Ayllon Fernandez, Daniel/0000-0001-7539-5287; , GRACIELA G NICOLA/0009-0009-0601-0609</t>
  </si>
  <si>
    <t>Spanish Ministry of Science and Innovation [CGL2012-36049]; Marie Curie Intraeuropean Fellowship [PIEF-GA-2012-329264]</t>
  </si>
  <si>
    <t>Spanish Ministry of Science and Innovation(Spanish GovernmentMinistry of Science &amp; Innovation, Spain (MICINN)); Marie Curie Intraeuropean Fellowship(European Union (EU))</t>
  </si>
  <si>
    <t>This study was funded by the Spanish Ministry of Science and Innovation through the research project CGL2012-36049. We acknowledge the E-OBS dataset from the EU-FP6 project ENSEMBLES (http://ensembles-eu.metoffice.com) and would like to thank the data providers in the ECA &amp; D project (http://www.ecad.eu). D. Ayllon was supported by a Marie Curie Intraeuropean Fellowship (PIEF-GA-2012-329264). We are very grateful to Enrique Sanchez for his advice on the selection and analysis of climate indicators.</t>
  </si>
  <si>
    <t>0165-7836</t>
  </si>
  <si>
    <t>1872-6763</t>
  </si>
  <si>
    <t>FISH RES</t>
  </si>
  <si>
    <t>Fish Res.</t>
  </si>
  <si>
    <t>10.1016/j.fishres.2017.10.012</t>
  </si>
  <si>
    <t>FN7JJ</t>
  </si>
  <si>
    <t>WOS:000416194200009</t>
  </si>
  <si>
    <t>Amano, T; Székely, T; Sandel, B; Nagy, S; Mundkur, T; Langendoen, T; Blanco, D; Soykan, CU; Sutherland, WJ</t>
  </si>
  <si>
    <t>Amano, Tatsuya; Szekely, Tamas; Sandel, Brody; Nagy, Szabolcs; Mundkur, Taej; Langendoen, Tom; Blanco, Daniel; Soykan, Candan U.; Sutherland, William J.</t>
  </si>
  <si>
    <t>Successful conservation of global waterbird populations depends on effective governance</t>
  </si>
  <si>
    <t>EXTINCTION RISK; COUNT DATA; DECLINES; BIRDS; BIODIVERSITY; CORRUPTION; FRAMEWORK; PATTERNS; WETLANDS; WINBUGS</t>
  </si>
  <si>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</si>
  <si>
    <t>[Amano, Tatsuya; Sutherland, William J.] Univ Cambridge, Dept Zool, Conservat Sci Grp, David Attenborough Bldg,Pembroke St, Cambridge CB2 3QZ, England; [Amano, Tatsuya] Univ Cambridge, Ctr Study Existential Risk, 16 Mill Lane, Cambridge CB2 1SG, England; [Szekely, Tamas] Univ Bath, Dept Biol &amp; Biochem, Milner Ctr Evolut, Bath BA2 7AY, Avon, England; [Szekely, Tamas] Univ Debrecen, Dept Evolutionary Zool, H-4010 Debrecen, Hungary; [Sandel, Brody] Santa Clara Univ, Dept Biol, 500 El Camino Real, Santa Clara, CA 95053 USA; [Nagy, Szabolcs; Mundkur, Taej; Langendoen, Tom] Wetlands Int Head Off, Horapk 9, NL-6717 LZ Ede, Netherlands; [Blanco, Daniel] Wetlands Int LAC Argentina Off, Capitan Gen Ramon Freire 1512, RA-1426 Buenos Aires, DF, Argentina; [Soykan, Candan U.] Natl Audubon Soc, Conservat Sci, 220 Montgomery St,Suite 1000, San Francisco, CA 94104 USA</t>
  </si>
  <si>
    <t>University of Cambridge; University of Cambridge; University of Bath; University of Debrecen; Santa Clara University</t>
  </si>
  <si>
    <t>Amano, T (corresponding author), Univ Cambridge, Dept Zool, Conservat Sci Grp, David Attenborough Bldg,Pembroke St, Cambridge CB2 3QZ, England.;Amano, T (corresponding author), Univ Cambridge, Ctr Study Existential Risk, 16 Mill Lane, Cambridge CB2 1SG, England.</t>
  </si>
  <si>
    <t>amatatsu830@gmail.com</t>
  </si>
  <si>
    <t>Nagy, Szabolcs/JZE-3966-2024; Sutherland, William/B-1291-2013; Amano, Tatsuya/E-7367-2010; Szekely, Tamas/I-7089-2016</t>
  </si>
  <si>
    <t>Amano, Tatsuya/0000-0001-6576-3410; Szekely, Tamas/0000-0003-2093-0056</t>
  </si>
  <si>
    <t>NATURE PORTFOLIO</t>
  </si>
  <si>
    <t>BERLIN</t>
  </si>
  <si>
    <t>HEIDELBERGER PLATZ 3, BERLIN, 14197, GERMANY</t>
  </si>
  <si>
    <t>JAN 11</t>
  </si>
  <si>
    <t>+</t>
  </si>
  <si>
    <t>10.1038/nature25139</t>
  </si>
  <si>
    <t>Science Citation Index Expanded (SCI-EXPANDED); Social Science Citation Index (SSCI)</t>
  </si>
  <si>
    <t>FS4WL</t>
  </si>
  <si>
    <t>WOS:000419794800035</t>
  </si>
  <si>
    <t>Qie, L; Lewis, SL; Sullivan, MJP; Lopez-Gonzalez, G; Pickavance, GC; Sunderland, T; Ashton, P; Hubau, W; Abu Salim, K; Aiba, S; Banin, LF; Berry, N; Brearley, FQ; Burslem, DFRP; Dancák, M; Davies, SJ; Fredriksson, G; Hamer, KC; Hédl, R; Kho, LK; Kitayama, K; Krisnawati, H; Lhota, S; Malhi, Y; Maycock, C; Metali, F; Mirmanto, E; Nagy, L; Nilus, R; Ong, R; Pendry, CA; Poulsen, AD; Primack, RB; Rutishauser, E; Samsoedin, I; Saragih, B; Sist, P; Slik, JWF; Sukri, RS; Svátek, M; Tan, S; Tjoa, A; van Nieuwstadt, M; Vernimmen, RRE; Yassir, I; Kidd, PS; Fitriadi, M; Ideris, NKH; Serudin, RM; Lim, LSA; Saparudin, MS; Phillips, OL</t>
  </si>
  <si>
    <t>Qie, Lan; Lewis, Simon L.; Sullivan, Martin J. P.; Lopez-Gonzalez, Gabriela; Pickavance, Georgia C.; Sunderland, Terry; Ashton, Peter; Hubau, Wannes; Abu Salim, Kamariah; Aiba, Shin-Ichiro; Banin, Lindsay F.; Berry, Nicholas; Brearley, Francis Q.; Burslem, David F. R. P.; Dancak, Martin; Davies, Stuart J.; Fredriksson, Gabriella; Hamer, Keith C.; Hedl, Radim; Kho, Lip Khoon; Kitayama, Kanehiro; Krisnawati, Haruni; Lhota, Stanislav; Malhi, Yadvinder; Maycock, Colin; Metali, Faizah; Mirmanto, Edi; Nagy, Laszlo; Nilus, Reuben; Ong, Robert; Pendry, Colin A.; Poulsen, Axel Dalberg; Primack, Richard B.; Rutishauser, Ervan; Samsoedin, Ismayadi; Saragih, Bernaulus; Sist, Plinio; Slik, J. W. Ferry; Sukri, Rahayu Sukmaria; Svatek, Martin; Tan, Sylvester; Tjoa, Aiyen; van Nieuwstadt, Mark; Vernimmen, Ronald R. E.; Yassir, Ishak; Susan Kidd, Petra; Fitriadi, Muhammad; Ideris, Nur Khalish Hafizhah; Serudin, Rafizah Mat; Lim, Layla Syaznie Abdullah; Saparudin, Muhammad Shahruney; Phillips, Oliver L.</t>
  </si>
  <si>
    <t>Long-term carbon sink in Borneo's forests halted by drought and vulnerable to edge effects</t>
  </si>
  <si>
    <t>TROPICAL FORESTS; RAIN-FOREST; SPECIES COMPOSITION; BIOMASS DYNAMICS; TREE MORTALITY; BALANCE; CO2; FRAGMENTATION; SENSITIVITY; DIVERSITY</t>
  </si>
  <si>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</si>
  <si>
    <t>[Qie, Lan; Lewis, Simon L.; Sullivan, Martin J. P.; Lopez-Gonzalez, Gabriela; Pickavance, Georgia C.; Hubau, Wannes; Banin, Lindsay F.; Berry, Nicholas; Phillips, Oliver L.] Univ Leeds, Sch Geog, Leeds LS2 9JT, W Yorkshire, England; [Qie, Lan] Imperial Coll London, Dept Life Sci, Silwood Pk Campus, Ascot SL5 7PY, Berks, England; [Lewis, Simon L.] UCL, Dept Geog, London WC1E 6BT, England; [Sunderland, Terry] Ctr Int Forestry Res, Bogor 16115, Barat, Indonesia; [Sunderland, Terry] James Cook Univ, Sch Environm &amp; Marine Sci, 1 James Cook Dr, Townsville, Qld 4811, Australia; [Ashton, Peter] Harvard Univ, Dept Organism &amp; Evolutionary Biol, 22 Divin Ave, Cambridge, MA 02138 USA; [Hubau, Wannes] Royal Museum Cent Africa, Lab Wood Biol &amp; Xylarium, Leuvensesteenweg 13, B-3080 Tervuren, Belgium; [Abu Salim, Kamariah; Metali, Faizah; Slik, J. W. Ferry; Sukri, Rahayu Sukmaria; Ideris, Nur Khalish Hafizhah; Serudin, Rafizah Mat; Lim, Layla Syaznie Abdullah; Saparudin, Muhammad Shahruney] Univ Brunei Darussalam, Fac Sci, Environm &amp; Life Sci Programme, Gadong BE1410, Brunei; [Aiba, Shin-Ichiro] Kagoshima Univ, Grad Sch Sci &amp; Engn, Kagoshima 8900065, Japan; [Banin, Lindsay F.] Ctr Ecol &amp; Hydrol, Penicuik EH26 0QB, Midlothian, Scotland; [Berry, Nicholas] Bioclimate, Thorn House,5 Rose St, Edinburgh EH2 2PR, Midlothian, Scotland; [Brearley, Francis Q.] Manchester Metropolitan Univ, Sch Sci &amp; Environm, Chester St, Manchester M1 5GD, Lancs, England; [Burslem, David F. R. P.] Univ Aberdeen, Sch Biol Sci, Cruickshank Bldg,St Machar Dr, Aberdeen AB24 3UU, Scotland; [Dancak, Martin] Palacky Univ Olomouc, Fac Sci, Dept Ecol &amp; Environm Sci, Slechtitelu 27, CZ-78371 Olomouc, Czech Republic; [Davies, Stuart J.] Smithsonian Trop Res Inst, Forest Global Earth Observ, Ctr Trop Forest Sci, Washington, DC 20013 USA; [Davies, Stuart J.] Nanyang Technol Univ, Asian Sch Environm, 50 Nanyang Ave, Singapore 639798, Singapore; [Fredriksson, Gabriella] Univ Amsterdam, Inst Biodivers &amp; Ecosystem Dynam, NL-1012 WX Amsterdam, Netherlands; [Fredriksson, Gabriella] Pro Nat Fdn, Jl Jend Sudirman 37, Balikpapan 76112, Indonesia; [Fredriksson, Gabriella] SOCP, Pan Eco, Jl Wahid Hasyim 51-74, Medan 20154, Indonesia; [Hamer, Keith C.] Univ Leeds, Sch Biol, Leeds LS2 9JT, W Yorkshire, England; [Hedl, Radim] Czech Acad Sci, Inst Bot, Dept Vegetat Ecol, Lidicka 25-27, CZ-60200 Brno, Czech Republic; [Hedl, Radim] Palacky Univ Olomouc, Fac Sci, Dept Bot, Slechtitelu 27, CZ-78371 Olomouc, Czech Republic; [Kho, Lip Khoon] Malaysian Palm Oil Board, Trop Peat Res Inst, Biol Res Div, Bangi 43000, Kajang, Malaysia; [Kitayama, Kanehiro] Kyoto Univ, Grad Sch Agr, Kyoto 6068502, Japan; [Krisnawati, Haruni; Samsoedin, Ismayadi] Minist Environm &amp; Forestry, Res Dev &amp; Innovat Agcy, Forest Res &amp; Dev Ctr, Jl Gunung Batu 5, Bogor 16610, Indonesia; [Lhota, Stanislav] Czech Univ Life Sci, Fac Trop Agrisci, Dept Anim Sci &amp; Food Proc, Kamycka 129, Prague 16500 6, Czech Republic; [Lhota, Stanislav] Usti Nad Labem Zoo, Drazdanska 23, Usti Nad Labem 40007, Czech Republic; [Malhi, Yadvinder] Univ Oxford, Environm Change Inst, Sch Geog &amp; Environm, Oxford OX1 3QY, England; [Maycock, Colin] Univ Malaysia Sabah, Fac Sci &amp; Nat Resources, Int Trop Forestry, Kota Kinabalu 88400, Malaysia; [Mirmanto, Edi] Indonesian Inst Sci, Res Ctr Biol, Jl Raya Jakarta Bogor KM 46, Cibinong 16911, Indonesia; [Nagy, Laszlo] Univ Estadual Campinas, BR-13083970 Campinas, SP, Brazil; [Nilus, Reuben; Ong, Robert] Forest Res Ctr, Sabah Forestry Dept, Mile 14 Jl, Sandakan 90000, Malaysia; [Pendry, Colin A.; Poulsen, Axel Dalberg] Royal Bot Garden Edinburgh, Edinburgh EH3 5LR, Midlothian, Scotland; [Primack, Richard B.] Boston Univ, Biol Dept, 5 Cummington Mall, Boston, MA 02215 USA; [Rutishauser, Ervan] Smithsonian Trop Res Inst, Balboa 03092, Ancon, Panama; [Rutishauser, Ervan] Carboforexpert, CH-1248 Hermance, Switzerland; [Saragih, Bernaulus] Mulawarman Univ, Fac Forestry, Samarinda 75123, Indonesia; [Sist, Plinio] CIRAD Univ, Forests &amp; Soc Res Unit, Campus Int Baillarguet,TA C-105-D, F-34398 Montpellier 5, France; [Svatek, Martin] Mendel Univ Brno, Fac Forestry &amp; Wood Technol, Dept Forest Bot Dendrol &amp; Geobiocoenol, Zemedelska 3, Brno 61300, Czech Republic; [Tan, Sylvester] CTFS ForestGEO Program, Miri 98000, Sarawak, Malaysia; [Tjoa, Aiyen] Tadulako Univ, Agr Fac, Jln Soekarno Hatta Km 09, Tondo 94118, Indonesia; [van Nieuwstadt, Mark] Univ Utrecht, Dompl 29, NL-3512 JE Utrecht, Netherlands; [Vernimmen, Ronald R. E.] Deltares, Boussinesqweg 1, NL-2629 HV Delft, Netherlands; [Yassir, Ishak] Minist Environm &amp; Forestry, Res Dev &amp; Innovat Agcy, Balitek KSDA, Jl Soekarno Hatta KM 38,RT 09, Samboja, Indonesia; [Susan Kidd, Petra] CSIC, IIAG, Santiago De Compostela 15705, Spain; [Fitriadi, Muhammad] Sungai Wain Protected Forest Management Unit, KM 23,Kel Karang Joang, Balikpapan 76101, Indonesia</t>
  </si>
  <si>
    <t>University of Leeds; Imperial College London; University of London; University College London; CGIAR; Center for International Forestry Research (CIFOR); James Cook University; Harvard University; Royal Museum for Central Africa; University Brunei Darussalam; Kagoshima University; UK Centre for Ecology &amp; Hydrology (UKCEH); Manchester Metropolitan University; University of Aberdeen; Palacky University Olomouc; Smithsonian Institution; Smithsonian Tropical Research Institute; Nanyang Technological University; University of Amsterdam; University of Leeds; Czech Academy of Sciences; Institute of Botany of the Czech Academy of Sciences; Palacky University Olomouc; Malaysian Palm Oil Board; Kyoto University; Ministry of Environment &amp; Forestry; Czech University of Life Sciences Prague; University of Oxford; Universiti Malaysia Sabah; Universiti Kebangsaan Malaysia; National Research &amp; Innovation Agency of Indonesia (BRIN); Universidade Estadual de Campinas; Pusat Penyelidikan Hutan; Boston University; Smithsonian Institution; Smithsonian Tropical Research Institute; Universitas Mulawarman; CIRAD; Mendel University in Brno; Universitas Tadulako; Utrecht University; Deltares; Ministry of Environment &amp; Forestry; Consejo Superior de Investigaciones Cientificas (CSIC); CSIC - Instituto de Investigaciones Agrobiologicas de Galicia (IIAG)</t>
  </si>
  <si>
    <t>Qie, L (corresponding author), Univ Leeds, Sch Geog, Leeds LS2 9JT, W Yorkshire, England.;Qie, L (corresponding author), Imperial Coll London, Dept Life Sci, Silwood Pk Campus, Ascot SL5 7PY, Berks, England.</t>
  </si>
  <si>
    <t>qie.lan@gmail.com</t>
  </si>
  <si>
    <t>Tjoa, A/AAL-5676-2020; Maycock, Colin/H-3556-2013; Sukri, Rahayu/AAJ-9640-2020; Lewis, Simon/I-9025-2012; Nagy, Laszlo/A-7689-2014; Metali, Faizah/F-5463-2014; Krisnawati, Haruni/R-5025-2019; Malhi, Yadvinder/I-4668-2012; Aiba, Shin-ichiro/A-3011-2010; Phillips, Oliver/A-1523-2011; Sunderland, Terence/AAE-7851-2019; Svátek, Martin/C-1890-2014; Hédl, Radim/A-5631-2011; Qie, Lan/B-8581-2011; Burslem, David/F-1204-2019; Sunderland, Terence/AAS-5080-2021; Rutishauser, Ervan/A-9076-2011; Kho, Lip/AAI-6639-2020; hubau, wannes/AAA-8502-2019; Dančák, Martin/AAB-9537-2019</t>
  </si>
  <si>
    <t>Kidd, Petra/0000-0002-1721-7367; Maycock, Colin/0000-0002-4368-2545; Lewis, Simon/0000-0002-8066-6851; Phillips, Oliver/0000-0002-8993-6168; Peny, Colin Alistair/0000-0002-7619-824X; Dančák, Martin/0000-0002-3851-4969; Vernimmen, Ronald/0000-0002-9899-3826; Lopez-Gonzalez, Gabriela/0000-0002-0814-8830; Svátek, Martin/0000-0003-2328-4627; Krisnawati, Haruni/0000-0002-2366-6230; Nagy, Laszlo/0009-0008-7792-1082; Tjoa, Aiyen/0000-0003-0583-9174; Burslem, David/0000-0001-6033-0990; Sunderland, Terence/0000-0002-1985-9849; Malhi, Yadvinder/0000-0002-3503-4783; Sukri, Rahayu Sukmaria/0000-0002-2662-399X; Sullivan, Martin/0000-0002-5955-0483; Metali, Faizah/0000-0002-2508-1535; Aiba, Shin-ichiro/0000-0002-3844-0138</t>
  </si>
  <si>
    <t>ERC; Indonesian Institute of Sciences (LIPI) (BUL plots); STREK project; CIRAD, The Ministry of Forestry of Indonesia; INHUTANI I (STR plots); ERC (T- FORCES); NERC [NER/A/S/2000/00532, NE/B503384/1, NE/N012542/1, NE/P00363X/1]; T- FORCES; CIFOR; Royal Society University Research Fellowship; Royal Society; NERC; RGS-IBG Henrietta Hutton grant; University of Brunei Darussalam; Czech Academy of Sciences [RVO 67985939]; Primate Conservation Inc.; Ministry of Education, Youth and Sports grant of the Czech Republic [INGO II LG15051]; Netherlands Foundation for the Advancement of Tropical Research (WOTRO) [W76-217]; Natural Environment Research Council [NE/N012542/1, NE/B503384/1, ceh020011, NE/M004848/1, NE/P004806/1, NE/P00363X/1] Funding Source: researchfish; NERC [NE/P00363X/1, ceh020011, NE/M004848/1, NE/P004806/1, NE/N012542/1] Funding Source: UKRI</t>
  </si>
  <si>
    <t>ERC(European Research Council (ERC)); Indonesian Institute of Sciences (LIPI) (BUL plots)(Ministry of Research and Technology of the Republic of Indonesia (RISTEK)); STREK project; CIRAD, The Ministry of Forestry of Indonesia; INHUTANI I (STR plots); ERC (T- FORCES)(European Research Council (ERC)); NERC(UK Research &amp; Innovation (UKRI)Natural Environment Research Council (NERC)); T- FORCES; CIFOR(CGIAR); Royal Society University Research Fellowship(Royal Society UK); Royal Society(Royal Society UK); NERC(UK Research &amp; Innovation (UKRI)Natural Environment Research Council (NERC)); RGS-IBG Henrietta Hutton grant; University of Brunei Darussalam; Czech Academy of Sciences(Czech Academy of Sciences); Primate Conservation Inc.; Ministry of Education, Youth and Sports grant of the Czech Republic; Netherlands Foundation for the Advancement of Tropical Research (WOTRO); Natural Environment Research Council(UK Research &amp; Innovation (UKRI)Natural Environment Research Council (NERC)); NERC(UK Research &amp; Innovation (UKRI)Natural Environment Research Council (NERC))</t>
  </si>
  <si>
    <t>This paper is a product of the T-FORCES forest monitoring network (Tropical Forests in the Changing Earth System), supported by an ERC Advanced Grant to O.L.P. and by many institutions, NGOs, government agencies and local communities in Malaysia, Brunei, and Indonesia. We are grateful for historical plot data contributed by the Center for Tropical Forest Science (CTFS; two LAM plots and one BEL plot), the Global Ecosystem Monitoring network (GEM; two LAM plots), Institute for Biodiversity and Environmental Research, Universiti Brunei Darussalam (Brunei plots), Kagoshima University (KIS and KIU plots), Forest Department Sarawak (BKO, LAM, MER and GMU plots), Forest Research Centre, Sabah Forestry Department (SEP plots), the Tropenbos Kalimantan project (ITCI plots), Project Barito Ulu, supported by Indonesian Institute of Sciences (LIPI) (BUL plots), and the STREK project, supported by CIRAD, The Ministry of Forestry of Indonesia, and INHUTANI I (STR plots). We are indebted to a great many individuals who contributed to historical data collection. Contemporary fieldwork was supported by a grant from the ERC (T- FORCES) and from NERC (grants NER/A/S/2000/00532, NE/B503384/1, NE/N012542/1). L.Q. was supported by T- FORCES, CIFOR and NERC NE/P00363X/1. S.L.L. was supported by a Royal Society University Research Fellowship, T- FORCES and a Phillip Leverhulme Prize. O.L.P. is supported by T- FORCES and a Royal Society Wolfson Research Merit Award. M.J.P.S. is supported by T- FORCES and NERC NE/N012542/1. L.F.B. was supported by a NERC studentship to the University of Leeds and a RGS-IBG Henrietta Hutton grant. R.H. was supported by a University of Brunei Darussalam Research Fellowship (2011) and a long-term research project RVO 67985939 from the Czech Academy of Sciences. S.L. received additional support from Primate Conservation Inc. M.S. was supported by a Ministry of Education, Youth and Sports grant of the Czech Republic INGO II LG15051. R.R.E.V. was supported by the Netherlands Foundation for the Advancement of Tropical Research (WOTRO, grant No. W76-217). We thank Forest Department Sarawak, Sabah Biodiversity Centre, Sabah Forestry Department, Forest Department Brunei, Institute for Biodiversity and Environmental Research, University of Brunei Darussalam and Indonesia Ministry of Research, Technology, and Higher Education for research permissions. We thank Bako National Park, Lambir Hills National Park, Gunung Mulu National Park, Kuala Belalong Field Study Centre (KBFSC), Glen Reynolds (SEARRP), Danum Valley Conservation Area, Rainforest Discovery Centre Sepilok, Sepilok Laut Reception Centre, Borneo Orangutan Survival Foundation (BOSF), Sungai Wain Protection Forest Management Unit, WWF East Kalimantan and PT. ITCIKU East Kalimantan for logistical support for fieldwork. We thank Timothy Baker, Roel Brienen, Emanuel Gloor, Adriane Esquivel Muelbert and Nicolas Labriere for comments on the manuscript. We thank our deceased colleagues, John Proctor and Suriantata, for their invaluable contributions to both historical work and our wider understanding of tropical forest ecology.</t>
  </si>
  <si>
    <t>NAT COMMUN</t>
  </si>
  <si>
    <t>Nat. Commun.</t>
  </si>
  <si>
    <t>DEC 19</t>
  </si>
  <si>
    <t>10.1038/s41467-017-01997-0</t>
  </si>
  <si>
    <t>FQ4NK</t>
  </si>
  <si>
    <t>Green Accepted, Green Submitted, gold</t>
  </si>
  <si>
    <t>WOS:000418334200001</t>
  </si>
  <si>
    <t>Zisenis, M</t>
  </si>
  <si>
    <t>Zisenis, Marcus</t>
  </si>
  <si>
    <t>Is the Natura 2000 network of the European Union the key land use policy tool for preserving Europe's biodiversity heritage?</t>
  </si>
  <si>
    <t>Ecosystem approach; EU Biodiversity Strategy; EU land use policy; Landscape connectivity; Participation; Protected areas</t>
  </si>
  <si>
    <t>PROTECTED AREAS; CLIMATE-CHANGE; CONSERVATION; BIRDS; MANAGEMENT; BEETLES; SEA</t>
  </si>
  <si>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</si>
  <si>
    <t>[Zisenis, Marcus] Eisenacher Str 54, D-10823 Berlin, Germany</t>
  </si>
  <si>
    <t>Zisenis, M (corresponding author), Eisenacher Str 54, D-10823 Berlin, Germany.</t>
  </si>
  <si>
    <t>marcus.zisenis@alumni.tu-berlin.de</t>
  </si>
  <si>
    <t>1873-5754</t>
  </si>
  <si>
    <t>Land Use Pol.</t>
  </si>
  <si>
    <t>DEC</t>
  </si>
  <si>
    <t>10.1016/j.landusepol.2017.09.045</t>
  </si>
  <si>
    <t>FM3CF</t>
  </si>
  <si>
    <t>WOS:000414881200040</t>
  </si>
  <si>
    <t>Lichtenberg, EM; Kennedy, CM; Kremen, C; Batáry, P; Berendse, F; Bommarco, R; Bosque-Pérez, NA; Carvalheiro, LG; Snyder, WE; Williams, NM; Winfree, R; Klatt, BK; Åström, S; Benjamin, F; Brittain, C; Chaplin-Kramer, R; Clough, Y; Danforth, B; Diekötter,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Rundlöf, M; Sardiñas, H; Saunders, ME; Schon, NL; Sciligo, AR; Sidhu, CS; Steffan-Dewenter, I; Tscharntke, T; Vesely, M; Weisser, WW; Wilson, JK; Crowder, DW</t>
  </si>
  <si>
    <t>Lichtenberg, Elinor M.; Kennedy, Christina M.; Kremen, Claire; Batary, Peter; Berendse, Frank; Bommarco, Riccardo; Bosque-Perez, Nilsa A.; Carvalheiro, Luisa G.; Snyder, William E.; Williams, Neal M.; Winfree, Rachael; Klatt, Bjoern K.; Astrom, Sandra; Benjamin, Faye; Brittain, Claire; Chaplin-Kramer, Rebecca; Clough, Yann; Danforth, Bryan; Diekoetter, Tim; Eigenbrode, Sanford D.; Ekroos, Johan; Elle, Elizabeth; Freitas, Breno M.; Fukuda, Yuki; Gaines-Day, Hannah R.; Grab, Heather; Gratton, Claudio; Holzschuh, Andrea; Isaacs, Rufus; Isaia, Marco; Jha, Shalene; Jonason, Dennis; Jones, Vincent P.; Klein, Alexandra-Maria; Krauss, Jochen; Letourneau, Deborah K.; Macfadyen, Sarina; Mallinger, Rachel E.; Martin, Emily A.; Martinez, Eliana; Memmott, Jane; Morandin, Lora; Neame, Lisa; Otieno, Mark; Park, Mia G.; Pfiffner, Lukas; Pocock, Michael J. O.; Ponce, Carlos; Potts, Simon G.; Poveda, Katja; Ramos, Mariangie; Rosenheim, Jay A.; Rundlof, Maj; Sardinas, Hillary; Saunders, Manu E.; Schon, Nicole L.; Sciligo, Amber R.; Sidhu, C. Sheena; Steffan-Dewenter, Ingolf; Tscharntke, Teja; Vesely, Milan; Weisser, Wolfgang W.; Wilson, Julianna K.; Crowder, David W.</t>
  </si>
  <si>
    <t>A global synthesis of the effects of diversified farming systems on arthropod diversity within fields and across agricultural landscapes</t>
  </si>
  <si>
    <t>agricultural management schemes; arthropod diversity; biodiversity; evenness; functional groups; landscape complexity; meta-analysis; organic farming; plant diversity</t>
  </si>
  <si>
    <t>ORGANIC AGRICULTURE; RESPONSE DIVERSITY; SPECIES RICHNESS; BIODIVERSITY; EVENNESS; INTENSIFICATION; CONSERVATION; METAANALYSIS; MANAGEMENT; PEST</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</si>
  <si>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</si>
  <si>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[Lichtenberg, Elinor M.; Snyder, William E.; Crowder, David W.] Washington State Univ, Dept Entomol, Pullman, WA 99164 USA; [Lichtenberg, Elinor M.] Univ Arizona, Dept Ecol &amp; Evolut Biol, Tucson, AZ 85721 USA; [Kennedy, Christina M.] Nature Conservancy, Global Lands Program, Ft Collins, CO USA; [Kremen, Claire; Sardinas, Hillary; Sciligo, Amber R.] Univ Calif Berkeley, Dept Environm Sci Policy &amp; Management, Berkeley, CA 94720 USA; [Batary, Peter; Klatt, Bjoern K.; Tscharntke, Teja] Univ Gottingen, Agroecol, Gottingen, Germany; [Berendse, Frank] Wageningen Univ, Nat Conservat &amp; Plant Ecol Grp, Wageningen, Netherlands; [Bommarco, Riccardo] Swedish Univ Agr Sci, Dept Ecol, Uppsala, Sweden; [Bosque-Perez, Nilsa A.; Eigenbrode, Sanford D.] Univ Idaho, Dept Entomol Plant Pathol &amp; Nematol, Moscow, ID 83843 USA; [Carvalheiro, Luisa G.] Univ Brasilia, Dept Ecol, Brasilia, DF, Brazil; [Carvalheiro, Luisa G.] Univ Lisbon, Ctr Ecol Evolut &amp; Environm Changes CE3C, Fac Ciencias, Lisbon, Portugal; [Williams, Neal M.; Brittain, Claire; Rosenheim, Jay A.] Univ Calif Davis, Dept Entomol &amp; Nematol, Davis, CA 95616 USA; [Winfree, Rachael; Benjamin, Faye] Rutgers State Univ, Dept Ecol Evolut &amp; Nat Resources, New Brunswick, NJ USA; [Klatt, Bjoern K.; Clough, Yann; Ekroos, Johan] Lund Univ, Ctr Environm &amp; Climate Res, Lund, Sweden; [Klatt, Bjoern K.; Rundlof, Maj] Lund Univ, Dept Biol, Lund, Sweden; [Astrom, Sandra] Norwegian Inst Nat Res NINA, Trondheim, Norway; [Chaplin-Kramer, Rebecca] Stanford Univ, Nat Capital Project, Stanford, CA 94305 USA; [Danforth, Bryan; Grab, Heather; Park, Mia G.; Poveda, Katja] Cornell Univ, Dept Entomol, Ithaca, NY 14853 USA; [Diekoetter, Tim] Univ Kiel, Dept Landscape Ecol, Kiel, Germany; [Elle, Elizabeth] Simon Fraser Univ, Dept Biol Sci, Burnaby, BC, Canada; [Freitas, Breno M.] Univ Fed Ceara, Dept Zootecnia, Fortaleza, CE, Brazil; [Fukuda, Yuki] Univ Otago, Ctr Study Agr Food &amp; Environm, Dunedin, New Zealand; [Gaines-Day, Hannah R.; Gratton, Claudio; Mallinger, Rachel E.] Univ Wisconsin, Dept Entomol, Madison, WI 53706 USA; [Holzschuh, Andrea; Krauss, Jochen; Martin, Emily A.; Steffan-Dewenter, Ingolf] Univ Wurzburg, Dept Anim Ecol &amp; Trop Biol, Biocenter, Wurzburg, Germany; [Isaacs, Rufus; Wilson, Julianna K.] Michigan State Univ, Dept Entomol, E Lansing, MI 48824 USA; [Isaia, Marco] Univ Torino, Dept Life Sci &amp; Syst Biol, Turin, Italy; [Jha, Shalene] Univ Texas Austin, Dept Integrat Biol, Austin, TX 78712 USA; [Jonason, Dennis] Stockholm Univ, Dept Phys Geog, Stockholm, Sweden; [Jones, Vincent P.] Washington State Univ, Ctr Tree Fruit Res &amp; Extens, Dept Entomol, Wenatchee, WA 98801 USA; [Klein, Alexandra-Maria] Univ Freiburg, Fac Environm &amp; Nat Resources, Nat Conservat &amp; Landscape Ecol, Freiburg, Germany; [Letourneau, Deborah K.] Univ Calif Santa Cruz, Dept Environm Studies, Santa Cruz, CA 95064 USA; [Macfadyen, Sarina] CSIRO, Acton, ACT, Australia; [Martinez, Eliana] Ctr Invest Obonuco, CORPOICA, Pasto, Colombia; [Memmott, Jane] Univ Bristol, Sch Biol Sci, Bristol, Avon, England; [Morandin, Lora] Pollinator Partnership Canada, Victoria, BC, Canada; [Neame, Lisa] Alberta Environm &amp; Parks, Reg Planning Branch, Edmonton, AB, Canada; [Otieno, Mark] Embu Univ Coll, Dept Agr Resource Management, Embu, Kenya; [Park, Mia G.] Univ North Dakota, Dept Humanities &amp; Integrated Studies, Grand Forks, ND 58201 USA; [Pfiffner, Lukas] Res Inst Organ Agr, Dept Crop Sci, Frick, Switzerland; [Pocock, Michael J. O.] NERC Ctr Ecol &amp; Hydrol, Wallingford, Oxon, England; [Ponce, Carlos] Museo Nacl Ciencias Nat, CSIC, Dept Evolutionary Ecol, Madrid, Spain; [Potts, Simon G.] Univ Reading, Sch Agr Policy &amp; Dev, Ctr Agrienvironm Res, Reading, Berks, England; [Ramos, Mariangie] Univ Puerto Rico, Dept Agr Technol, Utuado, PR USA; [Saunders, Manu E.] Charles Sturt Univ, Inst Land Water &amp; Soc, Albury, NSW, Australia; [Schon, Nicole L.] AgResearch, Lincoln Res Ctr, Christchurch, New Zealand; [Sidhu, C. Sheena] Univ Calif Cooperat Extens, Half Moon Bay, CA USA; [Vesely, Milan] Palacky Univ, Fac Sci, Dept Zool, Olomouc, Czech Republic; [Weisser, Wolfgang W.] Tech Univ Munich, Sch Life Sci Weihenstephan, Dept Ecol &amp; Ecosyst Management, Terrestrial Ecol Res Grp, Freising Weihenstephan, Germany</t>
  </si>
  <si>
    <t>Washington State University; University of Arizona; Nature Conservancy; University of California System; University of California Berkeley; University of Gottingen; Wageningen University &amp; Research; Swedish University of Agricultural Sciences; University of Idaho; Universidade de Brasilia; Universidade de Lisboa; University of California System; University of California Davis; Rutgers University System; Rutgers University New Brunswick; Lund University; Lund University; Norwegian Institute Nature Research; Stanford University; Cornell University; University of Kiel; Simon Fraser University; Universidade Federal do Ceara; University of Otago; University of Wisconsin System; University of Wisconsin Madison; University of Wurzburg; Michigan State University; University of Turin; University of Texas System; University of Texas Austin; Stockholm University; Washington State University; University of Freiburg; University of California System; University of California Santa Cruz; Commonwealth Scientific &amp; Industrial Research Organisation (CSIRO); Corporacion Colombiana de Investigacion Agropecuaria, AGROSAVIA; University of Bristol; University of North Dakota Grand Forks; UK Centre for Ecology &amp; Hydrology (UKCEH); Consejo Superior de Investigaciones Cientificas (CSIC); CSIC - Museo Nacional de Ciencias Naturales (MNCN); University of Reading; University of Puerto Rico; University of Puerto Rico at Utuado; Charles Sturt University; AgResearch - New Zealand; University of California System; Palacky University Olomouc; Technical University of Munich</t>
  </si>
  <si>
    <t>Lichtenberg, EM (corresponding author), Univ Texas Austin, Dept Integrat Biol, Austin, TX 78712 USA.</t>
  </si>
  <si>
    <t>elichten@utexas.edu</t>
  </si>
  <si>
    <t>; Isaacs, Rufus/AAF-4646-2019; Lichtenberg, Elinor/I-4126-2012; Freitas, Breno M/F-9509-2012; Schon, Nicole/E-5828-2011; Saunders, Manu/H-4246-2019; Klein, Alexandra/J-5871-2016; Martin, Emily/AAZ-3865-2021; Pocock, Michael/A-5632-2012; Holzschuh, Andrea/X-8989-2018; Klein, Alexana-Maria/J-5871-2016; Batary, Peter/A-2349-2008; Carvalheiro, Luisa/D-9414-2012; Kremen, Claire/AFP-5986-2022; Tscharntke, Teja/N-5123-2014; , Claudio/KRP-6122-2024; Macfadyen, Sarina/C-1511-2008; Letourneau, Deborah/G-3694-2011; Potts, Simon/C-7250-2008; Steffan-Dewenter, Ingolf/AFJ-8134-2022; ISAIA, Marco/I-1629-2015; Diekötter, Tim/L-2463-2016; Rosenheim, Jay/KGL-7578-2024; Krauss, Jochen/C-6216-2014; Bommarco, Riccardo/E-7109-2016; Isaia, Marco/I-1629-2015; Vesely, Milan/MNH-4492-2025; Freitas, Breno/F-9509-2012; Otieno, Mark/ADR-3648-2022; Weisser, Wolfgang/B-9718-2014; Rundlöf, Maj/C-1789-2014; Clough, Yann/B-9739-2014; Neame, Lisa/AAJ-9395-2021; Williams, Neal/AGF-7865-2022</t>
  </si>
  <si>
    <t>Holzschuh, Anea/0000-0002-5235-4746; Lichtenberg, Elinor/0000-0002-2729-4534; Carvalheiro, Luisa/0000-0001-7655-979X; Snyder, William/0000-0002-2747-3102; Freitas, Breno M/0000-0002-9932-2207; Gratton, Claudio/0000-0001-6262-9670; Brittain, Claire/0000-0003-1104-2946; Chaplin-Kramer, Rebecca/0000-0002-1539-5231; Klatt, Björn Kristian/0000-0001-8241-6445; Danforth, Bryan/0000-0002-6495-428X; Otieno, Mark/0000-0002-8509-3298; Berendse, Frank/0009-0005-0623-1517; Pocock, Michael/0000-0003-4375-0445; Eigenbrode, Sanford/0000-0003-0054-8511; Memmott, Jane/0000-0002-2113-2577; Klein, Alexana-Maria/0000-0003-2139-8575; Batary, Peter/0000-0002-1017-6996; Veselý, Milan/0000-0001-6315-8583; Schon, Nicole/0000-0002-8975-1382; Tscharntke, Teja/0000-0002-4482-3178; Crowder, David/0000-0002-3720-1581; Martínez Pachón, Eliana/0000-0002-5144-132X; Wilson, Julianna K/0000-0003-0807-5421; Potts, Simon/0000-0002-2045-980X; Diekötter, Tim/0000-0003-4838-793X; Steffan-Dewenter, Ingolf/0000-0003-1359-3944; ISAIA, Marco/0000-0001-5434-2127; Krauss, Jochen/0000-0003-2304-9117; Bommarco, Riccardo/0000-0001-8888-0476; Saunders, Manu/0000-0003-0645-8277; Martin, Emily/0000-0001-5785-9105; Weisser, Wolfgang/0000-0002-2757-8959; Kennedy, Christina/0000-0001-8902-8728; Rundlöf, Maj/0000-0003-3014-1544;</t>
  </si>
  <si>
    <t>National Institute of Food and Agriculture, U.S. Department of Agriculture [2014-51106-22096]; National Council for Scientific and Technological Development-CNPq [305062/2007-7]; Felix Trust; STEP [EC FP7 244090]</t>
  </si>
  <si>
    <t>National Institute of Food and Agriculture, U.S. Department of Agriculture(United States Department of Agriculture (USDA)); National Council for Scientific and Technological Development-CNPq(Conselho Nacional de Desenvolvimento Cientifico e Tecnologico (CNPQ)); Felix Trust; STEP</t>
  </si>
  <si>
    <t>National Institute of Food and Agriculture, U.S. Department of Agriculture, Grant/Award Number: 2014-51106-22096; National Council for Scientific and Technological Development-CNPq, Grant/Award Number: 305062/2007-7; Felix Trust; STEP Project, Grant/Award Number: EC FP7 244090</t>
  </si>
  <si>
    <t>1354-1013</t>
  </si>
  <si>
    <t>1365-2486</t>
  </si>
  <si>
    <t>GLOBAL CHANGE BIOL</t>
  </si>
  <si>
    <t>Glob. Change Biol.</t>
  </si>
  <si>
    <t>NOV</t>
  </si>
  <si>
    <t>10.1111/gcb.13714</t>
  </si>
  <si>
    <t>FI9JI</t>
  </si>
  <si>
    <t>WOS:000412322700041</t>
  </si>
  <si>
    <t>Mackey, B; Cadman, S; Rogers, N; Hugh, S</t>
  </si>
  <si>
    <t>Mackey, Brendan; Cadman, Sean; Rogers, Nicole; Hugh, Sonia</t>
  </si>
  <si>
    <t>Assessing the risk to the conservation status of temperate rainforest from exposure to mining, commercial logging, and climate change: A Tasmanian case study</t>
  </si>
  <si>
    <t>Protected areas; Temperate rainforest; Primary forest; Conservation status; World heritage; Climate change; Mining; Commercial logging; Governance; Land tenure; Intact forest blocks</t>
  </si>
  <si>
    <t>AMAZON DEFORESTATION; LANDSCAPE ECOLOGY; PROTECTED AREAS; FIRE; SEVERITY; WILDERNESS; MANAGEMENT; VEGETATION; FEEDBACKS; AUSTRALIA</t>
  </si>
  <si>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</si>
  <si>
    <t>[Mackey, Brendan; Hugh, Sonia] Griffith Univ, Griffith Climate Change Response Programme, Gold Coast Campus,Parklands Dr, Southport, Qld 4222, Australia; [Cadman, Sean] Cadman &amp; Norwood, Environm Consultancy, Canberra, ACT, Australia; [Rogers, Nicole] Southern Cross Univ, Sch Law &amp; Justice, Lismore, NSW, Australia</t>
  </si>
  <si>
    <t>Griffith University; Southern Cross University</t>
  </si>
  <si>
    <t>Mackey, B (corresponding author), Griffith Univ, Griffith Climate Change Response Programme, Gold Coast Campus,Parklands Dr, Southport, Qld 4222, Australia.</t>
  </si>
  <si>
    <t>b.mackey@griffith.edu.au</t>
  </si>
  <si>
    <t>; Mackey, Brendan/ABE-3805-2020</t>
  </si>
  <si>
    <t>Mackey, Brendan/0000-0003-1996-4064; Rogers, Nicole/0000-0002-9878-6077;</t>
  </si>
  <si>
    <t>1873-2917</t>
  </si>
  <si>
    <t>BIOL CONSERV</t>
  </si>
  <si>
    <t>Biol. Conserv.</t>
  </si>
  <si>
    <t>10.1016/j.biocon.2017.08.032</t>
  </si>
  <si>
    <t>FM3CX</t>
  </si>
  <si>
    <t>Green Submitted, hybrid</t>
  </si>
  <si>
    <t>WOS:000414883000003</t>
  </si>
  <si>
    <t>Scarpitta, AB; Bardat, J; Lalanne, A; Vellend, M</t>
  </si>
  <si>
    <t>Scarpitta, Antoine Becker; Bardat, Jacques; Lalanne, Arnault; Vellend, Mark</t>
  </si>
  <si>
    <t>Long-term community change: bryophytes are more responsive than vascular plants to nitrogen deposition and warming</t>
  </si>
  <si>
    <t>JOURNAL OF VEGETATION SCIENCE</t>
  </si>
  <si>
    <t>Bryophytes; Community ecology; Global changes; Legacy data; Long-term study; Multivariate analysis; Nitrogen deposition; Plant ecology; Temperate forest; Temporal changes; Vascular plants; Warming</t>
  </si>
  <si>
    <t>FOREST MANAGEMENT; INDICATOR VALUES; VEGETATION; DIVERSITY; BIODIVERSITY; ECOSYSTEM; ECOLOGY; ACIDIFICATION; GRADIENTS; RICHNESS</t>
  </si>
  <si>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</si>
  <si>
    <t>[Scarpitta, Antoine Becker; Vellend, Mark] Univ Sherbrooke, Fac Sci, Dept Biol, 2500 Blvd Univ, Sherbrooke, PQ J1K 2R1, Canada; [Bardat, Jacques] Museum Natl Hist Nat, OSEB UMR7205, CP 39,57 Rue Cuvier, F-75231 Paris 05, France; [Lalanne, Arnault] Univ Bretagne Occidentale, UFR Sci &amp; Tech, EA Geoarchitecture 2219, CS 93867, F-29238 Brest 3, France</t>
  </si>
  <si>
    <t>University of Sherbrooke; Museum National d'Histoire Naturelle (MNHN); Universite de Bretagne Occidentale</t>
  </si>
  <si>
    <t>Scarpitta, AB (corresponding author), Univ Sherbrooke, Fac Sci, Dept Biol, 2500 Blvd Univ, Sherbrooke, PQ J1K 2R1, Canada.</t>
  </si>
  <si>
    <t>antoine.becker.scarpitta@gmail.com; jacques.bardat@gmail.com; arnault.lalanne@developpement-durable.gouv.fr; mark.vellend@usherbrooke.ca</t>
  </si>
  <si>
    <t>; Vellend, Mark/ACZ-5811-2022; Becker-Scarpitta, Antoine/L-2610-2019</t>
  </si>
  <si>
    <t>Becker-Scarpitta, Antoine/0000-0001-9241-091X;</t>
  </si>
  <si>
    <t>Natural Sciences and Engineering Research Council of Canada</t>
  </si>
  <si>
    <t>Natural Sciences and Engineering Research Council of Canada(Natural Sciences and Engineering Research Council of Canada (NSERC)CGIAR)</t>
  </si>
  <si>
    <t>We thank the Office National des Forets for permission to conduct research in the Foret Domaniale de Brotonne, and Jean-Yves Massenet, Emmanuelle Porcher and the Museum National d'Histoire Naturelle de Paris for assistance during the early phases of this project. Three reviewers and the handling editor provided insightful comments and suggestions that greatly improved the paper. MV was supported by the Natural Sciences and Engineering Research Council of Canada. AL and ABS designed the study, JB and ABS collected data. ABS and MV led data analyses and writing of the manuscript, with input from all authors.</t>
  </si>
  <si>
    <t>1100-9233</t>
  </si>
  <si>
    <t>1654-1103</t>
  </si>
  <si>
    <t>J VEG SCI</t>
  </si>
  <si>
    <t>J. Veg. Sci.</t>
  </si>
  <si>
    <t>10.1111/jvs.12579</t>
  </si>
  <si>
    <t>Plant Sciences; Ecology; Forestry</t>
  </si>
  <si>
    <t>Plant Sciences; Environmental Sciences &amp; Ecology; Forestry</t>
  </si>
  <si>
    <t>FT5JI</t>
  </si>
  <si>
    <t>WOS:000423189400012</t>
  </si>
  <si>
    <t>Cleary, DFR</t>
  </si>
  <si>
    <t>Cleary, Daniel F. R.</t>
  </si>
  <si>
    <t>Linking fish species traits to environmental conditions in the Jakarta Bay-Pulau Seribu coral reef system</t>
  </si>
  <si>
    <t>Indonesia; Java; Ordination; RLQ</t>
  </si>
  <si>
    <t>CLIMATE-CHANGE; PHASE-SHIFTS; BEACH LITTER; INDONESIA; COMPLEX; RESILIENCE; ARCHIPELAGO; DISTURBANCE; HERBIVORY; VARIABLES</t>
  </si>
  <si>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</si>
  <si>
    <t>[Cleary, Daniel F. R.] Univ Aveiro, Dept Biol, CESAM, Campus Univ Santiago, P-3810193 Aveiro, Portugal</t>
  </si>
  <si>
    <t>Universidade de Aveiro</t>
  </si>
  <si>
    <t>Cleary, DFR (corresponding author), Univ Aveiro, Dept Biol, CESAM, Campus Univ Santiago, P-3810193 Aveiro, Portugal.</t>
  </si>
  <si>
    <t>cleary@ua.pt</t>
  </si>
  <si>
    <t>Cleary, Daniel/D-2582-2012; Cleary, Daniel/HLH-8491-2023</t>
  </si>
  <si>
    <t>Cleary, Daniel/0000-0002-6143-3390;</t>
  </si>
  <si>
    <t>Council for Earth and Life Sciences of Netherlands Organisation for Scientific Research (ALW-NWO) [852.000.50]</t>
  </si>
  <si>
    <t>Council for Earth and Life Sciences of Netherlands Organisation for Scientific Research (ALW-NWO)</t>
  </si>
  <si>
    <t>This publication is a result of the Thousand Islands Expedition, September 2005, organized by the Research Centre for Oceanography (PPO-LIPI, Jakarta, Indonesia) and Naturalis Biodiversity Center (Leiden, the Netherlands). The research by Naturalis was part of the project 'Climate change and Indonesian coral reef biotas' within the theme Biodiversity in Relation to Global Change' of the Council for Earth and Life Sciences of the Netherlands Organisation for Scientific Research (ALW-NWO grant 852.000.50). Thanks to LIPI Indonesia for granting research permits and the staff of PPO-LIPI for logistical support.</t>
  </si>
  <si>
    <t>SEP 15</t>
  </si>
  <si>
    <t>10.1016/j.marpolbul.2017.06.054</t>
  </si>
  <si>
    <t>FE2WC</t>
  </si>
  <si>
    <t>WOS:000408076900039</t>
  </si>
  <si>
    <t>Rosselli, L; Stiles, FG; Camargo, PA</t>
  </si>
  <si>
    <t>Rosselli, Loreta; Gary Stiles, F.; Camargo, Pedro A.</t>
  </si>
  <si>
    <t>Changes in the avifauna in a high Andean cloud forest in Colombia over a 24-year period</t>
  </si>
  <si>
    <t>JOURNAL OF FIELD ORNITHOLOGY</t>
  </si>
  <si>
    <t>elevational shift; global warming; species abundance; tropical mountains; vegetation change</t>
  </si>
  <si>
    <t>CLIMATE-CHANGE; EXTINCTIONS; IMPACTS; SHIFTS</t>
  </si>
  <si>
    <t>The upper altitude ecosystems of the Andes are among the most threatened by climate change. Computer models suggest that a large percentage of species in these ecosystems will be at risk of extinction and that avian communities will suffer disruption and impoverishment. Studies in other Andean countries lend some support to these predictions, but there are no quantitative data from Colombia appropriate to test these models. In 1991-1992, we conducted a bird survey in a high Andean cloud forest to gather information about the species present and their abundance. We attempted to replicate this earlier study 24yr later to detect any changes in the avifauna and determine possible causes for those changes. From June 2015 to May 2016, we made bimonthly trips to the study site and identified all birds detected either visually or by voice along a number of trails. We supplemented our observational data by also capturing birds in mist-nets. Community species richness and composition as well as the overall abundance of birds changed little from 1991-1992 to 2015-2016, but nearly 30% of bird species changed in abundance. Changes in the presence or abundance of nine or 10 species reflected upward shifts in elevational limits potentially due to climate change. However, most changes in abundance appeared to reflect changes in the vegetation of the study area due to successional changes in forest and subparamo habitats and a large number of relatively recent treefalls of old canopy trees with heavy epiphyte loads and subsequent changes in the understory vegetation. Our results suggest that the effects of climate change on the avifauna in our study area at a high-altitude site in Colombia are apparently occurring more slowly than predicted by recent computer models, although we conclude that the possible effects of climate change should definitely be considered in future studies. However, single-site studies such as ours have limitations in documenting elevation shifts; the most conclusive and quantitative evidence for elevational shifts comes from long-term studies conducted over a wide range of elevations. As such, we recommend establishment of such a monitoring program in Colombia because data obtained from such a program might be important in designing measures to mitigate the effects of climate change and conserve biodiversity.</t>
  </si>
  <si>
    <t>[Rosselli, Loreta; Camargo, Pedro A.] Univ Ciencias Aplicadas &amp; Ambientales UDCA, Calle 222 55-37, Bogota, Colombia; [Gary Stiles, F.; Camargo, Pedro A.] Univ Nacl Colombia, Inst &amp; Ciencias Nat, Carrera 45 26-85, Bogota, Colombia</t>
  </si>
  <si>
    <t>Universidad Nacional de Colombia</t>
  </si>
  <si>
    <t>Rosselli, L (corresponding author), Univ Ciencias Aplicadas &amp; Ambientales UDCA, Calle 222 55-37, Bogota, Colombia.</t>
  </si>
  <si>
    <t>lrosselli@udca.edu.co</t>
  </si>
  <si>
    <t>Universidad de Ciencias Aplicadas y Ambientales U.D.C.A.; Universidad Nacional de Colombia; Patrimonio Autonomo Fondo Nacional de Financiamiento para la Ciencia, la Tecnologia y la Innovacion, Francisco Jose de Caldas</t>
  </si>
  <si>
    <t>We are grateful to the Sistema de Parques Nacionales Naturales de Colombia for help with logistics, and field work, and for granting permits for the present study through Autorizacion de Recoleccion en Parques Nacionales Naturales No. 001 del 20 de octubre de 2014. The Empresa de Acueducto de Bogota helped with logistics in 1991-1992 and offered lodging in one of the field trips of the present study. For companionship and valuable help in the field, we thank F. Avellaneda, J. Candil, L. G. Linares, N. Moreno, R. Pulido, L. Tellez, and the students of the Universidad de Ciencias Aplicadas y Ambientales. C. Garzon-Sanabria helped with data organization. We thank G. Castaneda for his enthusiastic support in transportation in the field. A. Romero conducted the multitemporal land cover analysis and prepared Fig. 1 and Figs. S1 and S4; D. Stiles prepared Fig. 4. This project was funded by Universidad de Ciencias Aplicadas y Ambientales U.D.C.A., Universidad Nacional de Colombia, and resources from Patrimonio Autonomo Fondo Nacional de Financiamiento para la Ciencia, la Tecnologia y la Innovacion, Francisco Jose de Caldas. The manuscript benefitted from comments by G. Ritchison, G. Kattan, and two anonymous reviewers.</t>
  </si>
  <si>
    <t>0273-8570</t>
  </si>
  <si>
    <t>1557-9263</t>
  </si>
  <si>
    <t>J FIELD ORNITHOL</t>
  </si>
  <si>
    <t>J. Field Ornithol.</t>
  </si>
  <si>
    <t>10.1111/jofo.12204</t>
  </si>
  <si>
    <t>FH7DO</t>
  </si>
  <si>
    <t>WOS:000411343300001</t>
  </si>
  <si>
    <t>Brown, CJ; Jupiter, SD; Lin, HY; Albert, S; Klein, C; Maina, JM; Tulloch, VJD; Wenger, AS; Mumby, PJ</t>
  </si>
  <si>
    <t>Brown, Christopher J.; Jupiter, Stacy D.; Lin, Hsien-Yung; Albert, Simon; Klein, Carissa; Maina, Joseph M.; Tulloch, Vivitskaia J. D.; Wenger, Amelia S.; Mumby, Peter J.</t>
  </si>
  <si>
    <t>Habitat change mediates the response of coral reef fish populations to terrestrial run-off</t>
  </si>
  <si>
    <t>Coral reef fisheries; Integrated coastal management; Land-use change; Fiji; Trophic-cascade</t>
  </si>
  <si>
    <t>GREAT-BARRIER-REEF; WATER-QUALITY; STRUCTURAL COMPLEXITY; REGRESSION-ANALYSIS; TROPHIC CASCADES; MARINE RESERVES; ALGAL TURFS; COMMUNITIES; ASSEMBLAGES; FISHERIES</t>
  </si>
  <si>
    <t>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t>
  </si>
  <si>
    <t>[Brown, Christopher J.] Griffith Univ, Australian Rivers Inst, Nathan, Qld 4111, Australia; [Jupiter, Stacy D.] Wildlife Conservat Soc, Melanesia Program, 11 Maafu St, Suva, Fiji; [Lin, Hsien-Yung; Maina, Joseph M.; Tulloch, Vivitskaia J. D.] Univ Queensland, Sch Biol Sci, Ctr Biodivers &amp; Conservat Sci, St Lucia, Qld 4072, Australia; [Albert, Simon] Univ Queensland, Sch Civil Engn, St Lucia, Qld 4072, Australia; [Klein, Carissa; Wenger, Amelia S.] Univ Queensland, Sch Earth &amp; Environm Sci, St Lucia, Qld 4072, Australia; [Maina, Joseph M.] Macquarie Univ, Dept Environm Sci, Sydney, NSW 2109, Australia; [Mumby, Peter J.] Univ Queensland, Marine Spatial Ecol Lab, Sch Biol Sci, Goddard Bldg, St Lucia, Qld 4072, Australia</t>
  </si>
  <si>
    <t>Griffith University; University of Queensland; University of Queensland; University of Queensland; Macquarie University; University of Queensland</t>
  </si>
  <si>
    <t>Brown, CJ (corresponding author), Griffith Univ, Australian Rivers Inst, Nathan, Qld 4111, Australia.</t>
  </si>
  <si>
    <t>chris.brown@griffith.edu.au</t>
  </si>
  <si>
    <t>Klein, Carissa/F-1632-2011; Tullochh, Vivitskaia/G-1336-2013; Mumby, Peter/F-9914-2010; Mumby, Peter/LIH-2812-2024; Tulloch, Vivitskaia/G-1336-2013; Wenger, Amelia/S-9135-2019; Brown, Christopher/G-4287-2011; Maina, Joseph/KFR-6167-2024; klein, carissa/F-1632-2011; Lin, Hsien-Yung/H-2303-2013; Albert, Simon/I-1104-2012</t>
  </si>
  <si>
    <t>Albert, Simon/0000-0002-5947-7909; Wenger, Amelia/0000-0002-0433-6164; Jupiter, Stacy/0000-0001-9742-1677; Mumby, Peter/0000-0002-6297-9053; Tulloch, Vivitskaia/0000-0002-7673-3716; Maina, Joseph/0000-0003-1268-6137; Brown, Christopher/0000-0002-7271-4091; klein, carissa/0000-0002-6299-6451;</t>
  </si>
  <si>
    <t>Discovery Early Career Researcher Award from the Australian Research Council [DE160101207]; Science for Nature and People Partnership (SNAPP)</t>
  </si>
  <si>
    <t>Discovery Early Career Researcher Award from the Australian Research Council(Australian Research Council); Science for Nature and People Partnership (SNAPP)</t>
  </si>
  <si>
    <t>Funding for workshops to develop this paper was provided by the Science for Nature and People Partnership (SNAPP) to the Ridges to Reef Fisheries Working Group. SNAPP is a collaboration of The Nature Conservancy, the Wildlife Conservation Society and the National Center for Ecological Analysis and Synthesis (NCEAS). C.J.B. was supported in part by a Discovery Early Career Researcher Award (DE160101207) from the Australian Research Council.</t>
  </si>
  <si>
    <t>AUG 3</t>
  </si>
  <si>
    <t>10.3354/meps12221</t>
  </si>
  <si>
    <t>FD3PC</t>
  </si>
  <si>
    <t>WOS:000407443900005</t>
  </si>
  <si>
    <t>Gregory, SD; Nevoux, M; Riley, WD; Beaumont, WRC; Jeannot, N; Lauridsen, RB; Marchand, F; Scott, LJ; Roussel, JM</t>
  </si>
  <si>
    <t>Gregory, Stephen D.; Nevoux, Marie; Riley, William D.; Beaumont, William R. C.; Jeannot, Nicholas; Lauridsen, Rasmus B.; Marchand, Frederic; Scott, Luke J.; Roussel, Jean-Marc</t>
  </si>
  <si>
    <t>Patterns on a parr: Drivers of long-term salmon parr length in UK and French rivers depend on geographical scale</t>
  </si>
  <si>
    <t>Atlantic salmon; body size; climate change; density dependence; geographical scale</t>
  </si>
  <si>
    <t>JUVENILE ATLANTIC SALMON; BAYESIAN MODEL SELECTION; BROWN TROUT; WATER TEMPERATURE; DENSITY-DEPENDENCE; CLIMATE-CHANGE; BODY-SIZE; SALAR; GROWTH; TRUTTA</t>
  </si>
  <si>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</si>
  <si>
    <t>[Gregory, Stephen D.; Beaumont, William R. C.; Lauridsen, Rasmus B.; Scott, Luke J.] Game &amp; Wildlife Conservat Trust, Salmon &amp; Trout Res Ctr, FBA River Lab, Wareham, Dorset, England; [Gregory, Stephen D.; Nevoux, Marie; Roussel, Jean-Marc] Agrocampus Ouest, Ecol &amp; Ecosyst Hlth, INRA, ESE, Rennes, France; [Nevoux, Marie; Jeannot, Nicholas; Marchand, Frederic; Roussel, Jean-Marc] AFB, INRA, Pole Gest Aqua, Rennes, France; [Riley, William D.] Ctr Environm Fisheries &amp; Aquaculture Sci, Lowestoft, Suffolk, England; [Jeannot, Nicholas; Marchand, Frederic] INRA, Ecol &amp; Ecotoxicol Aquat U3E, Rennes, France</t>
  </si>
  <si>
    <t>INRAE; Institut Agro; Institut Agro Rennes-Angers; Universite de Rennes; Universite de Rennes; INRAE; Centre for Environment Fisheries &amp; Aquaculture Science; INRAE; Universite de Rennes</t>
  </si>
  <si>
    <t>Gregory, SD (corresponding author), Game &amp; Wildlife Conservat Trust, Salmon &amp; Trout Res Ctr, FBA River Lab, Wareham, Dorset, England.</t>
  </si>
  <si>
    <t>sgregory@gwct.org.uk</t>
  </si>
  <si>
    <t>; Gregory, Stephen/A-1471-2010; Roussel, Jean-Marc/HCH-2300-2022</t>
  </si>
  <si>
    <t>Frederic, MARCHAND/0000-0002-8380-579X; Roussel, Jean-Marc/0000-0002-6301-3234; Gregory, Stephen/0000-0002-8230-0191;</t>
  </si>
  <si>
    <t>European Union; U.K. Government's Department for Environment, Food and Rural Affairs (Defra) [SF0272]</t>
  </si>
  <si>
    <t>European Union(European Union (EU)); U.K. Government's Department for Environment, Food and Rural Affairs (Defra)(Department for Environment, Food &amp; Rural Affairs (DEFRA))</t>
  </si>
  <si>
    <t>European Union; U.K. Government's Department for Environment, Food and Rural Affairs (Defra), Grant/Award Number: SF0272</t>
  </si>
  <si>
    <t>0046-5070</t>
  </si>
  <si>
    <t>1365-2427</t>
  </si>
  <si>
    <t>FRESHWATER BIOL</t>
  </si>
  <si>
    <t>Freshw. Biol.</t>
  </si>
  <si>
    <t>10.1111/fwb.12929</t>
  </si>
  <si>
    <t>EX1YA</t>
  </si>
  <si>
    <t>WOS:000403021500001</t>
  </si>
  <si>
    <t>Liu, PL; Hao, L; Pan, C; Zhou, DC; Liu, YQ; Sun, G</t>
  </si>
  <si>
    <t>Liu, Peilong; Hao, Lu; Pan, Cen; Zhou, Decheng; Liu, Yongqiang; Sun, Ge</t>
  </si>
  <si>
    <t>Combined effects of climate and land management on watershed vegetation dynamics in an arid environment</t>
  </si>
  <si>
    <t>Climate change; Human activity; Leaf area index; Vegetation dynamics; Heihe River Basin</t>
  </si>
  <si>
    <t>LEAF-AREA INDEX; HEIHE RIVER-BASIN; TREND ANALYSIS; BOREAL FOREST; MODIS LAI; PRODUCTIVITY; MODEL; DEGRADATION; VARIABILITY; RAINFALL</t>
  </si>
  <si>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</si>
  <si>
    <t>[Liu, Peilong; Hao, Lu; Pan, Cen; Zhou, Decheng] Nanjing Univ Informat Sci &amp; Technol, Minist Educ KLME,Joint Int Res Lab Climate &amp; Envi, Collaborat Innovat Ctr Forecast &amp; Evaluat Meteoro, Jiangsu Key Lab Agr Meteorol,Key Lab Meteorol Dis, Nanjing 210044, Jiangsu, Peoples R China; [Liu, Yongqiang] US Forest Serv, Ctr Forest Disturbance Sci, Southern Res Stn, USDA, Athens, GA 30602 USA; [Sun, Ge] US Forest Serv, Eastern Forest Environm Threat Assessment Ctr, Southern Res Stn, USDA, Raleigh, NC 27606 USA</t>
  </si>
  <si>
    <t>Nanjing University of Information Science &amp; Technology; United States Department of Agriculture (USDA); United States Forest Service; United States Department of Agriculture (USDA); United States Forest Service</t>
  </si>
  <si>
    <t>Sun, G (corresponding author), US Forest Serv, Eastern Forest Environm Threat Assessment Ctr, Southern Res Stn, USDA, Raleigh, NC 27606 USA.</t>
  </si>
  <si>
    <t>gesun@fs.fed.us</t>
  </si>
  <si>
    <t>Zhou, Decheng/H-5583-2019; Liu, Yongqiang/J-2027-2012; Sun, Ge/ABF-6673-2020</t>
  </si>
  <si>
    <t>Zhou, Decheng/0000-0003-0947-0853; Sun, Ge/0000-0002-0159-1370;</t>
  </si>
  <si>
    <t>Natural Science Foundation of China [91425301, 41571026]; Southern Research Station, United States Department of Agriculture Forest Service</t>
  </si>
  <si>
    <t>Natural Science Foundation of China(National Natural Science Foundation of China (NSFC)); Southern Research Station, United States Department of Agriculture Forest Service</t>
  </si>
  <si>
    <t>This research was funded by the Natural Science Foundation of China (Grant No. 91425301 and 41571026). We appreciate the anonymous reviewers for their constructive comments and suggestions. We thank Beijing Normal University and the Cold and Arid Regions Science Data Center for sharing the climate and vegetation data. Partial support was also received from the Southern Research Station, United States Department of Agriculture Forest Service.</t>
  </si>
  <si>
    <t>ELSEVIER SCIENCE BV</t>
  </si>
  <si>
    <t>PO BOX 211, 1000 AE AMSTERDAM, NETHERLANDS</t>
  </si>
  <si>
    <t>1879-1026</t>
  </si>
  <si>
    <t>SCI TOTAL ENVIRON</t>
  </si>
  <si>
    <t>Sci. Total Environ.</t>
  </si>
  <si>
    <t>JUL 1</t>
  </si>
  <si>
    <t>10.1016/j.scitotenv.2017.02.210</t>
  </si>
  <si>
    <t>ES9AK</t>
  </si>
  <si>
    <t>WOS:000399848100008</t>
  </si>
  <si>
    <t>Guo, Q; Fu, BH; Shi, PL; Cudahy, T; Zhang, J; Xu, H</t>
  </si>
  <si>
    <t>Guo, Qiang; Fu, Bihong; Shi, Pilong; Cudahy, Thomas; Zhang, Jing; Xu, Huan</t>
  </si>
  <si>
    <t>Satellite Monitoring the Spatial-Temporal Dynamics of Desertification in Response to Climate Change and Human Activities across the Ordos Plateau, China</t>
  </si>
  <si>
    <t>REMOTE SENSING</t>
  </si>
  <si>
    <t>semi-arid area; climate change; human activities; desertification; Ordos Plateau; remote sensing</t>
  </si>
  <si>
    <t>NET PRIMARY PRODUCTION; INDUCED LAND DEGRADATION; HUMAN APPROPRIATION; NORTH CHINA; ECOLOGICAL RESTORATION; CALIBRATION; SCIENCE; RAINFALL; REGION; TREND</t>
  </si>
  <si>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</si>
  <si>
    <t>[Guo, Qiang; Fu, Bihong; Shi, Pilong; Zhang, Jing; Xu, Huan] Chinese Acad Sci, Inst Remote Sensing &amp; Digital Earth, Beijing 100094, Peoples R China; [Guo, Qiang; Xu, Huan] Univ Chinese Acad Sci, Beijing 100049, Peoples R China; [Cudahy, Thomas] Australian Resources Res Ctr, CSIRO Mineral Resources, 26 Dick Perry Ave, Kensington, NSW 6151, Australia</t>
  </si>
  <si>
    <t>Chinese Academy of Sciences; The Institute of Remote Sensing &amp; Digital Earth, CAS; Chinese Academy of Sciences; University of Chinese Academy of Sciences, CAS; Commonwealth Scientific &amp; Industrial Research Organisation (CSIRO); CSIRO Mineral Resources</t>
  </si>
  <si>
    <t>Fu, BH (corresponding author), Chinese Acad Sci, Inst Remote Sensing &amp; Digital Earth, Beijing 100094, Peoples R China.</t>
  </si>
  <si>
    <t>guoqiang@radi.ac.cn; fubh@radi.ac.cn; shipl@radi.ac.cn; thomas.cudahy@c3dmm.com; zhangjing2015@radi.ac.cn; xuhuan@radi.ac.cn</t>
  </si>
  <si>
    <t>Cudahy, Tom/0000-0002-8323-4544; 付, 碧宏/0000-0002-1715-6859; Guo, Qiang/0000-0002-8610-0269; Xu, Huan/0000-0001-7454-4287; Zhang, Jing/0000-0002-0959-7929</t>
  </si>
  <si>
    <t>CAS-CSIRO Cooperative Research Program [GJHZ1407]</t>
  </si>
  <si>
    <t>CAS-CSIRO Cooperative Research Program</t>
  </si>
  <si>
    <t>This work was supported by the CAS-CSIRO Cooperative Research Program (Grant No. GJHZ1407).</t>
  </si>
  <si>
    <t>MDPI</t>
  </si>
  <si>
    <t>BASEL</t>
  </si>
  <si>
    <t>ST ALBAN-ANLAGE 66, CH-4052 BASEL, SWITZERLAND</t>
  </si>
  <si>
    <t>2072-4292</t>
  </si>
  <si>
    <t>REMOTE SENS-BASEL</t>
  </si>
  <si>
    <t>Remote Sens.</t>
  </si>
  <si>
    <t>10.3390/rs9060525</t>
  </si>
  <si>
    <t>Environmental Sciences; Geosciences, Multidisciplinary; Remote Sensing; Imaging Science &amp; Photographic Technology</t>
  </si>
  <si>
    <t>Environmental Sciences &amp; Ecology; Geology; Remote Sensing; Imaging Science &amp; Photographic Technology</t>
  </si>
  <si>
    <t>EZ3PW</t>
  </si>
  <si>
    <t>WOS:000404623900016</t>
  </si>
  <si>
    <t>Vilmi, A; Alahuhta, J; Hjort, J; Kärnä, OM; Leinonen, K; Rocha, MP; Tolonen, KE; Tolonen, KT; Heino, J</t>
  </si>
  <si>
    <t>Vilmi, Annika; Alahuhta, Janne; Hjort, Jan; Karna, Olli-Matti; Leinonen, Kirsti; Rocha, Mariana Perez; Tolonen, Katri E.; Tolonen, Kimmo T.; Heino, Jani</t>
  </si>
  <si>
    <t>Geography of global change and species richness in the North</t>
  </si>
  <si>
    <t>ENVIRONMENTAL REVIEWS</t>
  </si>
  <si>
    <t>anthropogenic stress; Arctic; biodiversity; boreal; climate change; high latitudes</t>
  </si>
  <si>
    <t>FRESH-WATER ECOSYSTEMS; CLIMATE-CHANGE; MULTIPLE STRESSORS; BIODIVERSITY LOSS; PATTERNS; DIVERSITY; RESPONSES; THREATS; IMPACT; CONSEQUENCES</t>
  </si>
  <si>
    <t>Different components of global change (e.g., climate change, land use, pollution, and introduced species) continue to alter biodiversity worldwide. As northern regions are still relatively undisturbed and will likely face clear increases in temperature in the near-future, we examined the signs of biodiversity change due to anthropogenic stressors using a systematic review of previous studies. Our aim was to map where, in which way, and owing to which stressor biodiversity in northern regions has changed. We made a systematic literature search covering the years between 2000 and 2015 to obtain a comprehensive selection of recent research. As species richness was clearly the most commonly used indicator of biodiversity, we only concentrated on this aspect of biodiversity. We compared different biological groups, regions, and ecosystems. In the majority of the cases, anthropogenic stressors had decreased species richness, or had no effects on it, while increasing or multiple effects of stressors on species richness were less common. Freshwater ecosystems were most sensitive to anthropogenic stressors, as species richness often decreased owing to these stressors. The effects of land use on richness were covered relatively widely in the selected set of articles, but the effects of other components of global change on species richness require further attention. Despite the fact that pollution was not as commonly studied stressor as land use, it was the most harmful stressor type affecting species richness. Geographically, most studies were located in boreal Canada or Fennoscandia, while no studies were executed in vast circumpolar areas where the temperature rise has been greatest and the projected climate change is likely to be fast. Overall, we could find an alarmingly small set of studies that described the effects of actual anthropogenic stressors in real-life circumstances in northern high latitudes.</t>
  </si>
  <si>
    <t>[Vilmi, Annika; Leinonen, Kirsti; Rocha, Mariana Perez; Tolonen, Katri E.; Tolonen, Kimmo T.; Heino, Jani] Finnish Environm Inst, Nat Environm Ctr, Biodivers, Paavo Havaksen Tie 3, Oulu 90530, Finland; [Vilmi, Annika; Leinonen, Kirsti; Tolonen, Katri E.] Univ Oulu, Ecol Res Unit, Oulu, Finland; [Alahuhta, Janne; Hjort, Jan; Karna, Olli-Matti; Rocha, Mariana Perez] Univ Oulu, Geog Res Unit, Oulu, Finland</t>
  </si>
  <si>
    <t>Finnish Environment Institute; University of Oulu; University of Oulu</t>
  </si>
  <si>
    <t>Vilmi, A (corresponding author), Finnish Environm Inst, Nat Environm Ctr, Biodivers, Paavo Havaksen Tie 3, Oulu 90530, Finland.;Vilmi, A (corresponding author), Univ Oulu, Ecol Res Unit, Oulu, Finland.</t>
  </si>
  <si>
    <t>annika.vilmi@gmail.com</t>
  </si>
  <si>
    <t>Alahuhta, Janne/AAD-8143-2019; Tolonen, Kimmo/AAO-1282-2020; Rocha, Mariana/K-6929-2019; Heino, Jani/E-6342-2010</t>
  </si>
  <si>
    <t>Heino, Jani/0000-0003-1235-6613; Hjort, Jan/0000-0002-4521-2088</t>
  </si>
  <si>
    <t>Academy of Finland; Emil Aaltonen Foundation; Ministry of Education of Brazil and Science Without Borders; Maj and Tor Nessling Foundation</t>
  </si>
  <si>
    <t>Academy of Finland(Research Council of Finland); Emil Aaltonen Foundation; Ministry of Education of Brazil and Science Without Borders; Maj and Tor Nessling Foundation</t>
  </si>
  <si>
    <t>We thank Satu Maaria Karjalainen for constructive discussions, and two reviewers and the editor for valuable comments. We also acknowledge the Academy of Finland, Emil Aaltonen Foundation, Ministry of Education of Brazil and Science Without Borders, and Maj and Tor Nessling Foundation for financial support.</t>
  </si>
  <si>
    <t>CANADIAN SCIENCE PUBLISHING</t>
  </si>
  <si>
    <t>OTTAWA</t>
  </si>
  <si>
    <t>65 AURIGA DR, SUITE 203, OTTAWA, ON K2E 7W6, CANADA</t>
  </si>
  <si>
    <t>1208-6053</t>
  </si>
  <si>
    <t>ENVIRON REV</t>
  </si>
  <si>
    <t>Environ. Rev.</t>
  </si>
  <si>
    <t>10.1139/er-2016-0085</t>
  </si>
  <si>
    <t>EW2HS</t>
  </si>
  <si>
    <t>WOS:000402318000004</t>
  </si>
  <si>
    <t>Pilli, R; Grassi, G; Kurz, WA; Fiorese, G; Cescatti, A</t>
  </si>
  <si>
    <t>Pilli, Roberto; Grassi, Giacomo; Kurz, Werner A.; Fiorese, Giulia; Cescatti, Alessandro</t>
  </si>
  <si>
    <t>The European forest sector: past and future carbon budget and fluxes under different management scenarios</t>
  </si>
  <si>
    <t>BIOGEOSCIENCES</t>
  </si>
  <si>
    <t>CLIMATE-CHANGE; STOCK CHANGES; MODEL; IMPACTS; BOREAL; BIODIVERSITY; TEMPERATE; INVENTORY; DYNAMICS; CBM-CFS3</t>
  </si>
  <si>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</si>
  <si>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[Pilli, Roberto; Grassi, Giacomo; Fiorese, Giulia; Cescatti, Alessandro] European Commiss, Joint Res Ctr, Directorate Sustainable Resources Bioecon Unit D, Via E Fermi 2749, I-21027 Ispra, VA, Italy; [Kurz, Werner A.] Canadian Forest Serv, Nat Resources Canada, Victoria, BC V8Z 1M5, Canada</t>
  </si>
  <si>
    <t>European Commission Joint Research Centre; EC JRC ISPRA Site; Natural Resources Canada; Canadian Forest Service</t>
  </si>
  <si>
    <t>Pilli, R (corresponding author), European Commiss, Joint Res Ctr, Directorate Sustainable Resources Bioecon Unit D, Via E Fermi 2749, I-21027 Ispra, VA, Italy.</t>
  </si>
  <si>
    <t>roberto.pilli@ec.europa.eu</t>
  </si>
  <si>
    <t>Cescatti, Alessandro/ABE-6319-2020</t>
  </si>
  <si>
    <t>Cescatti, Alessano/0000-0002-2769-2591; Pilli, Roberto/0000-0003-4541-7056; Kurz, Werner/0000-0003-4576-7849</t>
  </si>
  <si>
    <t>JRC [31502, 070307/2009/539525/AA/C5]; DG CLIMA [31502, 070307/2009/539525/AA/C5]</t>
  </si>
  <si>
    <t>JRC(European Union (EU)European Commission Joint Research Centre); DG CLIMA</t>
  </si>
  <si>
    <t>This paper was prepared in the context of the contract no. 31502, administrative arrangement 070307/2009/539525/AA/C5 between JRC and DG CLIMA. Further information was collected in the context of the AA 071201/2011/611111/CLIMA.A2. The analysis performed for each country was generally based on publicly available data and on additional information collected at the country level, in collaboration with many colleagues and experts from each country. We especially thank our colleagues, Viorel Blujdea and Tibor Priwitzer, who provided useful comments and suggestions. We also thank all the reviewers and the editor for their critical and constructive comments.</t>
  </si>
  <si>
    <t>COPERNICUS GESELLSCHAFT MBH</t>
  </si>
  <si>
    <t>GOTTINGEN</t>
  </si>
  <si>
    <t>BAHNHOFSALLEE 1E, GOTTINGEN, 37081, GERMANY</t>
  </si>
  <si>
    <t>1726-4170</t>
  </si>
  <si>
    <t>1726-4189</t>
  </si>
  <si>
    <t>Biogeosciences</t>
  </si>
  <si>
    <t>MAY 11</t>
  </si>
  <si>
    <t>10.5194/bg-14-2387-2017</t>
  </si>
  <si>
    <t>Ecology; Geosciences, Multidisciplinary</t>
  </si>
  <si>
    <t>Environmental Sciences &amp; Ecology; Geology</t>
  </si>
  <si>
    <t>EU5WN</t>
  </si>
  <si>
    <t>WOS:000401104900001</t>
  </si>
  <si>
    <t>Wilting, HC; Schipper, AM; Bakkenes, M; Meijer, JR; Huijbregts, MAJ</t>
  </si>
  <si>
    <t>Wilting, Harry C.; Schipper, Aafke M.; Bakkenes, Michel; Meijer, Johan R.; Huijbregts, Mark A. J.</t>
  </si>
  <si>
    <t>Quantifying Biodiversity Losses Due to Human Consumption: A Global-Scale Footprint Analysis</t>
  </si>
  <si>
    <t>INPUT-OUTPUT DATABASE; INTERNATIONAL-TRADE; LAND-USE; TERRESTRIAL BIODIVERSITY; CLIMATE-CHANGE; IMPACTS; NATIONS; REQUIREMENTS; SCENARIOS; DRIVES</t>
  </si>
  <si>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</si>
  <si>
    <t>[Wilting, Harry C.; Schipper, Aafke M.; Bakkenes, Michel; Meijer, Johan R.; Huijbregts, Mark A. J.] PBL Netherlands Environm Assessment Agcy, POB 30314, NL-2500 GH The Hague, Netherlands; [Huijbregts, Mark A. J.] Radboud Univ Nijmegen, Inst Water &amp; Wetland Res, Dept Environm Sci, POB 9010, NL-6500 GL Nijmegen, Netherlands</t>
  </si>
  <si>
    <t>Radboud University Nijmegen</t>
  </si>
  <si>
    <t>Wilting, HC (corresponding author), PBL Netherlands Environm Assessment Agcy, POB 30314, NL-2500 GH The Hague, Netherlands.</t>
  </si>
  <si>
    <t>Harry.Wilting@pbl.nl</t>
  </si>
  <si>
    <t>; Huijbregts, Mark/B-8971-2011; Schipper, Aafke/C-2758-2011; Huijbregts, Mark/LSL-2248-2024</t>
  </si>
  <si>
    <t>Meijer, Johan/0000-0002-1219-7694; Huijbregts, Mark/0000-0002-7037-680X; Wilting, Harry/0000-0002-2330-8820; Schipper, Aafke/0000-0002-5667-0893</t>
  </si>
  <si>
    <t>AMER CHEMICAL SOC</t>
  </si>
  <si>
    <t>1155 16TH ST, NW, WASHINGTON, DC 20036 USA</t>
  </si>
  <si>
    <t>1520-5851</t>
  </si>
  <si>
    <t>ENVIRON SCI TECHNOL</t>
  </si>
  <si>
    <t>Environ. Sci. Technol.</t>
  </si>
  <si>
    <t>MAR 21</t>
  </si>
  <si>
    <t>10.1021/acs.est.6b05296</t>
  </si>
  <si>
    <t>Engineering; Environmental Sciences &amp; Ecology</t>
  </si>
  <si>
    <t>EP6HA</t>
  </si>
  <si>
    <t>WOS:000397477900021</t>
  </si>
  <si>
    <t>Ducatez, S; Shine, R</t>
  </si>
  <si>
    <t>Ducatez, Simon; Shine, Richard</t>
  </si>
  <si>
    <t>Drivers of Extinction Risk in Terrestrial Vertebrates</t>
  </si>
  <si>
    <t>Amphibians; birds; endangerment; invasive species; IUCN Red List; mammals; reptiles</t>
  </si>
  <si>
    <t>CLIMATE; DIVERSITY; MAMMALS; THREAT; LAND</t>
  </si>
  <si>
    <t>Rising rates of extinction create an urgent need to identify the mechanisms and drivers of endangerment. One critical question is whether major phylogenetic lineages are equally at risk to the same threats. We used the IUCN Red List classification to explore the effect of four major threatening processes (habitat alteration, invasive species, climate change and overexploitation) on 7,441 species in four terrestrial vertebrate classes. As expected, species rated as vulnerable to a higher number of threats were also at greater risk of extinction. However, this pattern differed strongly among classes. Notably, invasive species and climate change were strongly associated with increased risk of extinction in birds but not mammals. These large-scale differences might be artifacts of differing methodologies used by class specialists to classify species vulnerability; or might reflect biological differences. That ambiguity needs to be resolved, because it has strong implications for the assessment and amelioration of threatening processes.</t>
  </si>
  <si>
    <t>[Ducatez, Simon; Shine, Richard] Univ Sydney, Sch Biol Sci, Sydney, NSW 2006, Australia</t>
  </si>
  <si>
    <t>University of Sydney</t>
  </si>
  <si>
    <t>Ducatez, S (corresponding author), Univ Sydney, Sch Biol Sci, Sydney, NSW 2006, Australia.</t>
  </si>
  <si>
    <t>simon.ducatez@gmail.com</t>
  </si>
  <si>
    <t>Ducatez, Simon/AAA-5378-2020</t>
  </si>
  <si>
    <t>Ducatez, Simon/0000-0003-2865-4674</t>
  </si>
  <si>
    <t>Australian Research Council (ARC)</t>
  </si>
  <si>
    <t>Australian Research Council (ARC)(Australian Research Council)</t>
  </si>
  <si>
    <t>We thank the IUCN, and all the experts whose work has allowed the construction and open access to the IUCN Red List database. Our research was supported by the Australian Research Council (ARC).</t>
  </si>
  <si>
    <t>CONSERV LETT</t>
  </si>
  <si>
    <t>Conserv. Lett.</t>
  </si>
  <si>
    <t>MAR-APR</t>
  </si>
  <si>
    <t>10.1111/conl.12258</t>
  </si>
  <si>
    <t>ER1PC</t>
  </si>
  <si>
    <t>WOS:000398563500003</t>
  </si>
  <si>
    <t>Wang, Z; Deng, XZ; Song, W; Li, ZH; Chen, JC</t>
  </si>
  <si>
    <t>Wang, Zhan; Deng, Xiangzheng; Song, Wei; Li, Zhihui; Chen, Jiancheng</t>
  </si>
  <si>
    <t>What is the main cause of grassland degradation? A case study of grassland ecosystem service in the middle-south Inner Mongolia</t>
  </si>
  <si>
    <t>CATENA</t>
  </si>
  <si>
    <t>Ecosystem assessment; Ecosystem service; Inner Mongolia; Grassland; Human wellbeing</t>
  </si>
  <si>
    <t>LAND-USE CHANGE; SOIL PROPERTIES; COUPLED HUMAN; WIND EROSION; CHINA; LIVESTOCK; FARMLAND; PATTERNS</t>
  </si>
  <si>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</si>
  <si>
    <t>[Wang, Zhan; Deng, Xiangzheng; Song, Wei; Li, Zhihui] Chinese Acad Sci, Inst Geog Sci &amp; Nat Resources Res, Beijing 100101, Peoples R China; [Wang, Zhan; Chen, Jiancheng] Beijing Forestry Univ, Sch Econ &amp; Management, Beijing 100083, Peoples R China; [Wang, Zhan; Deng, Xiangzheng; Li, Zhihui] Chinese Acad Sci, Ctr Chinese Agr Policy, Beijing 100101, Peoples R China; [Deng, Xiangzheng; Li, Zhihui] Univ Chinese Acad Sci, Beijing 10049, Peoples R China</t>
  </si>
  <si>
    <t>Chinese Academy of Sciences; Institute of Geographic Sciences &amp; Natural Resources Research, CAS; Beijing Forestry University; Chinese Academy of Sciences; Chinese Academy of Sciences; University of Chinese Academy of Sciences, CAS</t>
  </si>
  <si>
    <t>Deng, XZ (corresponding author), Chinese Acad Sci, Inst Geog Sci &amp; Nat Resources Res, Beijing 100101, Peoples R China.</t>
  </si>
  <si>
    <t>wangz@igsnrr.ac.cn; dengxz.ccap@igsnrr.ac.cn; songw@igsnrr.ac.cn; lizh.12b@igsnrr.ac.cn; chenjc1963@163.com</t>
  </si>
  <si>
    <t>Deng, Xiangzheng/N-1335-2018; Wang, Zhan/Q-9994-2017; Song, Wei/E-8333-2018</t>
  </si>
  <si>
    <t>Wang, Zhan/0000-0002-7351-2731;</t>
  </si>
  <si>
    <t>P.R of China National Natural Science Funds for Distinguished Young Scholar [71225005]; National Key Research and Development Program of P.R. of China [2016YFA0602500]; National Key Programme for Developing Basic Science in P.R. of China [2012CB955700]; Key Project in the National Science &amp; Technology Pillar Program of P.R. of China [2013BAC03B00]; External Cooperation Program of the P.R. of Chinese Academy of Sciences [GJHZ1312]</t>
  </si>
  <si>
    <t>P.R of China National Natural Science Funds for Distinguished Young Scholar; National Key Research and Development Program of P.R. of China; National Key Programme for Developing Basic Science in P.R. of China; Key Project in the National Science &amp; Technology Pillar Program of P.R. of China; External Cooperation Program of the P.R. of Chinese Academy of Sciences</t>
  </si>
  <si>
    <t>This research was financially supported by the P.R of China National Natural Science Funds for Distinguished Young Scholar (grant no. 71225005), the National Key Research and Development Program of P.R. of China (Grant No. 2016YFA0602500), the National Key Programme for Developing Basic Science in P.R. of China (grant no. 2012CB955700), and data supported by the Key Project in the National Science &amp; Technology Pillar Program of P.R. of China (grant no. 2013BAC03B00), and the External Cooperation Program of the P.R. of Chinese Academy of Sciences (grant no. GJHZ1312).</t>
  </si>
  <si>
    <t>0341-8162</t>
  </si>
  <si>
    <t>1872-6887</t>
  </si>
  <si>
    <t>Catena</t>
  </si>
  <si>
    <t>MAR</t>
  </si>
  <si>
    <t>10.1016/j.catena.2016.11.014</t>
  </si>
  <si>
    <t>Geosciences, Multidisciplinary; Soil Science; Water Resources</t>
  </si>
  <si>
    <t>Geology; Agriculture; Water Resources</t>
  </si>
  <si>
    <t>EI7NX</t>
  </si>
  <si>
    <t>WOS:000392686000012</t>
  </si>
  <si>
    <t>Giblin, SM</t>
  </si>
  <si>
    <t>Giblin, Shawn M.</t>
  </si>
  <si>
    <t>Identifying and quantifying environmental thresholds for ecological shifts in a large semi-regulated river</t>
  </si>
  <si>
    <t>JOURNAL OF FRESHWATER ECOLOGY</t>
  </si>
  <si>
    <t>Aquatic macrophytes; fisheries guilds; trophic shifts; Mississippi River; total suspended solids; ecological shift; alternative stable state</t>
  </si>
  <si>
    <t>CARP CYPRINUS-CARPIO; UPPER MISSISSIPPI RIVER; SHALLOW EUTROPHIC LAKE; PIKE ESOX-LUCIUS; WATER-QUALITY; SUBMERGED MACROPHYTES; SEDIMENT RESUSPENSION; COMMUNITY STRUCTURE; AQUATIC VEGETATION; BENTHIVOROUS FISH</t>
  </si>
  <si>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</si>
  <si>
    <t>[Giblin, Shawn M.] Wisconsin Dept Nat Resources, La Crosse, WI 54601 USA</t>
  </si>
  <si>
    <t>Giblin, SM (corresponding author), Wisconsin Dept Nat Resources, La Crosse, WI 54601 USA.</t>
  </si>
  <si>
    <t>shawn.giblin@wisconsin.gov</t>
  </si>
  <si>
    <t>Upper Mississippi River Restoration</t>
  </si>
  <si>
    <t>Upper Mississippi River Restoration (additional project element)</t>
  </si>
  <si>
    <t>TAYLOR &amp; FRANCIS INC</t>
  </si>
  <si>
    <t>PHILADELPHIA</t>
  </si>
  <si>
    <t>530 WALNUT STREET, STE 850, PHILADELPHIA, PA 19106 USA</t>
  </si>
  <si>
    <t>0270-5060</t>
  </si>
  <si>
    <t>2156-6941</t>
  </si>
  <si>
    <t>J FRESHWATER ECOL</t>
  </si>
  <si>
    <t>J. Freshw. Ecol.</t>
  </si>
  <si>
    <t>10.1080/02705060.2017.1319431</t>
  </si>
  <si>
    <t>Ecology; Limnology</t>
  </si>
  <si>
    <t>EV4HM</t>
  </si>
  <si>
    <t>WOS:000401719600004</t>
  </si>
  <si>
    <t>Liu, X; Petitpierre, B; Broennimann, O; Li, XP; Guisan, A; Li, YM</t>
  </si>
  <si>
    <t>Liu, Xuan; Petitpierre, Blaise; Broennimann, Olivier; Li, Xianping; Guisan, Antoine; Li, Yiming</t>
  </si>
  <si>
    <t>Realized climatic niches are conserved along maximum temperatures among herpetofaunal invaders</t>
  </si>
  <si>
    <t>JOURNAL OF BIOGEOGRAPHY</t>
  </si>
  <si>
    <t>biological invasions; climate change; niche conservatism; niche limits; niche shift; realized climatic niche</t>
  </si>
  <si>
    <t>PREDICTING SPECIES DISTRIBUTIONS; NONNATIVE BIRDS; SHIFT; ECOLOGY; RANGES; DIVERSITY; INVASIONS; DYNAMICS; BIOGEOGRAPHY; PHYLOGENY</t>
  </si>
  <si>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</si>
  <si>
    <t>[Liu, Xuan; Li, Xianping; Li, Yiming] Chinese Acad Sci, Inst Zool, Key Lab Anim Ecol &amp; Conservat Biol, 1 Beichen West Rd, Beijing 100101, Peoples R China; [Petitpierre, Blaise; Broennimann, Olivier; Guisan, Antoine] Univ Lausanne, Dept Ecol &amp; Evolut, Biophore Bldg, CH-1015 Lausanne, Switzerland; [Li, Xianping] Univ Chinese Acad Sci, 19 Yuquan Rd, Beijing 100039, Peoples R China; [Guisan, Antoine] Univ Lausanne, Inst Earth Surface Dynam, Geopolis Bldg, CH-1015 Lausanne, Switzerland</t>
  </si>
  <si>
    <t>Chinese Academy of Sciences; Institute of Zoology, CAS; University of Lausanne; Chinese Academy of Sciences; University of Chinese Academy of Sciences, CAS; University of Lausanne</t>
  </si>
  <si>
    <t>Li, YM (corresponding author), Chinese Acad Sci, Inst Zool, Key Lab Anim Ecol &amp; Conservat Biol, 1 Beichen West Rd, Beijing 100101, Peoples R China.</t>
  </si>
  <si>
    <t>liym@ioz.ac.cn</t>
  </si>
  <si>
    <t>; Petitpierre, Blaise/JMC-4420-2023; Broennimann, Olivier/D-3495-2011; Guisan, Antoine/A-1057-2011; Liu, Xuan/AAF-3703-2020</t>
  </si>
  <si>
    <t>Li, Xianping/0000-0003-4892-5953; Brönnimann, Olivier/0000-0001-5394-4564; Broennimann, Olivier/0000-0001-9913-3695; Petitpierre, Blaise/0000-0002-3087-3422; Guisan, Antoine/0000-0002-3998-4815;</t>
  </si>
  <si>
    <t>National Science Foundation of China [31572284, 31530088]; Ministry of Science and Technology of China [2013FY110300]; Youth Innovation Promotion Association of Chinese Academy of Sciences [2015066]</t>
  </si>
  <si>
    <t>National Science Foundation of China(National Natural Science Foundation of China (NSFC)); Ministry of Science and Technology of China(Ministry of Science and Technology, China); Youth Innovation Promotion Association of Chinese Academy of Sciences</t>
  </si>
  <si>
    <t>We thank Zetian Liu and Shaofei Yan for assisting with the collection of data and F. Kraus for helpful suggestions on data collection. We greatly appreciate the constructive comments that Nicholas Gotelli, Francois Guilhaumon, Regan Early, Peter Linder and other anonymous referees provided for our manuscript. This research was supported by grants from the National Science Foundation of China (31572284 and 31530088), the Ministry of Science and Technology of China (2013FY110300) and the Youth Innovation Promotion Association of Chinese Academy of Sciences (2015066).</t>
  </si>
  <si>
    <t>0305-0270</t>
  </si>
  <si>
    <t>1365-2699</t>
  </si>
  <si>
    <t>J BIOGEOGR</t>
  </si>
  <si>
    <t>J. Biogeogr.</t>
  </si>
  <si>
    <t>JAN</t>
  </si>
  <si>
    <t>10.1111/jbi.12808</t>
  </si>
  <si>
    <t>EH7MK</t>
  </si>
  <si>
    <t>WOS:000391956900011</t>
  </si>
  <si>
    <t>Davies, JAC; Tipping, E; Whitmore, AP</t>
  </si>
  <si>
    <t>Davies, J. A. C.; Tipping, E.; Whitmore, A. P.</t>
  </si>
  <si>
    <t>150 years of macronutrient change in unfertilized UK ecosystems: Observations vs simulations</t>
  </si>
  <si>
    <t>Plant-soil processes; Biogeochemical cycles; Modelling; Land-use change; Atmospheric nitrogen deposition</t>
  </si>
  <si>
    <t>LONG-TERM EXPERIMENTS; SOIL ORGANIC-CARBON; PARK GRASS; NITROGEN; DEPOSITION; PHOSPHORUS; MATTER; RADIOCARBON; TURNOVER; TRENDS</t>
  </si>
  <si>
    <t>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t>
  </si>
  <si>
    <t>[Davies, J. A. C.] Univ Lancaster, Lancaster Environm Ctr, Lancaster LA1 4YQ, England; [Tipping, E.] Ctr Ecol &amp; Hydrol, Lib Ave, Lancaster LA1 4AP, England; [Whitmore, A. P.] Rothamsted Res, Harpenden AL5 2JQ, Herts, England</t>
  </si>
  <si>
    <t>Lancaster University; UK Centre for Ecology &amp; Hydrology (UKCEH); UK Research &amp; Innovation (UKRI); Biotechnology and Biological Sciences Research Council (BBSRC); Rothamsted Research</t>
  </si>
  <si>
    <t>Davies, JAC (corresponding author), Univ Lancaster, Lancaster Environm Ctr, Lancaster LA1 4YQ, England.</t>
  </si>
  <si>
    <t>j.davies4@lancaster.ac.uk</t>
  </si>
  <si>
    <t>; Whitmore, Andrew/B-5102-2008</t>
  </si>
  <si>
    <t>Whitmore, Anew/0000-0001-8984-1436; Davies, Jessica/0000-0001-9832-7412;</t>
  </si>
  <si>
    <t>UK Natural Environment Research Council Macronutrient Cycles Programme (LTLS project) [NE/J011533/1, NE/J011703/1, NE/J0011568/1]; Scottish Government; UK Biotechnology and Biological Sciences Research Council [BBS/E/C/00005189]; Lawes Agricultural Trust; NERC [ceh020008, NE/J011533/1, NE/J011568/1] Funding Source: UKRI; Biotechnology and Biological Sciences Research Council [BBS/E/C/00005189] Funding Source: researchfish; Natural Environment Research Council [NE/J011533/1, NE/J011703/1, ceh020008] Funding Source: researchfish</t>
  </si>
  <si>
    <t>UK Natural Environment Research Council Macronutrient Cycles Programme (LTLS project); Scottish Government; UK Biotechnology and Biological Sciences Research Council(UK Research &amp; Innovation (UKRI)Biotechnology and Biological Sciences Research Council (BBSRC)); Lawes Agricultural Trust; NERC(UK Research &amp; Innovation (UKRI)Natural Environment Research Council (NERC)); Biotechnology and Biological Sciences Research Council(UK Research &amp; Innovation (UKRI)Biotechnology and Biological Sciences Research Council (BBSRC)); Natural Environment Research Council(UK Research &amp; Innovation (UKRI)Natural Environment Research Council (NERC))</t>
  </si>
  <si>
    <t>This research was funded by the UK Natural Environment Research Council Macronutrient Cycles Programme (LTLS project, Grant nos. NE/J011533/1, NE/J011703/1 and NE/J0011568/1), and the Scottish Government. We thank T. Dore and M. Vieno (Centre of Ecology and Hydrology) for provision of deposition data, and the Lawes Agricultural Trust and Rothamsted Research for data from the e-RA database. The Rothamsted Long-term Experiments National Capability (LTE-NCG) is supported by the UK Biotechnology and Biological Sciences Research Council (BBS/E/C/00005189) and the Lawes Agricultural Trust. We also thank Andy Macdonald, Margaret Glendining and Paul Poulton for their helpful advice and comments. The Rothamsted experimental data is available from the Electronic Rothamsted Archive (e-RA) www.era.rothamsted.ac.uk and model data can be requested from the author (Jessica Davies, j.davies4@lancaster.ac.uk).</t>
  </si>
  <si>
    <t>DEC 1</t>
  </si>
  <si>
    <t>10.1016/j.scitotenv.2016.03.055</t>
  </si>
  <si>
    <t>EC0RA</t>
  </si>
  <si>
    <t>Green Published, Green Accepted, hybrid</t>
  </si>
  <si>
    <t>WOS:000387807200143</t>
  </si>
  <si>
    <t>Ghosh, MK; Kumar, L; Roy, C</t>
  </si>
  <si>
    <t>Ghosh, Manoj Kumer; Kumar, Lalit; Roy, Chandan</t>
  </si>
  <si>
    <t>Mapping Long-Term Changes in Mangrove Species Composition and Distribution in the Sundarbans</t>
  </si>
  <si>
    <t>FORESTS</t>
  </si>
  <si>
    <t>mangroves; Sundarbans; remote sensing; image classification; change detection; Landsat</t>
  </si>
  <si>
    <t>FOREST DISTRIBUTIONS; BANGLADESH; DYNAMICS; ACCURACY; IMAGES; CONSERVATION; STRATEGIES; VEGETATION; COASTLINE; WORLD</t>
  </si>
  <si>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</si>
  <si>
    <t>[Ghosh, Manoj Kumer; Kumar, Lalit] Univ New England, Sch Environm &amp; Rural Sci, Ecosyst Management, Armidale, NSW 2351, Australia; [Roy, Chandan] Rajshahi Univ, Geog &amp; Environm Studies, Rajshahi 6205, Bangladesh</t>
  </si>
  <si>
    <t>University of New England; University of Rajshahi</t>
  </si>
  <si>
    <t>Ghosh, MK (corresponding author), Univ New England, Sch Environm &amp; Rural Sci, Ecosyst Management, Armidale, NSW 2351, Australia.</t>
  </si>
  <si>
    <t>mghosh@myune.edu.au; lkumar@une.edu.au; chandanroy@gmail.com</t>
  </si>
  <si>
    <t>; Roy, Chandan/F-4534-2010; Kumar, Lalit/A-6397-2011; Ghosh, Manoj/G-7535-2012</t>
  </si>
  <si>
    <t>Kumar, Lalit/0000-0002-9205-756X; Roy, Chandan/0000-0002-3997-1088; Ghosh, Manoj Kumer/0000-0002-5279-272X;</t>
  </si>
  <si>
    <t>1999-4907</t>
  </si>
  <si>
    <t>10.3390/f7120305</t>
  </si>
  <si>
    <t>EJ6KI</t>
  </si>
  <si>
    <t>WOS:000393327700005</t>
  </si>
  <si>
    <t>Ambarli, D; Zeydanli, US; Balkiz, Ö; Aslan, S; Karaçetin, E; Sözen, M; Ilgaz, Ç; Ergen, AG; Lise, Y; Çaglayan, SD; Welch, HJ; Welch, G; Turak, AS; Bilgin, CC; Özkil, A; Vural, M</t>
  </si>
  <si>
    <t>Ambarli, Didem; Zeydanli, Ugur S.; Balkiz, Ozge; Aslan, Serdar; Karacetin, Evrim; Sozen, Mustafa; Ilgaz, Cetin; Ergen, Arzu Gursoy; Lise, Yildiray; Caglayan, Semiha Demirbas; Welch, Hilary J.; Welch, Geoff; Turak, Ayse S.; Bilgin, C. Can; Ozkil, Aydan; Vural, Mecit</t>
  </si>
  <si>
    <t>An overview of biodiversity and conservation status of steppes of the Anatolian Biogeographical Region</t>
  </si>
  <si>
    <t>BIODIVERSITY AND CONSERVATION</t>
  </si>
  <si>
    <t>Dry grassland; Land use; Protected area; Threat; Turkey; Vascular plants</t>
  </si>
  <si>
    <t>SOUTHWEST ASIA; LAND-USE; TURKEY; DOMESTICATION; AGRICULTURE; CHALLENGES; VEGETATION; DIVERSITY; ORIGINS; AREAS</t>
  </si>
  <si>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</si>
  <si>
    <t>[Ambarli, Didem] Duzce Univ, Fac Agr &amp; Nat Sci, TR-81620 Konuralp, Duzce, Turkey; [Ambarli, Didem] Univ Cambridge, Dept Zool, Conservat Sci Grp, Cambridge CB2 3EJ, England; [Ambarli, Didem; Zeydanli, Ugur S.; Balkiz, Ozge; Lise, Yildiray; Caglayan, Semiha Demirbas; Welch, Hilary J.; Turak, Ayse S.; Ozkil, Aydan] Nat Conservat Ctr, Asagi Ovecler Mah 1065 Cad 1293 Sok 9-32, TR-06460 Ankara, Turkey; [Zeydanli, Ugur S.] Yale Univ, Forestry &amp; Environm Studies, 195 Prospect St, New Haven, CT 06511 USA; [Aslan, Serdar] Duzce Univ, Fac Forestry, TR-81620 Konuralp, Duzce, Turkey; [Karacetin, Evrim] Erciyes Univ, Fac Engn, Dept Environm Engn, TR-38039 Kayseri, Turkey; [Sozen, Mustafa] Bulent Ecevit Univ, Dept Biol, TR-67100 Incivez, Zonguldak, Turkey; [Ilgaz, Cetin] Dokuz Eylul Univ, Dept Biol, Fac Sci, TR-35160 Izmir, Turkey; [Ergen, Arzu Gursoy] Ondokuz MayA s Univ, Fac Sci &amp; Arts, Dept Biol, Samsun, Turkey; [Welch, Geoff] Royal Soc Protect Birds, Sandy SG19 2DL, Beds, England; [Bilgin, C. Can] Middle East Tech Univ, Fac Arts &amp; Sci, Dept Biol, Dumlupinar Bulvari 1, TR-06800 Ankara, Turkey; [Vural, Mecit] Gazi Univ, Fac Sci &amp; Arts, Dept Bot, TR-06500 Ankara, Turkey</t>
  </si>
  <si>
    <t>Duzce University; University of Cambridge; Ministry of National Education - Turkey; Yale University; Duzce University; Erciyes University; Zonguldak Bulent Ecevit University; Dokuz Eylul University; Royal Society for Protection of Birds; Middle East Technical University; Gazi University</t>
  </si>
  <si>
    <t>Ambarli, D (corresponding author), Duzce Univ, Fac Agr &amp; Nat Sci, TR-81620 Konuralp, Duzce, Turkey.;Ambarli, D (corresponding author), Univ Cambridge, Dept Zool, Conservat Sci Grp, Cambridge CB2 3EJ, England.;Ambarli, D (corresponding author), Nat Conservat Ctr, Asagi Ovecler Mah 1065 Cad 1293 Sok 9-32, TR-06460 Ankara, Turkey.</t>
  </si>
  <si>
    <t>didem.ambarli@gmail.com</t>
  </si>
  <si>
    <t>Karacetin, Evrim/AAS-7725-2021; Gursoy Ergen, Arzu/F-5981-2016; Ilgaz, Çetin/P-6603-2019; SOZEN, MUSTAFA/A-6372-2018; Aslan, Serdar/AAB-7966-2020; Ambarlı, Didem/AAE-8648-2022; Gürsoy Ergen, Arzu/F-5981-2016; Bilgin, C Can/H-2159-2011</t>
  </si>
  <si>
    <t>Ambarlı, Didem/0000-0001-5589-9373; Karacetin, Evrim/0000-0002-7311-1989; Bilgin, C Can/0000-0001-9284-307X; Gürsoy Ergen, Arzu/0000-0001-7776-6571;</t>
  </si>
  <si>
    <t>SPRINGER</t>
  </si>
  <si>
    <t>DORDRECHT</t>
  </si>
  <si>
    <t>VAN GODEWIJCKSTRAAT 30, 3311 GZ DORDRECHT, NETHERLANDS</t>
  </si>
  <si>
    <t>0960-3115</t>
  </si>
  <si>
    <t>1572-9710</t>
  </si>
  <si>
    <t>BIODIVERS CONSERV</t>
  </si>
  <si>
    <t>Biodivers. Conserv.</t>
  </si>
  <si>
    <t>SI</t>
  </si>
  <si>
    <t>10.1007/s10531-016-1172-0</t>
  </si>
  <si>
    <t>EA3KI</t>
  </si>
  <si>
    <t>WOS:000386500700016</t>
  </si>
  <si>
    <t>Lai, RWS; Perkins, MJ; Ho, KKY; Astudillo, JC; Yung, MMN; Russell, BD; Williams, GA; Leung, KMY</t>
  </si>
  <si>
    <t>Lai, Racliffe W. S.; Perkins, Matthew J.; Ho, Kevin K. Y.; Astudillo, Juan C.; Yung, Mana M. N.; Russell, Bayden D.; Williams, Gray A.; Leung, Kenneth M. Y.</t>
  </si>
  <si>
    <t>Hong Kong's marine environments: History, challenges and opportunities</t>
  </si>
  <si>
    <t>REGIONAL STUDIES IN MARINE SCIENCE</t>
  </si>
  <si>
    <t>Reclamation; Sewage treatment; Fishery management; Bioinvasion; Ecological threats</t>
  </si>
  <si>
    <t>PEARL RIVER ESTUARY; ENDOCRINE DISRUPTING CHEMICALS; CLIMATE-CHANGE; PROTECTED AREAS; RISK-ASSESSMENT; SOUTH CHINA; OCEAN ACIDIFICATION; COASTAL WATERS; ORGANOCHLORINE PESTICIDES; ORGANOTIN COMPOUNDS</t>
  </si>
  <si>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</si>
  <si>
    <t>Univ Hong Kong, Swire Inst Marine Sci, Pokfulam, Hong Kong, Peoples R China; [Leung, Kenneth M. Y.] Univ Hong Kong, Sch Biol Sci, Pokfulam, Hong Kong, Peoples R China</t>
  </si>
  <si>
    <t>University of Hong Kong; University of Hong Kong</t>
  </si>
  <si>
    <t>Leung, KMY (corresponding author), Univ Hong Kong, Sch Biol Sci, Pokfulam, Hong Kong, Peoples R China.</t>
  </si>
  <si>
    <t>kmyleung@hku.hk</t>
  </si>
  <si>
    <t>Leung, Kenneth Mei Yee/C-1055-2009; Williams, Gray/D-3139-2009; Russell, Bayden/A-9942-2008; Leung, Kenneth/C-1055-2009; Lai, Weng Seng/HMO-8224-2023; Yung, Mana/I-4079-2019</t>
  </si>
  <si>
    <t>Leung, Kenneth Mei Yee/0000-0002-2164-4281; Yung, Mana MN/0000-0001-9627-859X; Astudillo Placencia, Juan Carlos/0000-0002-3350-8279; Russell, Bayden/0000-0003-1282-9978; Racliffe Weng Seng, Lai/0000-0002-9181-3458</t>
  </si>
  <si>
    <t>University Grants Council [HKU5/CRF/12G HKU]; Environment and Conservation Fund [ECF/2014-64]; University of Hong Kong</t>
  </si>
  <si>
    <t>University Grants Council; Environment and Conservation Fund; University of Hong Kong(University of Hong Kong)</t>
  </si>
  <si>
    <t>This work is supported by the University Grants Council via the Collaborative Research Grant (Project no.: HKU5/CRF/12G HKU) to KMYL, and the Environment and Conservation Fund (Project no.: ECF/2014-64) to GAW. RWSL thanks the University of Hong Kong for partially supporting his Ph.D. study via a Type-B studentship.</t>
  </si>
  <si>
    <t>2352-4855</t>
  </si>
  <si>
    <t>REG STUD MAR SCI</t>
  </si>
  <si>
    <t>Reg. Stud. Mar. Sci.</t>
  </si>
  <si>
    <t>10.1016/j.rsma.2016.09.001</t>
  </si>
  <si>
    <t>FM1VW</t>
  </si>
  <si>
    <t>Green Accepted</t>
  </si>
  <si>
    <t>WOS:000414771500005</t>
  </si>
  <si>
    <t>Bhatta, KP; Vetaas, OR</t>
  </si>
  <si>
    <t>Bhatta, Kuber P.; Vetaas, Ole R.</t>
  </si>
  <si>
    <t>Does tree canopy closure moderate the effect of climate warming on plant species composition of temperate Himalayan oak forest?</t>
  </si>
  <si>
    <t>Canopy closure; Climate warming; Himalaya; Land-use change; Mesophication; Oak forest; Thermophilization</t>
  </si>
  <si>
    <t>EUROPEAN VEGETATION CHANGE; RANGE SHIFTS; IMPORTANT DRIVER; DRIVING FACTORS; MICROCLIMATE; EUTROPHICATION; MANAGEMENT; DIVERSITY; RESPONSES; ECOSYSTEM</t>
  </si>
  <si>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</si>
  <si>
    <t>[Bhatta, Kuber P.; Vetaas, Ole R.] Univ Bergen, Dept Geog, Post Box 7802, N-5020 Bergen, Norway</t>
  </si>
  <si>
    <t>University of Bergen</t>
  </si>
  <si>
    <t>Bhatta, KP (corresponding author), Univ Bergen, Dept Geog, Post Box 7802, N-5020 Bergen, Norway.</t>
  </si>
  <si>
    <t>Kuber.Bhatta@uib.no; Ole.Vetaas@uib.no</t>
  </si>
  <si>
    <t>Bhatta, Kuber/J-3105-2019; VETAAS, OLE/ABA-7337-2020</t>
  </si>
  <si>
    <t>Bhatta, Kuber Prasad/0000-0001-7837-1395</t>
  </si>
  <si>
    <t>10.1111/jvs.12423</t>
  </si>
  <si>
    <t>EC9BU</t>
  </si>
  <si>
    <t>WOS:000388439400009</t>
  </si>
  <si>
    <t>Collier, KJ; Probert, PK; Jeffries, M</t>
  </si>
  <si>
    <t>Collier, Kevin J.; Probert, P. Keith; Jeffries, Michael</t>
  </si>
  <si>
    <t>Conservation of aquatic invertebrates: concerns, challenges and conundrums</t>
  </si>
  <si>
    <t>marine; freshwater; Red List; springs; coral reef, pond; lagoon, conservation assessment</t>
  </si>
  <si>
    <t>FRESH-WATER BIODIVERSITY; CLIMATE-CHANGE; BENTHIC INVERTEBRATES; MARINE CONSERVATION; DIPTERA-CULICIDAE; EXTINCTION RISK; PROTECTED AREAS; GIANT CLAMS; CORAL-REEFS; MANAGEMENT</t>
  </si>
  <si>
    <t>1. Invertebrates inhabiting marine and freshwater ecosystems make important contributions to global biodiversity and provide significant services that have cascading effects across ecosystems. However, this group is grossly under-represented in assessments of conservation status and often neglected in targeted aquatic conservation efforts. 2. In global assessments of 7857 freshwater invertebrates and 2864 marine invertebrates, 30-34% were considered Data Deficient highlighting the paucity of information for making such assessments. Of the invertebrate groups that could be assessed, those with poor dispersal abilities and high local endemism, such as many gastropods, crayfish and mussels, are the most threatened. 3. Springs and subterranean hydrological systems support the highest proportions of threatened freshwater species, while in marine environments coral reefs, lagoons and anchialine systems are particularly vulnerable. 4. Key agents of biodiversity decline in aquatic ecosystems are water pollution, overexploitation and harvesting, habitat degradation and destruction, alien invasive species, and climate change. Effects of dams and water management along with pollution from urban, agricultural and forestry sources are the main threats in freshwater ecosystems, whereas a broad range of factors have impacts on marine invertebrates, including biological resource use. 5. Significant impediments facing conservation of aquatic invertebrates are limited knowledge of their diversity, the need for broadscale actions to account for connectivity within and across ecosystems, lack of political will and investment, and the prospect that conditions may get worse before they improve, possibly not in time to save some already highly imperilled invertebrate species from extinction. Copyright (C) 2016 John Wiley &amp; Sons, Ltd.</t>
  </si>
  <si>
    <t>[Collier, Kevin J.] Univ Waikato, Environm Res Inst, Private Bag 3105, Hamilton 3240, New Zealand; [Probert, P. Keith] Univ Otago, Dept Marine Sci, Dunedin, New Zealand; [Jeffries, Michael] Northumbria Univ, Dept Geog, Newcastle Upon Tyne, Tyne &amp; Wear, England</t>
  </si>
  <si>
    <t>University of Waikato; University of Otago; Northumbria University</t>
  </si>
  <si>
    <t>Collier, KJ (corresponding author), Univ Waikato, Environm Res Inst, Private Bag 3105, Hamilton 3240, New Zealand.</t>
  </si>
  <si>
    <t>kcollier@waikato.ac.nz</t>
  </si>
  <si>
    <t>Collier, Kevin/Q-9863-2017</t>
  </si>
  <si>
    <t>Collier, Kevin/0000-0002-5213-9907</t>
  </si>
  <si>
    <t>10.1002/aqc.2710</t>
  </si>
  <si>
    <t>EC9DU</t>
  </si>
  <si>
    <t>WOS:000388445200002</t>
  </si>
  <si>
    <t>Phillips, RA; Gales, R; Baker, GB; Double, MC; Favero, M; Quintana, F; Tasker, ML; Weimerskirch, H; Uhart, M; Wolfaardt, A</t>
  </si>
  <si>
    <t>Phillips, R. A.; Gales, R.; Baker, G. B.; Double, M. C.; Favero, M.; Quintana, F.; Tasker, M. L.; Weimerskirch, H.; Uhart, M.; Wolfaardt, A.</t>
  </si>
  <si>
    <t>The conservation status and priorities for albatrosses and large petrels</t>
  </si>
  <si>
    <t>Anthropogenic impacts; Conservation management; Invasive species; Non-target species; Population trends; Regional fisheries management organisations</t>
  </si>
  <si>
    <t>PELAGIC LONGLINE FISHERIES; WHITE-CHINNED PETRELS; PRINCE EDWARD ISLANDS; AT-SEA DISTRIBUTION; BLACK-BROWED ALBATROSSES; GREY-HEADED ALBATROSSES; MANTLED SOOTY ALBATROSS; SOUTHERN-OCEAN SEABIRDS; YELLOW-NOSED ALBATROSS; CYTOCHROME-B GENE</t>
  </si>
  <si>
    <t>Seabirds are amongst the most globally-threatened, of all groups of birds, and conservation issues specific to albatrosses (Diomedeidae) and large petrels (Procellaria spp. and giant petrels Macronectes spp.) led to drafting of the multi-lateral Agreement on the Conservation of Albatrosses and Petrels (ACAP). Here we review the taxonomy, breeding and foraging distributions, population status and trends, threats and priorities for the 29 species covered by ACAP. Nineteen (66%) are listed as threatened by IUCN, and 11 (38%) are declining. Most have extensive at-sea distributions, and the greatest threat is incidental mortality (bycatch) in industrial pelagic or demersal longline, trawl or artisanal fisheries, often in both national and international waters. Mitigation measures are available that reduce bycatch in most types of fisheries, but some management bodies are yet to make these mandatory, levels of implementation and monitoring of compliance are often inadequate, and there are insufficient observer programmes collecting robust data on bycatch rates. Intentional take, pollution (including plastic ingestion), and threats at colonies affect fewer species than bycatch; however, the impacts of disease (mainly avian cholera) and of predation by introduced species, including feral cats (Felis catus), rats (Rattus spp.) and house mice (Mus musculus), are severe for some breeding populations. Although major progress has been made in recent years in reducing bycatch rates and in controlling or eradicating pests at breeding sites, unless conservation efforts are intensified, the future prospects of many species of albatrosses and large petrels will remain bleak. (C) 2016 Elsevier Ltd. All rights reserved.</t>
  </si>
  <si>
    <t>[Phillips, R. A.] British Antarctic Survey, Nat Environm Res Council, High Cross,Madingley Rd, Cambridge CB3 0ET, England; [Gales, R.] 259 Howden Rd, Howden, Tas, Australia; [Baker, G. B.] Inst Marine &amp; Antarctic Studies IMAS Hobart, Private Bag 129, Hobart, Tas 7001, Australia; [Double, M. C.] Australian Antarctic Div, 203 Channel Highway, Kingston, Tas 7050, Australia; [Favero, M.] CONICET UNMDP, IIMyC, Mar Del Plata, Argentina; [Quintana, F.] Consejo Nacl Invest Cient &amp; Tecn, Inst Biol Organismos Marines IBIOMAR, Puerto Madryn U9120ACD, Chubut, Argentina; [Tasker, M. L.] Joint Nat Conservat Comm, Inverdee House,Baxter St, Aberdeen AB11 9QA, Scotland; [Weimerskirch, H.] CNRS, Ctr Etud Biol Chize, F-79360 Villiers En Bois, France; [Uhart, M.] Univ Calif Davis, Sch Vet Med, Hlth Inst 1, Davis, CA 95616 USA; [Wolfaardt, A.] POB 64, ZA-6602 Crags, South Africa</t>
  </si>
  <si>
    <t>UK Research &amp; Innovation (UKRI); Natural Environment Research Council (NERC); NERC British Antarctic Survey; Australian Antarctic Division; National University of Mar del Plata; Consejo Nacional de Investigaciones Cientificas y Tecnicas (CONICET); Consejo Nacional de Investigaciones Cientificas y Tecnicas (CONICET); Centre National de la Recherche Scientifique (CNRS); University of California System; University of California Davis</t>
  </si>
  <si>
    <t>Phillips, RA (corresponding author), British Antarctic Survey, Nat Environm Res Council, High Cross,Madingley Rd, Cambridge CB3 0ET, England.</t>
  </si>
  <si>
    <t>raphil@bas.ac.uk</t>
  </si>
  <si>
    <t>; Weimerskirch, Henri/K-7306-2019; Favero, Marco/AGF-7428-2022; phillips, robert/KIE-5050-2024</t>
  </si>
  <si>
    <t>Favero, Marco/0000-0003-1293-3417; Quintana, Flavio/0000-0003-0696-2545; Baker, G Barry/0000-0003-4766-8182; Phillips, Richard/0000-0002-0208-1444</t>
  </si>
  <si>
    <t>NERC [bas0100035, bas0100025, NE/J021083/1] Funding Source: UKRI; Natural Environment Research Council [bas0100025, NE/J021083/1, bas0100035] Funding Source: researchfish</t>
  </si>
  <si>
    <t>NERC(UK Research &amp; Innovation (UKRI)Natural Environment Research Council (NERC)); Natural Environment Research Council(UK Research &amp; Innovation (UKRI)Natural Environment Research Council (NERC))</t>
  </si>
  <si>
    <t>10.1016/j.biocon.2016.06.017</t>
  </si>
  <si>
    <t>DY0JJ</t>
  </si>
  <si>
    <t>WOS:000384782800019</t>
  </si>
  <si>
    <t>Meng, XW; Xia, P; Li, Z; Meng, DZ</t>
  </si>
  <si>
    <t>Meng, Xianwei; Xia, Peng; Li, Zhen; Meng, Dezhen</t>
  </si>
  <si>
    <t>Mangrove degradation and response to anthropogenic disturbance in the Maowei Sea (SW China) since 1926 AD: Mangrove-derived OM and pollen</t>
  </si>
  <si>
    <t>ORGANIC GEOCHEMISTRY</t>
  </si>
  <si>
    <t>Mangrove degradation; Mangrove-derived organic matter; Mangrove pollen; Anthropogenic disturbance; Maowei Sea</t>
  </si>
  <si>
    <t>NITROGEN STABLE-ISOTOPE; ORGANIC-MATTER SOURCES; RIVER ESTUARY; SURFACE SEDIMENTS; ENVIRONMENTAL-CHANGE; YINGLUO BAY; CARBON; HOLOCENE; GULF; RECONSTRUCTION</t>
  </si>
  <si>
    <t>Mangrove forests, located at the interface between land and sea, have been impacted by an increase in intensive anthropogenic disturbance in developing countries or regions. In order to study the impact of human activity on mangrove forests, mangrove development was reconstructed over the last 130 yr, using the contribution of mangrove-derived organic matter (OM) and mangrove pollen as proxies, from two sediment cores from the Maowei Sea (SW China). It is a semi-enclosed bay that receives a large amount of terrestrial material from the Qinjiang and Maoling rivers, with average sedimentation rate of 0.63-0.64 cm/yr. The material accumulates mainly in the coast and its adjacent region, owing to weak water exchange through the channel. Sediment samples had C:N and delta C-13(org) values intermediate between mangrove leaves and flood plain sediments, indicating that OM sources could be apportioned as a mixture from only these two sources. Based on k-mean cluster analysis, mangrove development was divided into three stages since 1880 AD: (i) a flourishing period (1880-1926 AD), (ii) a phase of slow degradation (1926-1980 AD) and (iii) a time of rapid degradation (1980 AD to the present). The study indicates that anthropogenic activity, including reclamation of mangrove swamps for farmland and shrimp ponds, is the primary reason for mangrove degradation since 1926 AD, rather than climate change (temperature and precipitation). Crown Copyright (C) 2016 Published by Elsevier Ltd. All rights reserved.</t>
  </si>
  <si>
    <t>[Meng, Xianwei; Xia, Peng; Meng, Dezhen] State Ocean Adm, Inst Oceanog 1, Qingdao 266061, Peoples R China; [Meng, Xianwei] Qingdao Natl Lab Marine Sci &amp; Technol, Lab Marine Geol &amp; Environm, Qingdao 266061, Peoples R China; [Li, Zhen] Univ Victoria, Sch Earth &amp; Ocean Sci, Victoria, BC V8W 2Y2, Canada</t>
  </si>
  <si>
    <t>First Institute of Oceanography, Ministry of Natural Resources; Laoshan Laboratory; University of Victoria</t>
  </si>
  <si>
    <t>Xia, P (corresponding author), State Ocean Adm, Inst Oceanog 1, Qingdao 266061, Peoples R China.</t>
  </si>
  <si>
    <t>mxw@fio.org.cn; pengxia@fio.org.cn</t>
  </si>
  <si>
    <t>Li, Zhen/G-7667-2012</t>
  </si>
  <si>
    <t>Li, Zhen/0000-0003-3989-7233; Meng, Xianwei/0000-0001-9041-2997</t>
  </si>
  <si>
    <t>National Key Scientific Research Project on Global Climate Change [2010CB951203]; National Natural Science Foundation of China [41376075, 41576061, 41206057, 41576067]</t>
  </si>
  <si>
    <t>National Key Scientific Research Project on Global Climate Change; National Natural Science Foundation of China(National Natural Science Foundation of China (NSFC))</t>
  </si>
  <si>
    <t>The authors thank G.A. Wang (China Agricultural University) for delta13Corg analysis. Sampling assistance was provided by X.Q. Wang, Z. W. Zhu and Z. Li. We are also grateful for critical and constructive comments from and two anonymous reviewers. The work was supported by the National Key Scientific Research Project on Global Climate Change (Grant No. 2010CB951203) and the National Natural Science Foundation of China (Grant Nos. 41376075, 41576061, 41206057 and 41576067).</t>
  </si>
  <si>
    <t>0146-6380</t>
  </si>
  <si>
    <t>1873-5290</t>
  </si>
  <si>
    <t>ORG GEOCHEM</t>
  </si>
  <si>
    <t>Org. Geochem.</t>
  </si>
  <si>
    <t>10.1016/j.orggeochem.2016.06.001</t>
  </si>
  <si>
    <t>Geochemistry &amp; Geophysics</t>
  </si>
  <si>
    <t>DR3DH</t>
  </si>
  <si>
    <t>WOS:000379782300014</t>
  </si>
  <si>
    <t>van Strien, AJ; Meyling, AWG; Herder, JE; Hollander, H; Kalkman, VJ; Poot, MJM; Turnhout, S; van der Hoorn, B; van Strien-van Liempt, WTFH; van Swaay, CAM; van Turnhout, CAM; Verweij, RJT; Oerlemans, NJ</t>
  </si>
  <si>
    <t>van Strien, Arco J.; Meyling, Adriaan W. Gmelig; Herder, Jelger E.; Hollander, Hans; Kalkman, Vincent J.; Poot, Martin J. M.; Turnhout, Sander; van der Hoorn, Berry; van Strien-van Liempt, Willy T. F. H.; van Swaay, Chris A. M.; van Turnhout, Chris A. M.; Verweij, Richard J. T.; Oerlemans, Natasja J.</t>
  </si>
  <si>
    <t>Modest recovery of biodiversity in a western European country: The Living Planet Index for the Netherlands</t>
  </si>
  <si>
    <t>Biodiversity change; 2020 target; Abundance trends; Occupancy trends; Standardised data; Opportunistic data</t>
  </si>
  <si>
    <t>INDICATORS; TRENDS; DECLINES; NITROGEN; MAMMALS; BIRDS</t>
  </si>
  <si>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</si>
  <si>
    <t>[van Strien, Arco J.; Meyling, Adriaan W. Gmelig; Poot, Martin J. M.; Verweij, Richard J. T.] Stat Netherlands, POB 24500, NL-2490 HA The Hague, Netherlands; [Meyling, Adriaan W. Gmelig] Anemoon Fdn, POB 29, NL-2120 AA Bennebroek, Netherlands; [Herder, Jelger E.] Reptile Amphibian &amp; Fish Conservat Netherlands RA, POB 1413, NL-6501 BK Nijmegen, Netherlands; [Hollander, Hans] Dutch Mammal Soc, POB 6531, NL-6503 GA Nijmegen, Netherlands; [Kalkman, Vincent J.] EIS Kennisctr Insecten, Naturalis Biodivers Ctr, POB 9517, NL-2300 RA Leiden, Netherlands; [Turnhout, Sander] SoortenNL, Toernooiveld 1, NL-6500 GL Nijmegen, Netherlands; [van der Hoorn, Berry] Naturals Biodivers Ctr, POB 9517, NL-2300 RA Leiden, Netherlands; [van Strien-van Liempt, Willy T. F. H.] Brederostr 10, NL-2332 BB Leiden, Netherlands; [van Swaay, Chris A. M.] Dutch Butterfly Conservat, POB 506, NL-6700 AM Wageningen, Netherlands; [van Turnhout, Chris A. M.] Sovon Dutch Ctr Field Ornithol, POB 6521, NL-6503 GA Nijmegen, Netherlands; [van Turnhout, Chris A. M.] Radboud Univ Nijmegen, Inst Water &amp; Wetland Res, POB 9010, NL-6500 GL Nijmegen, Netherlands; [Oerlemans, Natasja J.] WWF NL, Driebergseweg 10, NL-3798 JB Zeist, Netherlands</t>
  </si>
  <si>
    <t>Naturalis Biodiversity Center; Naturalis Biodiversity Center; Radboud University Nijmegen</t>
  </si>
  <si>
    <t>van Strien, AJ (corresponding author), Stat Netherlands, POB 24500, NL-2490 HA The Hague, Netherlands.</t>
  </si>
  <si>
    <t>asin@cbs.nl</t>
  </si>
  <si>
    <t>; van Strien, Arco J/AAG-1843-2020; van der Hoorn, Berry/D-3282-2018; Kalkman, Vincent/D-5275-2013; van Strien, Arco/AAG-1843-2020</t>
  </si>
  <si>
    <t>Kalkman, Vincent/0000-0002-1484-7865; van Strien, Arco J/0000-0003-0451-073X; Poot, Martin/0000-0003-0219-8914; Turnhout, Sander/0000-0002-1299-3498</t>
  </si>
  <si>
    <t>Ministry of Economic Affairs in the framework of the Dutch Network Ecological Monitoring program</t>
  </si>
  <si>
    <t>This work would not have been possible without the help of thousands of voluntary field workers. The standardised monitoring schemes are organised by Sovon (breeding birds), Dutch Mammal Society (mammals), RAVON (reptiles, amphibians, fishes) and Dutch Butterfly Conservation (butterflies, dragonflies). These organisations collaborate with Statistics Netherlands and the monitoring schemes are financed by the Ministry of Economic Affairs in the framework of the Dutch Network Ecological Monitoring program.</t>
  </si>
  <si>
    <t>10.1016/j.biocon.2016.05.031</t>
  </si>
  <si>
    <t>DT2QK</t>
  </si>
  <si>
    <t>WOS:000381325300006</t>
  </si>
  <si>
    <t>Bahaa-el-Din, L; Sollmann, R; Hunter, LTB; Slotow, R; Macdonald, DW; Henschel, P</t>
  </si>
  <si>
    <t>Bahaa-el-Din, Laila; Sollmann, Rahel; Hunter, Luke T. B.; Slotow, Rob; Macdonald, David W.; Henschel, Philipp</t>
  </si>
  <si>
    <t>Effects of human land-use on Africa's only forest-dependent fetid: The African golden cat Caracal aurata</t>
  </si>
  <si>
    <t>Bushmeat; Camera trap; Density; Gabon; Logging; Spatial capture-recapture</t>
  </si>
  <si>
    <t>CAMERA-TRAP; DENSITY; LEOPARD; CARNIVORES; ABUNDANCE; SELECTION; RESERVES; MAMMALS; SABAH</t>
  </si>
  <si>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</si>
  <si>
    <t>[Bahaa-el-Din, Laila; Slotow, Rob] Univ Kwazulu Natal, Sch Life Sci, Westville Campus,Private Bag X54001, ZA-4000 Durban, South Africa; [Bahaa-el-Din, Laila; Hunter, Luke T. B.; Henschel, Philipp] Panthera, 8 West 40th St,18th Fl, New York, NY 10018 USA; [Bahaa-el-Din, Laila; Macdonald, David W.] Univ Oxford, Dept Zool, Wildlife Conservat Res Unit WiIdCRU, Recanati Kaplan Ctr, Tubney House,Abingdon Rd, Tubney OX13 5QL, England; [Sollmann, Rahel] Univ Calif Davis, Dept Wildlife Fish &amp; Conservat Biol, 1088 Acad Surge,One Shields Ave, Davis, CA 95616 USA; [Sollmann, Rahel] US Forest Serv, USDA, Pacific Southwest Res Stn, 1731 Res Pk Dr, Davis, CA 95618 USA</t>
  </si>
  <si>
    <t>University of Kwazulu Natal; University of Oxford; United States Department of Agriculture (USDA); United States Forest Service</t>
  </si>
  <si>
    <t>Bahaa-el-Din, L (corresponding author), Univ Kwazulu Natal, Sch Life Sci, Westville Campus,Private Bag X54001, ZA-4000 Durban, South Africa.</t>
  </si>
  <si>
    <t>lailab.sp@gmail.com</t>
  </si>
  <si>
    <t>Hunter, Luke/H-3324-2019; Slotow, Rob/AAM-9053-2020</t>
  </si>
  <si>
    <t>Slotow, Rob/0000-0001-9469-1508; Henschel, Philipp/0009-0003-6413-8471</t>
  </si>
  <si>
    <t>Panthera; Wildlife Conservation Research Unit (WildCRU); University of KwaZuluNatal (UKZN); International Society for Endangered Cats (ISEC) Canada; El Tigre Fund</t>
  </si>
  <si>
    <t>Funding for this study was received from Panthera, the Wildlife Conservation Research Unit (WildCRU) and the University of KwaZuluNatal (UKZN). Members of all of these institutions are co-authors of this study, and were involved in helping to design the study and prepare the manuscript for publication. Additional funding was received from the International Society for Endangered Cats (ISEC) Canada, and the El Tigre Fund, neither of which were involved with study design, implementation or manuscript preparation.</t>
  </si>
  <si>
    <t>10.1016/j.biocon.2016.04.013</t>
  </si>
  <si>
    <t>DQ9WI</t>
  </si>
  <si>
    <t>WOS:000379559600001</t>
  </si>
  <si>
    <t>Araújo, RM; Assis, J; Aguillar, R; Airoldi, L; Bárbara, I; Bartsch, I; Bekkby, T; Christie, H; Davoult, D; Derrien-Courtel, S; Fernandez, C; Fredriksen, S; Gevaert, F; Gundersen, H; Le Gal, A; Lévêque, L; Mieszkowska, N; Norderhaug, KM; Oliveira, P; Puente, A; Rico, JM; Rinde, E; Schubert, H; Strain, EM; Valero, M; Viard, F; Sousa-Pinto, I</t>
  </si>
  <si>
    <t>Araujo, R. M.; Assis, J.; Aguillar, R.; Airoldi, L.; Barbara, I.; Bartsch, I.; Bekkby, T.; Christie, H.; Davoult, D.; Derrien-Courtel, S.; Fernandez, C.; Fredriksen, S.; Gevaert, F.; Gundersen, H.; Le Gal, A.; Leveque, L.; Mieszkowska, N.; Norderhaug, K. M.; Oliveira, P.; Puente, A.; Rico, J. M.; Rinde, E.; Schubert, H.; Strain, E. M.; Valero, M.; Viard, F.; Sousa-Pinto, I.</t>
  </si>
  <si>
    <t>Status, trends and drivers of kelp forests in Europe: an expert assessment</t>
  </si>
  <si>
    <t>Kelp forests; Expert consultation; Status and temporal trends; Long-term changes; Europe</t>
  </si>
  <si>
    <t>UNDARIA-PINNATIFIDA LAMINARIALES; LARGE BROWN SEAWEEDS; SACCHARINA-LATISSIMA; GENETIC DIVERSITY; CLIMATE-CHANGE; NORTH COAST; WEST-COAST; SEA; ALGAE; TEMPERATURE</t>
  </si>
  <si>
    <t>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t>
  </si>
  <si>
    <t>[Araujo, R. M.; Oliveira, P.; Sousa-Pinto, I.] Univ Porto, Interdisciplinary Ctr Marine &amp; Environm Res, CIIMAR CIMAR, Rua Bragas 289, P-4050123 Oporto, Portugal; [Assis, J.] Univ Algarve CIMAR Algarve, Ctr Marine Sci, Campus Gambelas, P-8005139 Faro, Portugal; [Aguillar, R.] Oceana, Madrid, Spain; [Airoldi, L.] Univ Bologna, UO CoNISMa, Dipartimento Sci Biol Geol &amp; Ambientali, BIGEA, Via S Alberto 163, I-48123 Ravenna, Italy; [Airoldi, L.] Univ Bologna, UO CoNISMa, CIRSA, Via S Alberto 163, I-48123 Ravenna, Italy; [Barbara, I.] Univ A Coruna, Fac Ciencias, Grp BioCost, Dept Bioloxia Anim Bioloxia Vexetal &amp; Ecoloxia, Campus A Coruna, La Coruna 15008, Spain; Helmholtz Ctr Polar &amp; Marine Res, Alfred Wegener Inst, Handelshafen 12, D-27570 Bremerhaven, Germany; Norwegian Inst Water Res, Gaustadalleen 21, N-0349 Oslo, Norway; [Davoult, D.; Viard, F.] CNRS, UMR M AD2 7144, Stn, Biol, Pl Georges Teissier, F-29680 Roscoff, France; [Davoult, D.; Leveque, L.; Valero, M.; Viard, F.] Univ Paris 06, Sorbonne Univ, Stn Biol, Pl Georges Teissier, F-19680 Roscoff, France; [Derrien-Courtel, S.; Le Gal, A.] Museum Natl Hist Nat, Stn Marine, Pl Croix,BP 225, F-29182 Concarneau, France; [Fernandez, C.; Rico, J. M.] Univ Oviedo, Dept BOS Ecol, E-33071 Oviedo, Spain; [Fredriksen, S.; Norderhaug, K. M.] Univ Oslo, Dept Biosci, POB 1066, N-0316 Oslo, Norway; [Gevaert, F.] Univ Lille 1, Univ Lille Nord France, UMR LOG 8187, F-62930 Wimereux, France; [Gevaert, F.] CNRS, UMR LOG 8187, F-62930 Wimereux, France; [Leveque, L.] CNRS, FR2424, Stn Biol, Pl Georges Teissier, F-29680 Roscoff, France; [Mieszkowska, N.] Marine Biol Assoc UK, Citadel Hill, Plymouth PL1 2PB, Devon, England; [Puente, A.] Univ Cantabria, Environm Hydraul Inst IH Cantabria, Ave Isabel Torres 15,Parque Cient &amp; Tecnol Cantab, Santander 39011, Spain; [Schubert, H.] Univ Rostock, Biosci, Albert Einsteinstr 3, D-18059 Rostock, Germany; [Strain, E. M.] Sydney Inst Marine Sci, 19 Chowder Bay Rd, Mosman, NSW 2088, Australia; [Valero, M.] CNRS, UACH, UC, UMI EBEA 3614,Stn Biol, F-29680 Roscoff, France; [Sousa-Pinto, I.] Univ Porto, Fac Sci, Dept Biol, Oporto, Portugal</t>
  </si>
  <si>
    <t>Universidade do Porto; Universidade do Algarve; University of Bologna; University of Bologna; Universidade da Coruna; Helmholtz Association; Alfred Wegener Institute, Helmholtz Centre for Polar &amp; Marine Research; Norwegian Institute for Water Research (NIVA); Centre National de la Recherche Scientifique (CNRS); Sorbonne Universite; Museum National d'Histoire Naturelle (MNHN); University of Oviedo; University of Oslo; Universite de Lille; Centre National de la Recherche Scientifique (CNRS); CNRS - National Institute for Earth Sciences &amp; Astronomy (INSU); Centre National de la Recherche Scientifique (CNRS); CNRS - National Institute for Earth Sciences &amp; Astronomy (INSU); Centre National de la Recherche Scientifique (CNRS); Sorbonne Universite; Marine Biological Association United Kingdom; Universidad de Cantabria; IHCantabria - Instituto de Hidraulica Ambiental de la Universidad de Cantabria; University of Rostock; Sydney Institute of Marine Science; Sorbonne Universite; Centre National de la Recherche Scientifique (CNRS); Universidade do Porto</t>
  </si>
  <si>
    <t>Araújo, RM (corresponding author), Univ Porto, Interdisciplinary Ctr Marine &amp; Environm Res, CIIMAR CIMAR, Rua Bragas 289, P-4050123 Oporto, Portugal.</t>
  </si>
  <si>
    <t>ritaraujo@ciimar.up.pt</t>
  </si>
  <si>
    <t>Bekkby, Trine/GRY-2922-2022; Valero, Myriam/C-7550-2011; Airoldi, Laura/I-3553-2019; Gevaert, Francois/B-9629-2018; Pinto, Isabel/W-1591-2019; Viard, Frédérique/O-4360-2018; Oliveira, Patrícia/J-9447-2013; Assis, Jorge/G-9688-2012; Gundersen, Hege/F-1494-2013; Assis, Jorge/G-9688-2012; Rico, Jose/C-7441-2013; Araujo, Rita/I-2964-2015; Sousa Pinto, Isabel/G-1497-2010; Mieszkowska, Nova/U-8479-2019; Davoult, Dominique/D-5932-2012; Araujo, Rita/S-2065-2019; Strain, Elisabeth/U-3520-2017; Puente, Araceli/H-3163-2015; Gevaert, François/B-9629-2018; Valero, Myriam/M-6052-2019; Puente, Araceli/H-3163-2015; Davoult, dominique/D-5932-2012</t>
  </si>
  <si>
    <t>Valero, Myriam/0000-0002-9000-1423; Bekkby, Trine/0000-0001-8188-8264; Aguilar, Ricardo/0000-0001-6615-8626; Viard, Frédérique/0000-0001-5603-9527; Norderhaug, Kjell Magnus/0000-0001-6374-4275; Rico-Ordas, Jose Manuel/0000-0001-6253-257X; Bárbara, Ignacio/0000-0003-1779-0224; Assis, Jorge/0000-0002-6624-4820; Gundersen, Hege/0000-0001-9706-1325; Assis, Jorge/0000-0002-6624-4820; Araujo, Rita/0000-0001-8062-972X; Sousa Pinto, Isabel/0000-0002-9231-0553; Davoult, Dominique/0000-0001-8678-3998; Mieszkowska, Nova/0000-0002-9570-7759; Airoldi, Laura/0000-0001-5046-0871; Strain, Elisabeth/0000-0003-2165-9544; Puente, Araceli/0000-0001-7627-4743; Gevaert, François/0000-0002-5078-1154; Puente, Araceli/0000-0001-7627-4743;</t>
  </si>
  <si>
    <t>Brittany REBENT; European Water Framework Directive; European Regional Development Fund; Loire-Brittany Water Agency; ONEMA; Ifremer; MNHN; Estuaires Loire Vilaine association; Portuguese Foundation for Science and Technology [EXCL/AAG-GLO/0661/2012, PTDC/MAR-EST/6053/2014, SFRH/BPD/111003/2015, SFRH/BPD/75843/2011]; European Commission [265299]; Fundação para a Ciência e a Tecnologia [SFRH/BPD/75843/2011, EXCL/AAG-GLO/0661/2012] Funding Source: FCT</t>
  </si>
  <si>
    <t>Brittany REBENT; European Water Framework Directive; European Regional Development Fund(European Union (EU)); Loire-Brittany Water Agency; ONEMA; Ifremer; MNHN; Estuaires Loire Vilaine association; Portuguese Foundation for Science and Technology(Fundacao para a Ciencia e a Tecnologia (FCT)); European Commission(European Union (EU)European Commission Joint Research Centre); Fundação para a Ciência e a Tecnologia</t>
  </si>
  <si>
    <t>We would like to thank to the following persons or entities: (1) Lise Tveiten (NIVA) and Frithjof Moy (Institute of Marine Research, IMR), who for many years have sampled data on kelp forest ecology and distribution along the Norwegian coast; (2) The financial partners of the two monitoring programs the Brittany REBENT and the European Water Framework Directive for making it possible to obtain valuable data: the Brittany Region, the European Regional Development Fund, the Loire-Brittany Water Agency, the ONEMA, Ifremer, the MNHN and the Estuaires Loire Vilaine association; (3) Elodie Catherine, Francois-Xavier Decaris, Rene Derrien, Marie Mercier-Pecard, Nicolas Mercier and Thomas Abiven Annie Castric-Fey, Annie Girard-Descatoire, Marie-Therese L'Hardy-Halos (MNHN Station de Biologie Marine de Concarneau) who have, for many years, also contributed to French data on kelp forest ecology and distribution; (4) The marine operation department (Service Mer et Observation) of the Station Biologique de Roscoff and the natural marine park Parc Naturel Marin d'Iroise; (5) The MarClim project at the Marine Biological Association of the UK that has maintained long-term studies of kelps in the UK thanks to funding from Natural England and Natural Resources Wales; (6) Rolf Karez and the State Agency for Agriculture, Environment and Rural Areas, Lower Saxony, Germany who have a regular kelp monitoring program in the German North Sea with Philipp Schubert, being the main responsible diving expert; (7) Christian Wiencke (Alfred-Wegener-Institute, Bremerhaven, Germany) who established the recent quantitative diving study at Kongsfjorden, Spitsbergen, where the sampling was performed with major help from Max Schwanitz and Martin Paar; (8) Annalisa Falace who reviewed the data for the Adriatic Sea; (9) The Portuguese Foundation for Science and Technology (projects of Ester Serrao: EXCL/AAG-GLO/0661/2012 and PTDC/MAR-EST/6053/2014) and postdoctoral fellowship to JA (SFRH/BPD/111003/2015) and RA (SFRH/BPD/75843/2011); (10) The project TETRIS (PRIN 2010-2011, MIUR) for support to LA and EMS. This work was funded by the European Commission under FP7 as the coordination action KNEU-Developing a Knowledge Network for EUropean expertise on biodiversity and ecosystem services to inform policy making economic sectors (Grant No. 265299).</t>
  </si>
  <si>
    <t>10.1007/s10531-016-1141-7</t>
  </si>
  <si>
    <t>DQ2BT</t>
  </si>
  <si>
    <t>WOS:000379006400008</t>
  </si>
  <si>
    <t>Hunter, A; Speirs, DC; Heath, MR</t>
  </si>
  <si>
    <t>Hunter, Aidan; Speirs, Douglas C.; Heath, Michael R.</t>
  </si>
  <si>
    <t>Investigating trends in the growth of five demersal fish species from the Firth of Clyde and the wider western shelf of Scotland</t>
  </si>
  <si>
    <t>Firth of Clyde; Growth rate; Demersal fish</t>
  </si>
  <si>
    <t>SIZE-SELECTIVE MORTALITY; COD GADUS-MORHUA; BODY-SIZE; TEMPERATURE; LENGTH; AGE; POPULATION; TRAITS; DENSITY; HARVEST</t>
  </si>
  <si>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</si>
  <si>
    <t>[Hunter, Aidan; Speirs, Douglas C.; Heath, Michael R.] Univ Strathclyde, Dept Math &amp; Stat, Marine Populat Modelling Grp, 26 Richmond St, Glasgow G1 1XH, Lanark, Scotland</t>
  </si>
  <si>
    <t>University of Strathclyde</t>
  </si>
  <si>
    <t>Hunter, A (corresponding author), Univ Strathclyde, Dept Math &amp; Stat, Marine Populat Modelling Grp, 26 Richmond St, Glasgow G1 1XH, Lanark, Scotland.</t>
  </si>
  <si>
    <t>aidan.hunter@strath.ac.uk; d.c.speirs@strath.ac.uk; m.heath@strath.ac.uk</t>
  </si>
  <si>
    <t>Hunter, Aidan/HTP-5511-2023; Speirs, Douglas/D-7526-2013; Heath, Michael/D-5765-2013</t>
  </si>
  <si>
    <t>Heath, Michael/0000-0001-6602-3107; Hunter, Aidan/0000-0003-2621-9978; Speirs, Douglas/0000-0002-4367-1459;</t>
  </si>
  <si>
    <t>Natural Environment Research Council (NERC) [NE/K508911/1]; Marine Scotland Science (MSS) Marine Laboratory in Aberdeen [MF0762]; Natural Environment Research Council [1263497] Funding Source: researchfish</t>
  </si>
  <si>
    <t>Natural Environment Research Council (NERC)(UK Research &amp; Innovation (UKRI)Natural Environment Research Council (NERC)); Marine Scotland Science (MSS) Marine Laboratory in Aberdeen; Natural Environment Research Council(UK Research &amp; Innovation (UKRI)Natural Environment Research Council (NERC))</t>
  </si>
  <si>
    <t>Data not publicly available were provided by the Marine Scotland Science (MSS) Marine Laboratory in Aberdeen under research project MF0762, as part of a Memorandum of Understanding between MSS and the University of Strathclyde. The authors thank Dr Robin Cook for guidance in using OpenBUGS, and the Natural Environment Research Council (NERC) for funding this work (grant reference NE/K508911/1).</t>
  </si>
  <si>
    <t>10.1016/j.fishres.2016.01.005</t>
  </si>
  <si>
    <t>DG9BU</t>
  </si>
  <si>
    <t>Green Accepted, hybrid</t>
  </si>
  <si>
    <t>WOS:000372378600009</t>
  </si>
  <si>
    <t>Izmest'eva, LR; Moore, MV; Hampton, SE; Ferwerda, CJ; Gray, DK; Woo, KH; Pislegina, HV; Krashchuk, LS; Shimaraeva, SV; Silow, EA</t>
  </si>
  <si>
    <t>Izmest'eva, Lyubov R.; Moore, Marianne V.; Hampton, Stephanie E.; Ferwerda, Carolin J.; Gray, Derek K.; Woo, Kara H.; Pislegina, Helena V.; Krashchuk, Lyudmila S.; Shimaraeva, Svetlana V.; Silow, Eugene A.</t>
  </si>
  <si>
    <t>Lake-wide physical and biological trends associated with warming in Lake Baikal</t>
  </si>
  <si>
    <t>JOURNAL OF GREAT LAKES RESEARCH</t>
  </si>
  <si>
    <t>Lake warming; Eutrophication; Zooplankton; Lake Baikal; Lake monitoring</t>
  </si>
  <si>
    <t>CLIMATE-CHANGE; EUTROPHICATION; COPEPODS; PHYTOPLANKTON; ZOOPLANKTON; POLLUTION; IMPACTS; SIBERIA; CARBON; ALGAE</t>
  </si>
  <si>
    <t>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t>
  </si>
  <si>
    <t>[Izmest'eva, Lyubov R.; Pislegina, Helena V.; Krashchuk, Lyudmila S.; Shimaraeva, Svetlana V.; Silow, Eugene A.] Irkutsk State Univ, Inst Biol, POB 24, Irkutsk 664003, Russia; [Moore, Marianne V.] Wellesley Coll, Dept Biol Sci, Wellesley, MA 02481 USA; [Hampton, Stephanie E.; Woo, Kara H.] Washington State Univ, Ctr Environm Res Educ &amp; Outreach, Pullman, WA 99164 USA; [Ferwerda, Carolin J.] Wellesley Coll, Lib Serv, Wellesley, MA 02481 USA; [Ferwerda, Carolin J.] Wellesley Coll, Technol Serv, Wellesley, MA 02481 USA; [Gray, Derek K.] Calif Univ Penn, Dept Biol &amp; Environm Sci, California, PA 15419 USA; [Izmest'eva, Lyubov R.] 5th Armee St,46, Irkutsk 664025 3, Russia</t>
  </si>
  <si>
    <t>Irkutsk State University; Wellesley College; Washington State University; Wellesley College; Wellesley College; Pennsylvania State System of Higher Education (PASSHE); California University of Pennsylvania</t>
  </si>
  <si>
    <t>Moore, MV (corresponding author), Wellesley Coll, Dept Biol Sci, Wellesley, MA 02481 USA.</t>
  </si>
  <si>
    <t>mmoore@wellesley.edu</t>
  </si>
  <si>
    <t>Shimaraeva, Svetlana/ABC-7160-2021; Silow, Eugene/C-2958-2011</t>
  </si>
  <si>
    <t>Silow, Eugene/0000-0002-7039-3220; Woo, Kara/0000-0002-5125-4188; Hampton, Stephanie/0000-0003-2389-4249</t>
  </si>
  <si>
    <t>Russian Ministry of Education and Science research project [GR 01201461929]; Brachman Hoffman Fund; Fiske Fund; Committee on Faculty Awards at Wellesley College; Russian Science Foundation [14-14-00400]; Irkutsk State University; Dimensions of Biodiversity program of the US National Science Foundation [DEB-1136637, DEB-1136657]; Division Of Environmental Biology; Direct For Biological Sciences [1136710, 1136657] Funding Source: National Science Foundation; Russian Science Foundation [14-14-00400] Funding Source: Russian Science Foundation</t>
  </si>
  <si>
    <t>Russian Ministry of Education and Science research project; Brachman Hoffman Fund; Fiske Fund; Committee on Faculty Awards at Wellesley College; Russian Science Foundation(Russian Science Foundation (RSF)); Irkutsk State University; Dimensions of Biodiversity program of the US National Science Foundation; Division Of Environmental Biology; Direct For Biological Sciences(National Science Foundation (NSF)NSF - Directorate for Biological Sciences (BIO)); Russian Science Foundation(Russian Science Foundation (RSF))</t>
  </si>
  <si>
    <t>This paper is dedicated to Nadezhda P. Blokhina, Olga H. Pen'kova, Galina I. Pomazkova (zooplankton specialists) and other students, staff, faculty, ship captains, and crew members who collected or processed the limnological samples from the circumBaikal sampling program at Irkutsk State University's General Hydrobiology Laboratory of the Institute of Biology now supported by the Russian Ministry of Education and Science research project GR 01201461929. These Lake Baikal data are part of a data set (No. 2005620028 and No. 2014621482) registered with the government of the Russian Federation. Data analyses were supported by the Dimensions of Biodiversity program of the US National Science Foundation (DEB-1136637; DEB-1136657) in addition to the awards from the Brachman Hoffman Fund, Fiske Fund, and the Committee on Faculty Awards at Wellesley College. E. Silow was partially supported by the Russian Science Foundation Project No. 14-14-00400. A Howard Hughes grant and a Strategic Investment in Research and Teaching grant to Wellesley College supported student assistants from Irkutsk State University: Denis Axenov-Gribanov, Margarita Tsitsenko, Kirill Shchapov, and Nadia Shakhtanova. Student assistants from Wellesley College included Ashley Ortiz, Julia Shalnova, Genia Nizkorodov, Iris Lin, and Graeme Durovich. We are grateful to Jonathan Lefcheck for sharing the code to calculate the goodness of fit for mixed models and Steve Katz for many conversations about mixed models. We thank Oleg Timoshkin, Ted Ozersky, Nick Rodenhouse, and two anonymous reviewers for comments that improved the manuscript.</t>
  </si>
  <si>
    <t>0380-1330</t>
  </si>
  <si>
    <t>J GREAT LAKES RES</t>
  </si>
  <si>
    <t>J. Gt. Lakes Res.</t>
  </si>
  <si>
    <t>10.1016/j.jglr.2015.11.006</t>
  </si>
  <si>
    <t>Environmental Sciences; Limnology; Marine &amp; Freshwater Biology</t>
  </si>
  <si>
    <t>DD7PB</t>
  </si>
  <si>
    <t>WOS:000370115500002</t>
  </si>
  <si>
    <t>Olah, G; Butchart, SHM; Symes, A; Guzmán, IM; Cunningham, R; Brightsmith, DJ; Heinsohn, R</t>
  </si>
  <si>
    <t>Olah, George; Butchart, Stuart H. M.; Symes, Andy; Guzman, Iliana Medina; Cunningham, Ross; Brightsmith, Donald J.; Heinsohn, Robert</t>
  </si>
  <si>
    <t>Ecological and socio-economic factors affecting extinction risk in parrots</t>
  </si>
  <si>
    <t>Extinction risk; Anthropogenic threat; Psittaciformes; IUCN; Comparative analysis; Socioeconomics</t>
  </si>
  <si>
    <t>RED-LIST-INDEXES; DEVELOPING-COUNTRIES; NESTING BIRDS; CONSERVATION; URBANIZATION; BIODIVERSITY; TRADE; DEFORESTATION; PROGRESS; FORESTS</t>
  </si>
  <si>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</si>
  <si>
    <t>[Olah, George; Cunningham, Ross; Heinsohn, Robert] Australian Natl Univ, Fenner Sch Environm &amp; Soc, Frank Fenner Bldg 141, Canberra, ACT 0200, Australia; [Butchart, Stuart H. M.; Symes, Andy] BirdLife Int, Attenborough Bldg,Pembroke St, Cambridge CB2 3QZ, England; [Butchart, Stuart H. M.] Univ Cambridge, Dept Zool, Downing St, Cambridge CB2 3EJ, England; [Guzman, Iliana Medina] Australian Natl Univ, Res Sch Biol, Dept Ecol Evolut &amp; Genet, Canberra, ACT 0200, Australia; [Brightsmith, Donald J.] Texas A&amp;M Univ, Dept Vet Pathobiol, Schubot Exot Bird Hlth Ctr, College Stn, TX USA</t>
  </si>
  <si>
    <t>Australian National University; BirdLife International; University of Cambridge; Australian National University; Texas A&amp;M University System; Texas A&amp;M University College Station</t>
  </si>
  <si>
    <t>Olah, G (corresponding author), Australian Natl Univ, Fenner Sch Environm &amp; Soc, Frank Fenner Bldg 141, Canberra, ACT 0200, Australia.</t>
  </si>
  <si>
    <t>george.olah@anu.edu.au</t>
  </si>
  <si>
    <t>; Butchart, Stuart/Y-2711-2018; Brightsmith, Donald/AFP-6335-2022; Olah, George/J-1409-2014</t>
  </si>
  <si>
    <t>Brightsmith, Donald Joseph/0000-0002-3306-6490; Butchart, Stuart/0000-0002-1140-4049; Heinsohn, Robert/0000-0002-2514-9448; Olah, George/0000-0002-7935-8843</t>
  </si>
  <si>
    <t>10.1007/s10531-015-1036-z</t>
  </si>
  <si>
    <t>DD7XA</t>
  </si>
  <si>
    <t>WOS:000370137100001</t>
  </si>
  <si>
    <t>Wenger, AS; Williamson, DH; da Silva, ET; Ceccarelli, DM; Browne, NK; Petus, C; Devlin, MJ</t>
  </si>
  <si>
    <t>Wenger, Amelia S.; Williamson, David H.; da Silva, Eduardo T.; Ceccarelli, Daniela M.; Browne, Nicola K.; Petus, Caroline; Devlin, Michelle J.</t>
  </si>
  <si>
    <t>Effects of reduced water quality on coral reefs in and out of no-take marine reserves</t>
  </si>
  <si>
    <t>CONSERVATION BIOLOGY</t>
  </si>
  <si>
    <t>coastal development; disturbance; Great Barrier Reef; local adaptation; MPA; resilience</t>
  </si>
  <si>
    <t>GREAT-BARRIER-REEF; NUTRIENT ENRICHMENT; COMMUNITY STRUCTURE; PROTECTED AREAS; PUERTO-RICO; RESILIENCE; SEDIMENTATION; CONSERVATION; BIODIVERSITY; DEGRADATION</t>
  </si>
  <si>
    <t>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t>
  </si>
  <si>
    <t>[Wenger, Amelia S.; Williamson, David H.; Ceccarelli, Daniela M.] James Cook Univ, ARC Ctr Excellence Coral Reef Studies, Townsville, Qld 4811, Australia; [da Silva, Eduardo T.; Petus, Caroline; Devlin, Michelle J.] James Cook Univ, TropWater, Townsville, Qld 4811, Australia; [Browne, Nicola K.] Curtin Univ, Fac Sci &amp; Engn, Dept Environm &amp; Agr, Bentley Campus, Perth, WA 6102, Australia</t>
  </si>
  <si>
    <t>James Cook University; ARC Centre of Excellence for Coral Reef Studies; James Cook University; Curtin University</t>
  </si>
  <si>
    <t>Wenger, AS (corresponding author), James Cook Univ, ARC Ctr Excellence Coral Reef Studies, Townsville, Qld 4811, Australia.</t>
  </si>
  <si>
    <t>amelia.wenger@gmail.com</t>
  </si>
  <si>
    <t>Ceccarelli, Daniela/AAN-3577-2020; browne, Nicola/W-6612-2019; Devlin, Michelle Jillian/M-5870-2014; Petus, Caroline/A-6937-2015; Wenger, Amelia/S-9135-2019; Devlin, Michelle/HGC-1104-2022</t>
  </si>
  <si>
    <t>Williaon, David/0000-0001-8447-039X; Devlin, Michelle Jillian/0000-0003-2194-2534; Browne, nicola/0000-0002-7160-6865; Wenger, Amelia/0000-0002-0433-6164</t>
  </si>
  <si>
    <t>Australian Research Council; National Environmental Research Program; Marine Monitoring Program</t>
  </si>
  <si>
    <t>Australian Research Council(Australian Research Council); National Environmental Research Program; Marine Monitoring Program</t>
  </si>
  <si>
    <t>We acknowledge the Australian Research Council, the National Environmental Research Program, and the Marine Monitoring Program for funding and support. This paper greatly benefited from discussions with J. Lamb.</t>
  </si>
  <si>
    <t>0888-8892</t>
  </si>
  <si>
    <t>CONSERV BIOL</t>
  </si>
  <si>
    <t>Conserv. Biol.</t>
  </si>
  <si>
    <t>10.1111/cobi.12576</t>
  </si>
  <si>
    <t>DC0WG</t>
  </si>
  <si>
    <t>WOS:000368938000016</t>
  </si>
  <si>
    <t>Araújo, FG; de Azevedo, MCC; Guedes, APP</t>
  </si>
  <si>
    <t>Araujo, Francisco Gerson; Costa de Azevedo, Marcia Cristina; Penha Guedes, Ana Paula</t>
  </si>
  <si>
    <t>Inter-decadal changes in fish communities of a tropical bay in southeastern Brazil</t>
  </si>
  <si>
    <t>Estuarine fishes; Biodiversity; Habitat heterogeneity; Richness; Long-term change; Bay</t>
  </si>
  <si>
    <t>SEPETIBA BAY; TEMPORAL VARIATION; BIODIVERSITY LOSS; WATER-QUALITY; ASSEMBLAGES; MARINE; ESTUARY; ABUNDANCE; TRENDS; DIVERSITY</t>
  </si>
  <si>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</si>
  <si>
    <t>[Araujo, Francisco Gerson; Costa de Azevedo, Marcia Cristina; Penha Guedes, Ana Paula] Univ Fed Rural Rio de Janeiro, Lab Ecol Peixes, BR 465,Km 7, BR-23851930 Seropedica, RJ, Brazil</t>
  </si>
  <si>
    <t>Universidade Federal Rural do Rio de Janeiro (UFRRJ)</t>
  </si>
  <si>
    <t>Araújo, FG (corresponding author), Univ Fed Rural Rio de Janeiro, Lab Ecol Peixes, BR 465,Km 7, BR-23851930 Seropedica, RJ, Brazil.</t>
  </si>
  <si>
    <t>gerson@ufrrj.br</t>
  </si>
  <si>
    <t>Guedes, Ana/AAO-9848-2020; Araújo, Francisco/O-4343-2014</t>
  </si>
  <si>
    <t>Araújo, Francisco Gerson/0000-0003-4551-1974</t>
  </si>
  <si>
    <t>CNPq-Brazilian National Agency for Scientific and Technological Development [304954/2011-0]</t>
  </si>
  <si>
    <t>CNPq-Brazilian National Agency for Scientific and Technological Development(Conselho Nacional de Desenvolvimento Cientifico e Tecnologico (CNPQ)Fundacao de Apoio a Pesquisa do Distrito Federal (FAPDF))</t>
  </si>
  <si>
    <t>We thank Antonio Gomes Cruz-Filho, Andre Luiz Machado Pessanha and Iracema David Gomes for helping in fieldwork. This work was partially supported by CNPq-Brazilian National Agency for Scientific and Technological Development (Grants for the first author, Process: 304954/2011-0).</t>
  </si>
  <si>
    <t>10.1016/j.rsma.2015.06.001</t>
  </si>
  <si>
    <t>FM1QS</t>
  </si>
  <si>
    <t>WOS:000414755500014</t>
  </si>
  <si>
    <t>Berndes, G; Ahlgren, S; Börjesson, P; Cowie, AL</t>
  </si>
  <si>
    <t>Lund, PD; Byrne, J; Berndes, G; Vasalos, IA</t>
  </si>
  <si>
    <t>Berndes, Goran; Ahlgren, Serina; Borjesson, Pal; Cowie, Annette L.</t>
  </si>
  <si>
    <t>Bioenergy and Land Use Change-State of the Art</t>
  </si>
  <si>
    <t>ADVANCES IN BIOENERGY: THE SUSTAINABILITY CHALLENGE</t>
  </si>
  <si>
    <t>GREENHOUSE-GAS EMISSIONS; BIOFUELS TESTING PREDICTIONS; CLIMATE-CHANGE MITIGATION; ENERGY WOOD PRODUCTION; NET PRIMARY PRODUCTION; CARBON-DIOXIDE; TRADE-OFFS; STOVER REMOVAL; FOOD SECURITY; NORWAY SPRUCE</t>
  </si>
  <si>
    <t>[Berndes, Goran; Borjesson, Pal] Chalmers Univ Technol, Dept Energy &amp; Environm, Phys Resource Theory, Gothenburg, Sweden; [Ahlgren, Serina] Lund Univ, Dept Technol &amp; Soc Environm &amp; Energy Syst Studies, Lund, Sweden; [Cowie, Annette L.] Univ New England, Rural Climate Solut, Armidale, NSW, Australia</t>
  </si>
  <si>
    <t>Chalmers University of Technology; Lund University; University of New England</t>
  </si>
  <si>
    <t>Berndes, G (corresponding author), Chalmers Univ Technol, Dept Energy &amp; Environm, Phys Resource Theory, Gothenburg, Sweden.</t>
  </si>
  <si>
    <t>goran.berndes@chalmers.se</t>
  </si>
  <si>
    <t>Cowie, Annette/E-1485-2016</t>
  </si>
  <si>
    <t>JOHN WILEY &amp; SONS LTD</t>
  </si>
  <si>
    <t>CHICHESTER</t>
  </si>
  <si>
    <t>THE ATRIUM, SOUTHERN GATE, CHICHESTER PO19 8SQ, WEST SUSSEX, ENGLAND</t>
  </si>
  <si>
    <t>978-1-118-95786-8; 978-1-118-95787-5</t>
  </si>
  <si>
    <t>10.1002/wene.41</t>
  </si>
  <si>
    <t>10.1002/9781118957844</t>
  </si>
  <si>
    <t>Agricultural Engineering; Green &amp; Sustainable Science &amp; Technology; Energy &amp; Fuels</t>
  </si>
  <si>
    <t>Agriculture; Science &amp; Technology - Other Topics; Energy &amp; Fuels</t>
  </si>
  <si>
    <t>BF8SA</t>
  </si>
  <si>
    <t>WOS:000385226400017</t>
  </si>
  <si>
    <t>Han, JJ; Li, LH; Chu, HS; Miao, Y; Chen, SP; Chen, JQ</t>
  </si>
  <si>
    <t>Han, Juanjuan; Li, Linghao; Chu, Housen; Miao, Yuan; Chen, Shiping; Chen, Jiquan</t>
  </si>
  <si>
    <t>The effects of grazing and watering on ecosystem CO2 fluxes vary by community phenology</t>
  </si>
  <si>
    <t>ENVIRONMENTAL RESEARCH</t>
  </si>
  <si>
    <t>Human disturbances; Phenology; Carbon; Desert steppe; Grazing; Water</t>
  </si>
  <si>
    <t>CARBON SEQUESTRATION; FLOWERING PHENOLOGY; CHANGING CLIMATE; PLANT-GROWTH; LAND-COVER; SOIL; EVAPOTRANSPIRATION; RESPIRATION; RESPONSES; DROUGHT</t>
  </si>
  <si>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</si>
  <si>
    <t>[Han, Juanjuan] Nanjing Univ Informat Sci &amp; Technol, Int Ctr Ecol Meteorol &amp; Environm, Nanjing 210044, Jiangsu, Peoples R China; [Han, Juanjuan; Li, Linghao; Chen, Shiping] Chinese Acad Sci, Inst Bot, Key Lab Vegetat &amp; Environm Change, Beijing 100093, Peoples R China; [Chen, Jiquan] Michigan State Univ, CGCEO Geog, E Lansing, MI 48824 USA; [Chu, Housen] Univ Calif Berkeley, Dept Environm Sci Policy &amp; Management, Berkeley, CA 94720 USA; [Miao, Yuan] Henan Univ, Coll Life Sci, China &amp; State Key Lab Cotton Biol, Key Lab Plant Stress Biol, Kaifeng 475004, Henan, Peoples R China</t>
  </si>
  <si>
    <t>Nanjing University of Information Science &amp; Technology; Chinese Academy of Sciences; Institute of Botany, CAS; Michigan State University; University of California System; University of California Berkeley; Henan University</t>
  </si>
  <si>
    <t>Chen, JQ (corresponding author), Michigan State Univ, CGCEO Geog, E Lansing, MI 48824 USA.</t>
  </si>
  <si>
    <t>jqchen@msu.edu</t>
  </si>
  <si>
    <t>Chen, Shiping/AAH-9751-2019; Li, Linghao/NXX-9139-2025; Chen, Jiquan/D-1955-2009; Chu, Housen/Q-6517-2016</t>
  </si>
  <si>
    <t>Chen, Jiquan/0000-0003-0761-9458; Chu, Housen/0000-0002-8131-4938</t>
  </si>
  <si>
    <t>National Natural Science Foundation of China [31500403, 31229001]; NSF [1313761]; China Postdoctoral Science Foundation; ICER; Directorate For Geosciences [1523628] Funding Source: National Science Foundation; ICER; Directorate For Geosciences [1313761] Funding Source: National Science Foundation</t>
  </si>
  <si>
    <t>National Natural Science Foundation of China(National Natural Science Foundation of China (NSFC)); NSF(National Science Foundation (NSF)); China Postdoctoral Science Foundation(China Postdoctoral Science Foundation); ICER; Directorate For Geosciences(National Science Foundation (NSF)NSF - Directorate for Geosciences (GEO)); ICER; Directorate For Geosciences(National Science Foundation (NSF)NSF - Directorate for Geosciences (GEO))</t>
  </si>
  <si>
    <t>We thank Guodong Han for maintaining the grazing platform and constructive suggestions for phenological observation. We also thank to Gabriela Shirkey for language editing of the manuscript. Our research were supported by the National Natural Science Foundation of China (31500403, 31229001), the Dynamics of Coupled Natural and Human Systems (CNH) Program of the NSF (#1313761), and China Postdoctoral Science Foundation.</t>
  </si>
  <si>
    <t>ACADEMIC PRESS INC ELSEVIER SCIENCE</t>
  </si>
  <si>
    <t>SAN DIEGO</t>
  </si>
  <si>
    <t>525 B ST, STE 1900, SAN DIEGO, CA 92101-4495 USA</t>
  </si>
  <si>
    <t>0013-9351</t>
  </si>
  <si>
    <t>1096-0953</t>
  </si>
  <si>
    <t>ENVIRON RES</t>
  </si>
  <si>
    <t>Environ. Res.</t>
  </si>
  <si>
    <t>10.1016/j.envres.2015.09.002</t>
  </si>
  <si>
    <t>Environmental Sciences; Public, Environmental &amp; Occupational Health</t>
  </si>
  <si>
    <t>Environmental Sciences &amp; Ecology; Public, Environmental &amp; Occupational Health</t>
  </si>
  <si>
    <t>CY5JF</t>
  </si>
  <si>
    <t>WOS:000366443200007</t>
  </si>
  <si>
    <t>Knop, E</t>
  </si>
  <si>
    <t>Knop, Eva</t>
  </si>
  <si>
    <t>Biotic homogenization of three insect groups due to urbanization</t>
  </si>
  <si>
    <t>arthropods; Auchenorrhyncha; beta-diversity; biodiversity; Coleoptera; Heteroptera; nestedness; urbanization</t>
  </si>
  <si>
    <t>SPECIES RICHNESS; BETA-DIVERSITY; URBAN FLORAS; BIODIVERSITY; PATTERNS; SIMILARITY; TURNOVER; INVASION; DISTANCE; ECOLOGY</t>
  </si>
  <si>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</si>
  <si>
    <t>[Knop, Eva] Univ Bern, Dept Community Ecol, Inst Ecol &amp; Evolut, CH-3012 Bern, Switzerland</t>
  </si>
  <si>
    <t>University of Bern</t>
  </si>
  <si>
    <t>Knop, E (corresponding author), Univ Bern, Dept Community Ecol, Inst Ecol &amp; Evolut, Baltzerstr 6, CH-3012 Bern, Switzerland.</t>
  </si>
  <si>
    <t>evaknop@gmx.ch</t>
  </si>
  <si>
    <t>Knop, Eva/D-2298-2018</t>
  </si>
  <si>
    <t>Knop, Eva/0000-0001-9402-2216</t>
  </si>
  <si>
    <t>10.1111/gcb.13091</t>
  </si>
  <si>
    <t>DA7KL</t>
  </si>
  <si>
    <t>WOS:000367982900018</t>
  </si>
  <si>
    <t>Banger, K; Tian, HQ; Tao, B; Ren, W; Pan, SF; Dangal, S; Yang, J</t>
  </si>
  <si>
    <t>Banger, Kamaljit; Tian, Hanqin; Tao, Bo; Ren, Wei; Pan, Shufen; Dangal, Shree; Yang, Jia</t>
  </si>
  <si>
    <t>Terrestrial net primary productivity in India during 1901-2010: contributions from multiple environmental changes</t>
  </si>
  <si>
    <t>CLIMATIC CHANGE</t>
  </si>
  <si>
    <t>CARBON STORAGE; TROPOSPHERIC OZONE; CLIMATE-CHANGE; AMAZONIAN ECOSYSTEMS; PLANT RESPIRATION; SATELLITE DATA; SURFACE OZONE; GLOBAL CHANGE; MONSOON ASIA; SOIL QUALITY</t>
  </si>
  <si>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</si>
  <si>
    <t>[Banger, Kamaljit; Tian, Hanqin; Tao, Bo; Ren, Wei; Pan, Shufen; Dangal, Shree; Yang, Jia] Auburn Univ, Sch Forestry &amp; Wildlife Sci, Int Ctr Climate &amp; Global Change Res, Auburn, AL 36849 USA</t>
  </si>
  <si>
    <t>Auburn University System; Auburn University</t>
  </si>
  <si>
    <t>Tian, HQ (corresponding author), Auburn Univ, Sch Forestry &amp; Wildlife Sci, Int Ctr Climate &amp; Global Change Res, Auburn, AL 36849 USA.</t>
  </si>
  <si>
    <t>tianhan@auburn.edu</t>
  </si>
  <si>
    <t>Banger, Kamaljit/B-3215-2016; Tian, Hanqin/A-6484-2012; Ren, Wei/G-8317-2016; TAO, BO/I-4166-2014; Pan, Shufen/JJC-1864-2023; Dangal, Shree/N-3393-2015; Yang, Jia/A-6483-2012</t>
  </si>
  <si>
    <t>Tian, Hanqin/0000-0002-1806-4091; Pan, Shufen/0000-0001-7920-1427;</t>
  </si>
  <si>
    <t>NASA Land Cover and Land Use Change Program [NNX08AL73G]; US National Science Foundation [AGS-1243232, CNS-1059376]; NASA [98551, NNX08AL73G] Funding Source: Federal RePORTER</t>
  </si>
  <si>
    <t>NASA Land Cover and Land Use Change Program(National Aeronautics &amp; Space Administration (NASA)); US National Science Foundation(National Science Foundation (NSF)); NASA(National Aeronautics &amp; Space Administration (NASA))</t>
  </si>
  <si>
    <t>This study has been supported by NASA Land Cover and Land Use Change Program (NNX08AL73G) and US National Science Foundation Grants (AGS-1243232, CNS-1059376).</t>
  </si>
  <si>
    <t>0165-0009</t>
  </si>
  <si>
    <t>1573-1480</t>
  </si>
  <si>
    <t>Clim. Change</t>
  </si>
  <si>
    <t>OCT</t>
  </si>
  <si>
    <t>10.1007/s10584-015-1448-5</t>
  </si>
  <si>
    <t>CS1CC</t>
  </si>
  <si>
    <t>WOS:000361799100009</t>
  </si>
  <si>
    <t>Bernhardt-Römermann, M; Baeten, L; Craven, D; De Frenne, P; Hédl, R; Lenoir, J; Bert, D; Brunet, J; Chudomelová, M; Decocq, G; Dierschke, H; Dirnböck, T; Dörfler, I; Heinken, T; Hermy, M; Hommel, P; Jaroszewicz, B; Keczynski, A; Kelly, DL; Kirby, KJ; Kopecky, M; Macek, M; Mális, F; Mirtl, M; Mitchell, FJG; Naaf, T; Newman, M; Peterken, G; Petrík, P; Schmidt, W; Standovár, T; Tóth, Z; Van Calster, H; Verstraeten, G; Vladovic, J; Vild, O; Wulf, M; Verheyen, K</t>
  </si>
  <si>
    <t>Bernhardt-Roemermann, Markus; Baeten, Lander; Craven, Dylan; De Frenne, Pieter; Hedl, Radim; Lenoir, Jonathan; Bert, Didier; Brunet, Jorg; Chudomelova, Marketa; Decocq, Guillaume; Dierschke, Hartmut; Dirnboeck, Thomas; Doerfler, Inken; Heinken, Thilo; Hermy, Martin; Hommel, Patrick; Jaroszewicz, Bogdan; Keczynski, Andrzej; Kelly, Daniel L.; Kirby, Keith J.; Kopecky, Martin; Macek, Martin; Malis, Frantisek; Mirtl, Michael; Mitchell, Fraser J. G.; Naaf, Tobias; Newman, Miles; Peterken, George; Petrik, Petr; Schmidt, Wolfgang; Standovar, Tibor; Toth, Zoltan; Van Calster, Hans; Verstraeten, Gorik; Vladovic, Jozef; Vild, Ondrej; Wulf, Monika; Verheyen, Kris</t>
  </si>
  <si>
    <t>Drivers of temporal changes in temperate forest plant diversity vary across spatial scales</t>
  </si>
  <si>
    <t>atmospheric nitrogen deposition; evenness; forestREplot; forest management; game browsing; Shannon diversity; spatiotemporal resurvey data; species richness</t>
  </si>
  <si>
    <t>CLIMATE-CHANGE IMPACTS; NITROGEN DEPOSITION; DECIDUOUS FOREST; HERBACEOUS LAYER; BIODIVERSITY CHANGE; COMMUNITY CHANGES; SPECIES RICHNESS; METAANALYSIS; VEGETATION; WOODLAND</t>
  </si>
  <si>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</si>
  <si>
    <t>[Bernhardt-Roemermann, Markus] Univ Jena, Inst Ecol, D-07743 Jena, Germany; [Baeten, Lander; De Frenne, Pieter; Verstraeten, Gorik; Verheyen, Kris] Univ Ghent, Forest &amp; Nat Lab, B-9090 Gontrode Melle, Belgium; [Baeten, Lander] Univ Ghent, Terr Ecol Unit, Dept Biol, B-9000 Ghent, Belgium; [Craven, Dylan] German Ctr Integrat Biodivers Res iDiv, Synth Ctr Biodivers Sci sDiv, D-04103 Leipzig, Germany; [Craven, Dylan] Univ Leipzig, Inst Biol, D-04103 Leipzig, Germany; [Hedl, Radim; Chudomelova, Marketa; Kopecky, Martin; Vild, Ondrej] Acad Sci Czech Republ, Inst Bot, Dept Vegetat Ecol, CZ-60200 Brno, Czech Republic; [Hedl, Radim] Palacky Univ, Dept Bot, Fac Sci, CZ-78371 Olomouc, Czech Republic; [Lenoir, Jonathan; Decocq, Guillaume] Jules Verne Univ Picardie, EDYSAN, FRE CNRS UPJV 3498, Ecol &amp; Dynam Syst Anthropises, F-80037 Amiens, France; [Bert, Didier] INRA, UMR BIOGECO 1202, F-33610 Cestas, France; [Bert, Didier] Univ Bordeaux, BIOGECO, UMR1202, F-33615 Pessac, France; [Brunet, Jorg] Swedish Univ Agr Sci, Southern Swedish Forest Res Ctr, S-23053 Alnarp, Sweden; [Chudomelova, Marketa; Vild, Ondrej] Masaryk Univ, Dept Bot &amp; Zool, CZ-61137 Brno, Czech Republic; [Dierschke, Hartmut] Univ Gottingen, Albrecht von Haller Inst Plant Sci, Dept Vegetat &amp; Phytodivers Anal, D-37073 Gottingen, Germany; [Dirnboeck, Thomas; Mirtl, Michael] Environm Agcy Austria, Ecosyst Res &amp; Environm Informat Management, A-1090 Vienna, Austria; [Doerfler, Inken] Tech Univ Munich, Dept Ecol &amp; Ecosyst management, D-85350 Freising Weihenstephan, Germany; [Heinken, Thilo] Univ Potsdam, Inst Biochem &amp; Biol, Biodivers Res Systemat Bot, D-14471 Potsdam, Germany; [Hermy, Martin] Katholieke Univ Leuven, Dept Earth &amp; Environm Sci, Div Forest Nat &amp; Landscape, B-3001 Louvain, Belgium; [Hommel, Patrick] Wageningen UR, Alterra Res Inst, NL-6700 AA Wageningen, Netherlands; [Jaroszewicz, Bogdan] Univ Warsaw, Bialowieza Geobot Stn, Fac Biol, PL-17230 Bialowieza, Poland; [Keczynski, Andrzej] Bialowieza Natl Pk, PL-17230 Bialowieza, Poland; [Kelly, Daniel L.; Mitchell, Fraser J. G.; Newman, Miles] Univ Dublin Trinity Coll, Sch Nat Sci, Dept Bot, Dublin 2, Ireland; [Kelly, Daniel L.; Mitchell, Fraser J. G.; Newman, Miles] Univ Dublin Trinity Coll, Sch Nat Sci, Trinity Ctr Biodivers Res, Dublin 2, Ireland; [Kirby, Keith J.] Univ Oxford, Dept Plant Sci, Oxford OX1 3RB, England; [Macek, Martin; Petrik, Petr] Acad Sci Czech Republ, Inst Bot, Dept GIS &amp; Remote Sensing, CZ-25243 Pruhonice, Czech Republic; [Malis, Frantisek] Tech Univ Zvolen, Fac Forestry, SK-96053 Zvolen, Slovakia; [Malis, Frantisek; Vladovic, Jozef] Forest Res Inst Zvolen, Natl Forest Ctr, SK-96052 Zvolen, Slovakia; [Naaf, Tobias; Wulf, Monika] Leibniz Ctr Agr Landscape Res ZALF, Inst Land Use Syst, D-15374 Muncheberg, Germany; [Schmidt, Wolfgang] Univ Gottingen, Burckhardt Inst, Dept Silviculture &amp; Forest Ecol Temperate Zones, D-37077 Gottingen, Germany; [Standovar, Tibor; Toth, Zoltan] Eotvos Lorand Univ, Inst Biol, Dept Plant Systemat Ecol &amp; Theoret Biol, H-1117 Budapest, Hungary; [Van Calster, Hans] Res Inst Nat &amp; Forest, B-1070 Brussels, Belgium; [Wulf, Monika] Univ Potsdam, Inst Biochem &amp; Biol, D-14469 Potsdam, Germany</t>
  </si>
  <si>
    <t>Friedrich Schiller University of Jena; Ghent University; Ghent University; German Research Foundation (DFG); German Centre for Integrative Biodiversity Research (iDiv); Leipzig University; Czech Academy of Sciences; Institute of Botany of the Czech Academy of Sciences; Palacky University Olomouc; Universite de Picardie Jules Verne (UPJV); INRAE; Universite de Bordeaux; Swedish University of Agricultural Sciences; Masaryk University; University of Gottingen; Technical University of Munich; University of Potsdam; KU Leuven; Wageningen University &amp; Research; University of Warsaw; Trinity College Dublin; Trinity College Dublin; University of Oxford; Czech Academy of Sciences; Institute of Botany of the Czech Academy of Sciences; Technical University Zvolen; National Forest Center - Slovakia; Leibniz Association; Leibniz Zentrum fur Agrarlandschaftsforschung (ZALF); University of Gottingen; Eotvos Lorand University; Research Institute for Nature &amp; Forest; University of Potsdam</t>
  </si>
  <si>
    <t>Bernhardt-Römermann, M (corresponding author), Univ Jena, Inst Ecol, Dornburger Str 159, D-07743 Jena, Germany.</t>
  </si>
  <si>
    <t>markus.bernhardt@uni-jena.de</t>
  </si>
  <si>
    <t>; Bert, Didier/JZE-3544-2024; Malis, Frantisek/AAD-5364-2019; Macek, Martin/A-3371-2016; Standovár, Tibor/H-5021-2017; Mitchell, Fraser/L-9292-2014; Baeten, Lander/G-1490-2010; Hermy, Martin/A-3769-2009; Heinken, Thilo/GRS-3133-2022; Lenoir, Jonathan/AAE-8441-2019; Mirtl, Michael/LEM-0818-2024; Naaf, Tobias/AAS-7183-2020; Petřík, Petr/H-1649-2014; De Frenne, Pieter/N-4969-2014; Bernhardt-Römermann, Markus/B-3027-2009; Chudomelová, Markéta/KFS-0934-2024; Hédl, Radim/A-5631-2011; Vild, Ondřej/AAC-4043-2019; Máliš, František/R-8687-2016; Kopecký, Martin/A-1466-2009; Craven, Dylan/K-2717-2012; Jaroszewicz, Bogdan/AAC-8184-2020; Brunet, Jörg/B-3583-2012</t>
  </si>
  <si>
    <t>Verheyen, Kris/0000-0002-2067-9108; Chudomelová, Markéta/0000-0001-7845-4000; Macek, Martin/0000-0002-5609-5921; Craven, Dylan/0000-0003-3940-833X; Naaf, Tobias/0000-0002-4809-3694; Petřík, Petr/0000-0001-8518-6737; De Frenne, Pieter/0000-0002-8613-0943; Dirnböck, Thomas/0000-0002-8294-0690; Mitchell, Fraser/0000-0002-9857-5632; Baeten, Lander/0000-0003-4262-9221; Jaroszewicz, Bogdan/0000-0002-2042-8245; Van Calster, Hans/0000-0001-8595-8426; Máliš, František/0000-0003-2760-6988; Vild, Ondřej/0000-0002-0728-2392; Kopecký, Martin/0000-0002-1018-9316</t>
  </si>
  <si>
    <t>European Research Council under European Union's Seventh Framework Program - ERC Grant [278065]; Ministry of Education of the Czech Republic [CZ.1.07/2.3.00/20.0267]; ERC Consolidator Grant [614839 - PASTFORWARD]; National Parks &amp; Wildlife Service of Government of Ireland; German Centre for Integrative Biodiversity Research (iDiv) Halle-Jena-Leipzig - German Science Foundation [FZT 118]; [RVO 67985939]</t>
  </si>
  <si>
    <t>European Research Council under European Union's Seventh Framework Program - ERC Grant(European Research Council (ERC)); Ministry of Education of the Czech Republic(Ministry of Education, Youth &amp; Sports - Czech Republic); ERC Consolidator Grant(European Research Council (ERC)); National Parks &amp; Wildlife Service of Government of Ireland; German Centre for Integrative Biodiversity Research (iDiv) Halle-Jena-Leipzig - German Science Foundation;</t>
  </si>
  <si>
    <t>YY The research of RH, MC, MK, FM, MM, PP, and OV has received funding from the European Research Council under the European Union's Seventh Framework Program (FP7/2007-2013) - ERC Grant agreement no. 278065, long-term research development project no. RVO 67985939, and grant no. CZ.1.07/2.3.00/20.0267 of the Ministry of Education of the Czech Republic. The research of KV is supported by the ERC Consolidator Grant 614839 - PASTFORWARD. The research of DLK, FJGM, and MN has been supported by the National Parks &amp; Wildlife Service of the Government of Ireland. DC was supported by the German Centre for Integrative Biodiversity Research (iDiv) Halle-Jena-Leipzig, funded by the German Science Foundation (FZT 118). We thank Germund Tyler and Johnny Cornelis for providing data.</t>
  </si>
  <si>
    <t>10.1111/gcb.12993</t>
  </si>
  <si>
    <t>CR0FS</t>
  </si>
  <si>
    <t>WOS:000360994500014</t>
  </si>
  <si>
    <t>Brummitt, NA; Bachman, SP; Griffiths-Lee, J; Lutz, M; Moat, JF; Farjon, A; Donaldson, JS; Hilton-Taylor, C; Meagher, TR; Albuquerque, S; Aletrari, E; Andrews, AK; Atchison, G; Baloch, E; Barlozzini, B; Brunazzi, A; Carretero, J; Celesti, M; Chadburn, H; Cianfoni, E; Cockel, C; Coldwell, V; Concetti, B; Contu, S; Crook, V; Dyson, P; Gardiner, L; Ghanim, N; Greene, H; Groom, A; Harker, R; Hopkins, D; Khela, S; Lakeman-Fraser, P; Lindon, H; Lockwood, H; Loftus, C; Lombrici, D; Lopez-Poveda, L; Lyon, J; Malcolm-Tompkins, P; McGregor, K; Moreno, L; Murray, L; Nazar, K; Power, E; Tuijtelaars, MQ; Salter, R; Segrott, R; Thacker, H; Thomas, LJ; Tingvoll, S; Watkinson, G; Wojtaszekova, K; Lughadha, EMN</t>
  </si>
  <si>
    <t>Brummitt, Neil A.; Bachman, Steven P.; Griffiths-Lee, Janine; Lutz, Maiko; Moat, Justin F.; Farjon, Aljos; Donaldson, John S.; Hilton-Taylor, Craig; Meagher, Thomas R.; Albuquerque, Sara; Aletrari, Elina; Andrews, A. Kei; Atchison, Guy; Baloch, Elisabeth; Barlozzini, Barbara; Brunazzi, Alice; Carretero, Julia; Celesti, Marco; Chadburn, Helen; Cianfoni, Eduardo; Cockel, Chris; Coldwell, Vanessa; Concetti, Benedetta; Contu, Sara; Crook, Vicki; Dyson, Philippa; Gardiner, Lauren; Ghanim, Nadia; Greene, Hannah; Groom, Alice; Harker, Ruth; Hopkins, Della; Khela, Sonia; Lakeman-Fraser, Poppy; Lindon, Heather; Lockwood, Helen; Loftus, Christine; Lombrici, Debora; Lopez-Poveda, Lucia; Lyon, James; Malcolm-Tompkins, Patricia; McGregor, Kirsty; Moreno, Laura; Murray, Linda; Nazar, Keara; Power, Emily; Tuijtelaars, Mireya Quiton; Salter, Ruth; Segrott, Robert; Thacker, Hannah; Thomas, Leighton J.; Tingvoll, Sarah; Watkinson, Gemma; Wojtaszekova, Katerina; Lughadha, Eimear M. Nic</t>
  </si>
  <si>
    <t>Green Plants in the Red: A Baseline Global Assessment for the IUCN Sampled Red List Index for Plants</t>
  </si>
  <si>
    <t>CONSERVATION ASSESSMENT; EXTINCTION RISK; BIODIVERSITY; PROGRESS; TRENDS; CONVENTION; DIVERSITY; THREAT</t>
  </si>
  <si>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</si>
  <si>
    <t>[Brummitt, Neil A.; Aletrari, Elina; Atchison, Guy; Contu, Sara; Greene, Hannah; Harker, Ruth; Hopkins, Della; Lindon, Heather; Lopez-Poveda, Lucia] Nat Hist Museum, London SW7 5BD, England; [Bachman, Steven P.; Griffiths-Lee, Janine; Lutz, Maiko; Moat, Justin F.; Farjon, Aljos; Albuquerque, Sara; Aletrari, Elina; Andrews, A. Kei; Baloch, Elisabeth; Barlozzini, Barbara; Brunazzi, Alice; Carretero, Julia; Celesti, Marco; Chadburn, Helen; Cianfoni, Eduardo; Cockel, Chris; Coldwell, Vanessa; Concetti, Benedetta; Contu, Sara; Crook, Vicki; Dyson, Philippa; Gardiner, Lauren; Ghanim, Nadia; Groom, Alice; Harker, Ruth; Khela, Sonia; Lakeman-Fraser, Poppy; Lindon, Heather; Lockwood, Helen; Loftus, Christine; Lombrici, Debora; Lopez-Poveda, Lucia; Lyon, James; Malcolm-Tompkins, Patricia; McGregor, Kirsty; Moreno, Laura; Murray, Linda; Nazar, Keara; Power, Emily; Tuijtelaars, Mireya Quiton; Salter, Ruth; Segrott, Robert; Thacker, Hannah; Thomas, Leighton J.; Tingvoll, Sarah; Watkinson, Gemma; Wojtaszekova, Katerina; Lughadha, Eimear M. Nic] Royal Bot Gardens, Richmond TW9 3AB, Surrey, England; [Bachman, Steven P.; Moat, Justin F.] Univ Nottingham, Sch Geog, Nottingham NG7 2RD, England; [Donaldson, John S.] KRC, South African Natl Biodivers Inst, Claremont, South Africa; [Hilton-Taylor, Craig] IUCN Red List Unit, Cambridge, England; [Meagher, Thomas R.] Univ St Andrews, Sch Biol, St Andrews, Fife, Scotland; [Aletrari, Elina] Kings Coll London, London WC2R 2LS, England</t>
  </si>
  <si>
    <t>Natural History Museum London; Royal Botanic Gardens, Kew; University of Nottingham; South African National Biodiversity Institute; University of St Andrews; University of London; King's College London</t>
  </si>
  <si>
    <t>Brummitt, NA (corresponding author), Nat Hist Museum, Cromwell Rd, London SW7 5BD, England.</t>
  </si>
  <si>
    <t>n.brummitt@nhm.ac.uk</t>
  </si>
  <si>
    <t>; Lughadha, Eimear/N-4560-2014; Celesti, Marco/M-6738-2019; Albuquerque, Sara/O-9327-2014; Donaldson, John/F-6833-2011; Nic Lughadha, Eimear/N-4560-2014</t>
  </si>
  <si>
    <t>Celesti, Marco/0000-0001-7249-7106; McGregor, Kirsty/0000-0003-3696-7216; Gardiner, Lauren/0000-0002-8843-0317; Moat, Justin/0000-0002-5513-3615; Carretero, Julia/0000-0002-3697-1947; Bachman, Steven/0000-0003-1085-6075; Donaldson, John/0000-0002-7930-1695; Nic Lughadha, Eimear/0000-0002-8806-4345; Lutz, Maiko/0000-0002-6695-8380</t>
  </si>
  <si>
    <t>Charles Wolfson Charitable Trust; Esmee Fairbairn Foundation; Rio Tinto plc.; World Summit on Sustainable Development Implementation Fund of the Department of Environment; Food and Rural Affairs (Defra) of the United Kingdom government; World Collections Programme; Natural History Museum; Royal Botanic Gardens, Kew; Rufford Foundation; MAVA Foundation; Environment Agency of Abu Dhabi; NERC [NE/L013045/1] Funding Source: UKRI; Natural Environment Research Council [NE/L013045/1] Funding Source: researchfish</t>
  </si>
  <si>
    <t>Charles Wolfson Charitable Trust; Esmee Fairbairn Foundation; Rio Tinto plc.; World Summit on Sustainable Development Implementation Fund of the Department of Environment; Food and Rural Affairs (Defra) of the United Kingdom government; World Collections Programme; Natural History Museum; Royal Botanic Gardens, Kew; Rufford Foundation; MAVA Foundation; Environment Agency of Abu Dhabi; NERC(UK Research &amp; Innovation (UKRI)Natural Environment Research Council (NERC)); Natural Environment Research Council(UK Research &amp; Innovation (UKRI)Natural Environment Research Council (NERC))</t>
  </si>
  <si>
    <t>Funding and support for the first phase of the IUCN Sampled Red List Index for Plants has been provided by the Charles Wolfson Charitable Trust, the Esmee Fairbairn Foundation, Rio Tinto plc., the World Summit on Sustainable Development Implementation Fund of the Department of Environment, Food and Rural Affairs (Defra) of the United Kingdom government and the World Collections Programme, as well as The Natural History Museum and the Royal Botanic Gardens, Kew. The IUCN Red List Unit is generously supported by the Rufford Foundation, the MAVA Foundation and the Environment Agency of Abu Dhabi. Artisan Plant Nurseries did not have any additional role in the study design, data collection and analysis, decision to publish, or preparation of the manuscript. Rio Tinto plc. contributed to the funding of digitisation of specimen data and Red List assessment generation during the course of the project, but in no way did this hold any influence over the scientific outputs of this project. The funders had no role in the study design, data collection and analysis, decision to publish, or preparation of the manuscript.</t>
  </si>
  <si>
    <t>AUG 7</t>
  </si>
  <si>
    <t>e0135152</t>
  </si>
  <si>
    <t>10.1371/journal.pone.0135152</t>
  </si>
  <si>
    <t>CO4HF</t>
  </si>
  <si>
    <t>WOS:000359121100125</t>
  </si>
  <si>
    <t>Ginter, K; Kangur, A; Kangur, P; Kangur, K</t>
  </si>
  <si>
    <t>Ginter, Kai; Kangur, Andu; Kangur, Peeter; Kangur, Kuelil</t>
  </si>
  <si>
    <t>Consequences of size-selective harvesting and changing climate on the pikeperch Sander lucioperca in two large shallow north temperate lakes</t>
  </si>
  <si>
    <t>Pikeperch; Truncation of size-structure; Fisheries; Large lakes; Size-selective fishing</t>
  </si>
  <si>
    <t>FISHERIES MANAGEMENT; SPATIAL-DISTRIBUTION; POPULATION-DYNAMICS; PARNU BAY; PEIPSI; L.; PHOSPHORUS; VORTSJARV; GROWTH; BIODIVERSITY</t>
  </si>
  <si>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</si>
  <si>
    <t>[Ginter, Kai; Kangur, Andu; Kangur, Peeter; Kangur, Kuelil] Estonian Univ Life Sci, Ctr Limnol, Inst Agr &amp; Environm Sci, EE-61117 Rannu, Estonia</t>
  </si>
  <si>
    <t>Estonian University of Life Sciences</t>
  </si>
  <si>
    <t>Ginter, K (corresponding author), Estonian Univ Life Sci, Ctr Limnol, Inst Agr &amp; Environm Sci, EE-61117 Rannu, Estonia.</t>
  </si>
  <si>
    <t>kai.ginter@emu.ee</t>
  </si>
  <si>
    <t>Ginter, Kai/G-9358-2017; Kangur, Külli/H-3631-2016</t>
  </si>
  <si>
    <t>Ginter, Kai/0000-0001-8222-1517; Kangur, Külli/0000-0003-2484-4075</t>
  </si>
  <si>
    <t>Estonian Science Foundation [6820]; Estonian Target Financed Project [SF0170006s08]</t>
  </si>
  <si>
    <t>Estonian Science Foundation(Estonian Research Council); Estonian Target Financed Project</t>
  </si>
  <si>
    <t>The research was supported by the Estonian Science Foundation (Grant number 6820) and the Estonian Target Financed Project SF0170006s08. We gratefully acknowledge Elsevier Language Service for language editing and Marina Haldna for guidance in statistical modelling. We are also grateful to the Estonian-Swiss Cooperation Programme Project Increasing the capability of environmental monitoring on Estonian lakes and rivers for basic infrastructure modernisation.</t>
  </si>
  <si>
    <t>10.1016/j.fishres.2014.12.016</t>
  </si>
  <si>
    <t>CF7PM</t>
  </si>
  <si>
    <t>WOS:000352748800007</t>
  </si>
  <si>
    <t>Piao, SL; Yin, GD; Tan, JG; Cheng, L; Huang, MT; Li, Y; Liu, RG; Mao, JF; Myneni, RB; Peng, SS; Poulter, B; Shi, XY; Xiao, ZQ; Zeng, N; Zeng, ZZ; Wang, YP</t>
  </si>
  <si>
    <t>Piao, Shilong; Yin, Guodong; Tan, Jianguang; Cheng, Lei; Huang, Mengtian; Li, Yue; Liu, Ronggao; Mao, Jiafu; Myneni, Ranga B.; Peng, Shushi; Poulter, Ben; Shi, Xiaoying; Xiao, Zhiqiang; Zeng, Ning; Zeng, ZhenZhong; Wang, Yingping</t>
  </si>
  <si>
    <t>Detection and attribution of vegetation greening trend in China over the last 30 years</t>
  </si>
  <si>
    <t>afforestation; attribution; China; CO2 fertilization effect; detection; greening trend; nitrogen deposition</t>
  </si>
  <si>
    <t>LEAF-AREA INDEX; TERRESTRIAL CARBON-CYCLE; NET PRIMARY PRODUCTION; PLANT GEOGRAPHY; CLIMATE-CHANGE; CO2; TEMPERATURE; NITROGEN; ECOSYSTEMS; SEASONALITY</t>
  </si>
  <si>
    <t>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t>
  </si>
  <si>
    <t>[Piao, Shilong; Yin, Guodong; Tan, Jianguang; Huang, Mengtian; Li, Yue; Peng, Shushi; Zeng, ZhenZhong] Peking Univ, Coll Urban &amp; Environm Sci, Sino French Inst Earth Syst Sci, Beijing 100871, Peoples R China; [Piao, Shilong] Chinese Acad Sci, Inst Tibetan Plateau Res, Ctr Excellence Tibetan Earth Scicence, Beijing 100085, Peoples R China; [Cheng, Lei; Wang, Yingping] Ctr Australian Weather &amp; Climate Res, CSIRO Marine &amp; Atmospher Res, Aspendale, Vic 3195, Australia; [Liu, Ronggao; Shi, Xiaoying] Chinese Acad Sci, Inst Geog Sci &amp; Nat Resources Res, Beijing 100101, Peoples R China; [Mao, Jiafu] Oak Ridge Natl Lab, Climate Change Sci Inst, Oak Ridge, TN USA; [Mao, Jiafu] Oak Ridge Natl Lab, Div Environm Sci, Oak Ridge, TN 37831 USA; [Myneni, Ranga B.] Boston Univ, Dept Earth &amp; Environm, Boston, MA 02215 USA; [Poulter, Ben] Montana State Univ, Inst Ecosyst, Bozeman, MT 59717 USA; [Poulter, Ben] Montana State Univ, Dept Ecol, Bozeman, MT 59717 USA; [Xiao, Zhiqiang] Beijing Normal Univ, Sch Geog, Beijing 100875, Peoples R China; [Zeng, Ning] Univ Maryland, Dept Atmospher &amp; Ocean Sci, College Pk, MD 20740 USA</t>
  </si>
  <si>
    <t>Peking University; Chinese Academy of Sciences; Institute of Tibetan Plateau Research, CAS; Commonwealth Scientific &amp; Industrial Research Organisation (CSIRO); Chinese Academy of Sciences; Institute of Geographic Sciences &amp; Natural Resources Research, CAS; United States Department of Energy (DOE); Oak Ridge National Laboratory; United States Department of Energy (DOE); Oak Ridge National Laboratory; Boston University; Montana State University System; Montana State University Bozeman; Montana State University System; Montana State University Bozeman; Beijing Normal University; University System of Maryland; University of Maryland College Park</t>
  </si>
  <si>
    <t>Piao, SL (corresponding author), Peking Univ, Coll Urban &amp; Environm Sci, Sino French Inst Earth Syst Sci, Beijing 100871, Peoples R China.</t>
  </si>
  <si>
    <t>slpiao@pku.edu.cn</t>
  </si>
  <si>
    <t>Li, Yue/O-9938-2018; wang, ying-ping/A-9765-2011; Cheng, Lei/J-5552-2013; PENG, Shushi/AAS-2603-2020; Huang, Mengtian/JFK-8084-2023; Myneni, Ranga/F-5129-2012; Zeng, Zhenzhong/GQR-0044-2022; Li, Yue/M-8824-2019; Poulter, Ben/ABB-5886-2021; Liu, Ronggao/L-8531-2019; Shi, Xiaoying/C-4447-2012; Tan, Jianguang/AAY-5463-2020; Zeng, Ning/A-3130-2008; wang, yingping/A-9765-2011; Mao, Jiafu/B-9689-2012; Huang, Mengtian/JFK-8084-2023</t>
  </si>
  <si>
    <t>Li, Yue/0000-0003-2997-6368; Cheng, Lei/0000-0002-5298-9573; Zeng, Zhenzhong/0000-0001-6851-2756; Huang, Mengtian/0000-0002-1092-1562; Myneni, Ranga/0000-0002-0234-6393; Poulter, Benjamin/0000-0002-9493-8600; Shi, Xiaoying/0000-0001-8994-5032; wang, yingping/0000-0002-4614-6203; Mao, Jiafu/0000-0002-2050-7373; Huang, Mengtian/0000-0002-1092-1562</t>
  </si>
  <si>
    <t>National Basic Research Program of China [2013CB956303]; Chinese Ministry of Environmental Protection Grant [201209031]; National Natural Science Foundation of China [41125004, 31321061]; National Youth Top-notch Talent Support Program in China; 111 Project [B14001]; US Department of Energy (DOE), Office of Science, Biological and Environmental Research; DOE [DE-AC05-00OR22725]; Office of Integrative Activities; Office Of The Director [1443108] Funding Source: National Science Foundation</t>
  </si>
  <si>
    <t>National Basic Research Program of China(National Basic Research Program of China); Chinese Ministry of Environmental Protection Grant; National Natural Science Foundation of China(National Natural Science Foundation of China (NSFC)); National Youth Top-notch Talent Support Program in China; 111 Project(Ministry of Education, China - 111 Project); US Department of Energy (DOE), Office of Science, Biological and Environmental Research(United States Department of Energy (DOE)); DOE(United States Department of Energy (DOE)); Office of Integrative Activities; Office Of The Director(National Science Foundation (NSF)NSF - Office of the Director (OD)NSF - Office of Integrative Activities (OIA))</t>
  </si>
  <si>
    <t>This study was supported by the National Basic Research Program of China (Grant No. 2013CB956303), Chinese Ministry of Environmental Protection Grant (201209031), National Natural Science Foundation of China (41125004 and 31321061), National Youth Top-notch Talent Support Program in China and the 111 Project (B14001). Jiafu Mao and Xiaoying Shi are supported by the US Department of Energy (DOE), Office of Science, Biological and Environmental Research. Oak Ridge National Laboratory is managed by UT-BATTELLE for DOE under contract DE-AC05-00OR22725. The simulation of CLM is supported by the US Department of Energy (DOE), Office of Science, Biological and Environmental Research. Oak Ridge National Laboratory is managed by UT-BATTELLE for DOE under contract DE-AC05-00OR22725.</t>
  </si>
  <si>
    <t>10.1111/gcb.12795</t>
  </si>
  <si>
    <t>CD6QM</t>
  </si>
  <si>
    <t>WOS:000351214100022</t>
  </si>
  <si>
    <t>De Grave, S; Smith, KG; Adeler, NA; Allen, DJ; Alvarez, F; Anker, A; Cai, YX; Carrizo, SF; Klotz, W; Mantelatto, FL; Page, TJ; Shy, JY; Villalobos, JL; Wowor, D</t>
  </si>
  <si>
    <t>De Grave, Sammy; Smith, Kevin G.; Adeler, Nils A.; Allen, Dave J.; Alvarez, Fernando; Anker, Arthur; Cai, Yixiong; Carrizo, Savrina F.; Klotz, Werner; Mantelatto, Fernando L.; Page, Timothy J.; Shy, Jhy-Yun; Luis Villalobos, Jose; Wowor, Daisy</t>
  </si>
  <si>
    <t>Dead Shrimp Blues: A Global Assessment of Extinction Risk in Freshwater Shrimps (Crustacea: Decapoda: Caridea)</t>
  </si>
  <si>
    <t>CONSERVATION; BIODIVERSITY; DIVERSITY; GENUS; RADIATION; THREATS; TRENDS; LAKES</t>
  </si>
  <si>
    <t>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t>
  </si>
  <si>
    <t>[De Grave, Sammy] Univ Oxford, Museum Nat Hist, Oxford, England; [Smith, Kevin G.; Adeler, Nils A.; Allen, Dave J.; Carrizo, Savrina F.] Int Union Conservat Nat, Global Species Programme, Cambridge, England; [Alvarez, Fernando; Luis Villalobos, Jose] Univ Nacl Autonoma Mexico, Inst Biol, Colecc Nacl Crustaceos, Mexico City 04510, DF, Mexico; [Anker, Arthur] Natl Univ Singapore, Trop Marine Sci Inst, Singapore 117548, Singapore; [Cai, Yixiong] Natl Pk Board, Singapore, Singapore; [Mantelatto, Fernando L.] Univ Sao Paulo, Dept Biol, Lab Bioecol &amp; Crustacean Systemat, BR-14049 Ribeirao Preto, Brazil; [Page, Timothy J.] Griffith Univ, Australian Rivers Inst, Nathan, Qld 4111, Australia; [Shy, Jhy-Yun] Natl Penghu Univ Sci &amp; Technol, Penghu, Taiwan; [Wowor, Daisy] Indonesian Inst Sci LIPI, Biol Res Ctr, Div Zool, Cibinong, Indonesia</t>
  </si>
  <si>
    <t>University of Oxford; Universidad Nacional Autonoma de Mexico; National University of Singapore; Universidade de Sao Paulo; Griffith University; National Penghu University of Science &amp; Technology; National Research &amp; Innovation Agency of Indonesia (BRIN)</t>
  </si>
  <si>
    <t>De Grave, S (corresponding author), Univ Oxford, Museum Nat Hist, Oxford, England.</t>
  </si>
  <si>
    <t>sammy.degrave@oum.ox.ac.uk</t>
  </si>
  <si>
    <t>Mantelatto, Fernando/H-2695-2012; Anker, Arthur/AAL-5555-2021; Álvarez, Fernando/G-6503-2018; Cai, Yixiong/JYO-3969-2024; Mantelatto, Fernando L/H-2695-2012; Page, Timothy/B-9000-2008; Fapesp, Biota/F-8655-2017</t>
  </si>
  <si>
    <t>Cai, Yixiong/0009-0008-6499-5795; Klotz, Werner/0000-0002-1104-5613; Villalobos Hiriart, José Luis/0000-0001-6810-2300; smith, kevin/0000-0002-0785-3028; Mantelatto, Fernando L/0000-0002-8497-187X; Page, Timothy/0000-0002-3521-3503; Fapesp, Biota/0000-0002-9887-8449</t>
  </si>
  <si>
    <t>'Biodiversity of Freshwater Ecosystems: Trends, Pressures and Conservation Priorities (BioFresh)' FP7 project - European Union</t>
  </si>
  <si>
    <t>This work was supported through the 'Biodiversity of Freshwater Ecosystems: Trends, Pressures and Conservation Priorities (BioFresh)' FP7 project funded by the European Union.</t>
  </si>
  <si>
    <t>MAR 25</t>
  </si>
  <si>
    <t>e0120198</t>
  </si>
  <si>
    <t>10.1371/journal.pone.0120198</t>
  </si>
  <si>
    <t>CE5MO</t>
  </si>
  <si>
    <t>WOS:000351880000071</t>
  </si>
  <si>
    <t>Giri, C; Long, J; Abbas, S; Murali, RM; Qamer, FM; Pengra, B; Thau, D</t>
  </si>
  <si>
    <t>Giri, Chandra; Long, Jordan; Abbas, Sawaid; Murali, R. Mani; Qamer, Faisal M.; Pengra, Bruce; Thau, David</t>
  </si>
  <si>
    <t>Distribution and dynamics of mangrove forests of South Asia</t>
  </si>
  <si>
    <t>JOURNAL OF ENVIRONMENTAL MANAGEMENT</t>
  </si>
  <si>
    <t>Mangrove forests; Mangrove forest cover change; South Asia; Landsat; Remote sensing; Image processing</t>
  </si>
  <si>
    <t>NICOBAR ISLANDS; TSUNAMI; CONSERVATION; CLASSIFICATION; BANGLADESH; SUNDARBANS; IMPACT; WORLD</t>
  </si>
  <si>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</si>
  <si>
    <t>[Giri, Chandra] US Geol Survey, Earth Resources Observat &amp; Sci EROS Ctr, Sioux Falls, SD 57198 USA; [Long, Jordan] ASRC InuTeq, Contractor US Geol Survey, Earth Resources Observat &amp; Sci EROS Ctr, Sioux Falls, SD 57198 USA; [Abbas, Sawaid] Hong Kong Polytech Univ, Hong Kong, Hong Kong, Peoples R China; [Murali, R. Mani] CSIR, Natl Inst Oceanog, Panaji 403004, Goa, India; [Qamer, Faisal M.] Int Ctr Integrated Mt Dev ICIMOD, Kathmandu, Nepal; [Pengra, Bruce] SGT, Contractor US Geol Survey, Earth Resources Observat &amp; Sci EROS Ctr, Sioux Falls, SD 57198 USA; [Thau, David] Google Earth Engine, Mountain View, CA USA</t>
  </si>
  <si>
    <t>United States Department of the Interior; United States Geological Survey; United States Department of the Interior; United States Geological Survey; Hong Kong Polytechnic University; Council of Scientific &amp; Industrial Research (CSIR) - India; CSIR - National Institute of Oceanography (NIO); Stinger Ghaffarian Technologies, Inc. (SGT); United States Department of the Interior; United States Geological Survey; Alphabet Inc.; Google Incorporated</t>
  </si>
  <si>
    <t>Giri, C (corresponding author), US Geol Survey, Earth Resources Observat &amp; Sci EROS Ctr, Sioux Falls, SD 57198 USA.</t>
  </si>
  <si>
    <t>cgiri@usgs.gov</t>
  </si>
  <si>
    <t>; Qamer, Faisal/L-9892-2018; .R, MANI/A-9291-2010; Abbas, Sawaid/Y-4432-2019</t>
  </si>
  <si>
    <t>ABBAS, Sawaid/0000-0003-3417-217X; Thau, David/0000-0001-8598-9820; Pengra, Bruce/0000-0003-2497-8284;</t>
  </si>
  <si>
    <t>ACADEMIC PRESS LTD- ELSEVIER SCIENCE LTD</t>
  </si>
  <si>
    <t>24-28 OVAL RD, LONDON NW1 7DX, ENGLAND</t>
  </si>
  <si>
    <t>0301-4797</t>
  </si>
  <si>
    <t>1095-8630</t>
  </si>
  <si>
    <t>J ENVIRON MANAGE</t>
  </si>
  <si>
    <t>J. Environ. Manage.</t>
  </si>
  <si>
    <t>JAN 15</t>
  </si>
  <si>
    <t>10.1016/j.jenvman.2014.01.020</t>
  </si>
  <si>
    <t>AZ1RU</t>
  </si>
  <si>
    <t>WOS:000348016400011</t>
  </si>
  <si>
    <t>C</t>
  </si>
  <si>
    <t>Macko, SA</t>
  </si>
  <si>
    <t>Nordquist, MH; Moore, JN; Beckman, RC; Long, R</t>
  </si>
  <si>
    <t>Macko, Stephen A.</t>
  </si>
  <si>
    <t>Global Ocean Challenges</t>
  </si>
  <si>
    <t>FREEDOM OF NAVIGATION AND GLOBALIZATION</t>
  </si>
  <si>
    <t>Proceedings Paper</t>
  </si>
  <si>
    <t>37th Annual Conference on Freedom of Navigation and Globalization</t>
  </si>
  <si>
    <t>MAY 02-03, 2013</t>
  </si>
  <si>
    <t>Seoul, SOUTH KOREA</t>
  </si>
  <si>
    <t>Ctr Oceans Law &amp; Policy,Korea Maritime Inst,Natl Univ Singapore, Ctr Int Law,Natl Univ Ireland,Xiamen Univ, S China Sea Inst,Minist Oceans &amp; Fisheries,Korea Inst Ocean Sci Technology,Korea Coast Guard,Univ Bergen, Fac Law,US Naval War Coll, Int Law Dept</t>
  </si>
  <si>
    <t>HIGH-CO2 WORLD; CO2</t>
  </si>
  <si>
    <t>The ocean influences nearly all activities on the planet, serving as a source of nutrition, energy and pathway for transport of resources while buffering the scale of variations in climate. It is also the portion of the planet that is perhaps in greatest need of data to address issues of the dramatic changes that are happening globally. Some of the changes are clearly the result of human inaction and lack of foresight Fisheries, on which one sixth of human protein nutrition is derived, are in a state of near collapse for some species in the near term, owing to oveyishing and mismanagement of a sustainable infrastructure. Lack of cautious application of new technologies and oversight has led to increasing levels of pollutants, sometimes catastrophically, as was evidenced in the recent Deepwater Horizon oil spill in the Gulf of Mexico. Global warming is influencing many aspects of the ocean system and will have collateral impacts beyond simply raising the temperature of the planet: Navigation and influence on transport are chief in our envisioning eventual impacts, and need to he anticipated, based on the hest of models and data. Sea level rise and the associated coastal erosion, modifying waterways and ports, call fir adaptive planning. Climate change could easily he seen to affect ocean circulation, wind dynamics, storm production and associated storm surges. Loss of sea ice in the Arctic will open new avenues which are economically and energetically more efficient for transport. With warming, and heightened destruction of ice sheets will likely come increased hazards from sea ice in shipping lanes. The rate of loss of the ice sheets such as that of Greenland is only beginning to he understood, and appears to be increasing. Sea ice coverage in the Arctic was the lowest on record in the summer of 2012, and the area, of surface melt on the Greenland Ice Sheet was recorded at the highest, at 97%, since satellite images have documented its status. Diminishing ice cover will also influence an increase of fishing efforts and exploration for fossil fuels in the high Arctic. Without precise data on the sizes offish stocks, the effects on commercial fisheries are complex, and beg for fundamental knowledge. Additionally with the loss of sea ice, diminishing ice-based productivity may lead to a loss of diversity and modification of sustainable trophic structure in Arctic food webs. As a consequence of increased fossil fuel exploration, extraction and transport, the risk of contamination is heightened and at present only minimal preparation for impact and cleanup exists for this eventuality in ragile Arctic environments. The addition of massive amounts of carbon dioxide to the atmosphere and oceans, has changed the ocean chemistry increasing the acidity or lowering the p11. Sound propagation in a more acid ocean may affect navigation as well as migration patterns of marine mammals and fish. Acidification influence on calcareous organisms at primal)) production levels could lead to catastrophic effects on the higher organisms of the food chains. The collateral impacts of the changing ocean in a period of global warming urgently require further study in order to enable adaptation and reduce vulnerability. Only through an appreciation for the past and a comprehensive understanding of the present, can we anticipate the future. The potential for that vision of the ocean lies with the cooperation among all nations.</t>
  </si>
  <si>
    <t>[Macko, Stephen A.] Univ Virginia, Dept Environm Sci, Charlottesville, VA 22903 USA</t>
  </si>
  <si>
    <t>University of Virginia</t>
  </si>
  <si>
    <t>Macko, SA (corresponding author), Univ Virginia, Dept Environm Sci, Charlottesville, VA 22903 USA.</t>
  </si>
  <si>
    <t>sam8f@virginia.edu</t>
  </si>
  <si>
    <t>Macko, Stephen/K-4588-2015</t>
  </si>
  <si>
    <t>MARTINUS NIJHOFF</t>
  </si>
  <si>
    <t>PO BOX 163, AD-3300 DORDRECHT, NETHERLANDS</t>
  </si>
  <si>
    <t>978-90-04-28408-1; 978-90-04-28407-4</t>
  </si>
  <si>
    <t>10.1153/9789004284081_018</t>
  </si>
  <si>
    <t>Law</t>
  </si>
  <si>
    <t>Conference Proceedings Citation Index - Social Science &amp; Humanities (CPCI-SSH)</t>
  </si>
  <si>
    <t>Government &amp; Law</t>
  </si>
  <si>
    <t>BF3GM</t>
  </si>
  <si>
    <t>WOS:000380540800016</t>
  </si>
  <si>
    <t>Wörz, A; Thiv, M</t>
  </si>
  <si>
    <t>Woerz, A.; Thiv, M.</t>
  </si>
  <si>
    <t>The temporal dynamics of a regional flora-The effects of global and local impacts</t>
  </si>
  <si>
    <t>FLORA</t>
  </si>
  <si>
    <t>Floristic mapping; Vascular plants; Invasive species; Red lists; Urbanisation; Climatic change; Nitrogen input</t>
  </si>
  <si>
    <t>LAND-USE CHANGE; PLANT BIODIVERSITY; DIVERSITY; CLIMATE; INTENSIFICATION; EXTINCTION; SCALE</t>
  </si>
  <si>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</si>
  <si>
    <t>[Woerz, A.; Thiv, M.] Staatliches Museum Nat Kunde, D-70191 Stuttgart, Germany</t>
  </si>
  <si>
    <t>Wörz, A (corresponding author), Staatliches Museum Nat Kunde, Rosenstein 1, D-70191 Stuttgart, Germany.</t>
  </si>
  <si>
    <t>arno.woerz@smns-bw.de; mike.thiv@smns-bw.de</t>
  </si>
  <si>
    <t>Ministerium fur den Landlichen Raum und Verbraucherschutz (Stuttgart); Landesanstalt fur Umwelt und Messungen Baden-Wurttemberg (LUBW, Karlsruhe)</t>
  </si>
  <si>
    <t>We want to express our warm gratitude to all our volunteers for their busy mapping activities, which are the precondition to implementation of the project and the present paper. Furthermore, we thank Anita Roth-Nebelsick and Helmut Dalitz for their help with the statistic methods, and the Ministerium fur den Landlichen Raum und Verbraucherschutz (Stuttgart) and the Landesanstalt fur Umwelt und Messungen Baden-Wurttemberg (LUBW, Karlsruhe) for their funding and support of the project. We also express our gratitude to the anonymous reviewers and the editor Karsten Wesche for their valuable help and comments.</t>
  </si>
  <si>
    <t>ELSEVIER GMBH</t>
  </si>
  <si>
    <t>MUNICH</t>
  </si>
  <si>
    <t>HACKERBRUCKE 6, 80335 MUNICH, GERMANY</t>
  </si>
  <si>
    <t>0367-2530</t>
  </si>
  <si>
    <t>1618-0585</t>
  </si>
  <si>
    <t>Flora</t>
  </si>
  <si>
    <t>10.1016/j.flora.2015.09.013</t>
  </si>
  <si>
    <t>Plant Sciences; Ecology</t>
  </si>
  <si>
    <t>Plant Sciences; Environmental Sciences &amp; Ecology</t>
  </si>
  <si>
    <t>CZ4YY</t>
  </si>
  <si>
    <t>WOS:000367110300012</t>
  </si>
  <si>
    <t>Zhou, W; Li, JL; Mu, SJ; Gang, CC; Sun, ZG</t>
  </si>
  <si>
    <t>Zhou, W.; Li, J. L.; Mu, S. J.; Gang, C. C.; Sun, Z. G.</t>
  </si>
  <si>
    <t>Effects of ecological restoration-induced land-use change and improved management on grassland net primary productivity in the Shiyanghe River Basin, north-west China</t>
  </si>
  <si>
    <t>GRASS AND FORAGE SCIENCE</t>
  </si>
  <si>
    <t>grassland net primary productivity; ecological restoration programmes; land use and cover change; climate change; Shiyanghe River</t>
  </si>
  <si>
    <t>INNER-MONGOLIA; VEGETATION DYNAMICS; COVER PRODUCTS; CLIMATE-CHANGE; CARBON; DESERTIFICATION; URBANIZATION; CONSEQUENCES; ECOSYSTEMS; SATELLITE</t>
  </si>
  <si>
    <t>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t>
  </si>
  <si>
    <t>[Zhou, W.; Li, J. L.; Mu, S. J.; Gang, C. C.; Sun, Z. G.] Nanjing Univ, Sch Life Sci, Nanjing 210093, Jiangsu, Peoples R China</t>
  </si>
  <si>
    <t>Nanjing University</t>
  </si>
  <si>
    <t>Li, JL (corresponding author), Nanjing Univ, Sch Life Sci, Hankou Rd 22, Nanjing 210093, Jiangsu, Peoples R China.</t>
  </si>
  <si>
    <t>jianlongli@gmail.com</t>
  </si>
  <si>
    <t>Gang, Chengcheng/Z-4286-2019</t>
  </si>
  <si>
    <t>Gang, Chengcheng/0000-0002-2804-5636</t>
  </si>
  <si>
    <t>National Basic Research Program of China [2010CB950702]; National High Technology Research and Development Program of China [2007AA10Z231]; National Natural Science Foundation of China [40871012]; Asia-Pacific Network [ARCP-2013-16NMY]; Public Sector Linkages Program by Australian Agency for International Development [64828]</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</si>
  <si>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Public Sector Linkages Program by Australian Agency for International Development</t>
  </si>
  <si>
    <t>We are grateful to the chief editor and anonymous reviewers for illuminating comments. This work was supported by National Basic Research Program of China (2010CB950702) and the National High Technology Research and Development Program of China (2007AA10Z231), the National Natural Science Foundation of China (40871012), the Asia-Pacific Network (ARCP-2013-16NMY-Li) and the Public Sector Linkages Program supported by Australian Agency for International Development (64828). We are grateful to Dr. Victor Squires from University of Adelaide, Australia, for his help in modifying the language. We also thank the China Meteorological Data-Sharing Service System for granting us access to climate data sets.</t>
  </si>
  <si>
    <t>0142-5242</t>
  </si>
  <si>
    <t>1365-2494</t>
  </si>
  <si>
    <t>GRASS FORAGE SCI</t>
  </si>
  <si>
    <t>Grass Forage Sci.</t>
  </si>
  <si>
    <t>10.1111/gfs.12073</t>
  </si>
  <si>
    <t>Agronomy</t>
  </si>
  <si>
    <t>Agriculture</t>
  </si>
  <si>
    <t>AR7JA</t>
  </si>
  <si>
    <t>WOS:000343754300004</t>
  </si>
  <si>
    <t>Rodrigues, ASL; Brooks, TM; Butchart, SHM; Chanson, J; Cox, N; Hoffmann, M; Stuart, SN</t>
  </si>
  <si>
    <t>Rodrigues, Ana S. L.; Brooks, Thomas M.; Butchart, Stuart H. M.; Chanson, Janice; Cox, Neil; Hoffmann, Michael; Stuart, Simon N.</t>
  </si>
  <si>
    <t>Spatially Explicit Trends in the Global Conservation Status of Vertebrates</t>
  </si>
  <si>
    <t>RED-LIST INDEX; BREEDING BIRDS; BIODIVERSITY; WORLDS; EXTINCTIONS; ECOREGIONS; ALLOCATION; IMPACT; LAND; MAP</t>
  </si>
  <si>
    <t>The world's governments have committed to preventing the extinction of threatened species and improving their conservation status by 2020. However, biodiversity is not evenly distributed across space, and neither are the drivers of its decline, and so different regions face very different challenges. Here, we quantify the contribution of regions and countries towards recent global trends in vertebrate conservation status (as measured by the Red List Index), to guide action towards the 2020 target. We found that. 50% of the global deterioration in the conservation status of birds, mammals and amphibians is concentrated in,1% of the surface area, 39/1098 ecoregions (4%) and eight/195 countries (4%) - Australia, China, Colombia, Ecuador, Indonesia, Malaysia, Mexico, and the United States. These countries hold a third of global diversity in these vertebrate groups, partially explaining why they concentrate most of the losses. Yet, other megadiverse countries - most notably Brazil (responsible for 10% of species but just 1% of deterioration), plus India and Madagascar - performed better in conserving their share of global vertebrate diversity. Very few countries, mostly island nations (e.g. Cook Islands, Fiji, Mauritius, Seychelles, and Tonga), have achieved net improvements. Per capita wealth does not explain these patterns, with two of the richest countries - United States and Australia - fairing conspicuously poorly. Different countries were affected by different combinations of threats. Reducing global rates of biodiversity loss will require investment in the regions and countries with the highest responsibility for the world's biodiversity, focusing on conserving those species and areas most in peril and on reducing the drivers with the highest impacts.</t>
  </si>
  <si>
    <t>[Rodrigues, Ana S. L.] CNRS, Ctr Ecol Fonct &amp; Evolut, UMR5175, F-34293 Montpellier, France; [Brooks, Thomas M.; Chanson, Janice; Cox, Neil; Hoffmann, Michael; Stuart, Simon N.] IUCN, CH-1196 Gland, Switzerland; [Brooks, Thomas M.] Univ Philippines Los Banos, World Agroforestry Ctr ICRAF, Laguna 4031, Philippines; [Brooks, Thomas M.] Univ Tasmania, Sch Geog &amp; Environm Studies, Hobart, Tas 7001, Australia; [Butchart, Stuart H. M.] BirdLife Int, Cambridge, England; [Cox, Neil; Stuart, Simon N.] Conservat Int, Arlington, VA 22202 USA; [Hoffmann, Michael; Stuart, Simon N.] United Nations, Environm Programme, World Conservat Monitoring Ctr, Cambridge CB3 0DL, England; Univ Bath, Dept Biol &amp; Biochem, Bath BA2 7AY, Avon, England; Al Ain Zoo, Abu Dhabi, U Arab Emirates</t>
  </si>
  <si>
    <t>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CGIAR; World Agroforestry (ICRAF); University of the Philippines System; University of the Philippines Los Banos; University of Tasmania; BirdLife International; Conservation International; University of Bath</t>
  </si>
  <si>
    <t>Rodrigues, ASL (corresponding author), CNRS, Ctr Ecol Fonct &amp; Evolut, UMR5175, 1919 Route Mende, F-34293 Montpellier, France.</t>
  </si>
  <si>
    <t>ana.rodrigues@cefe.cnrs.fr</t>
  </si>
  <si>
    <t>Rodrigues, Ana/A-5914-2009; Butchart, Stuart/Y-2711-2018; Hoffmann, Michael/E-6419-2010; Roigues, Ana/A-5914-2009</t>
  </si>
  <si>
    <t>Hoffmann, Michael/0000-0003-4785-2254; Brooks, Thomas/0000-0001-8159-3116; Butchart, Stuart/0000-0002-1140-4049; Roigues, Ana/0000-0003-4775-0127</t>
  </si>
  <si>
    <t>Gordon and Betty Moore Foundation; Critical Ecosystem Partnership Fund; Conservation International; BirdLife's Founder Patrons; Aage V. Jensen Charity Foundation; French National Research Agency [MORSE: ANR 11 CEPL 006 01]; NatureServe; Division Of Environmental Biology; Direct For Biological Sciences [1136586] Funding Source: National Science Foundation</t>
  </si>
  <si>
    <t>Gordon and Betty Moore Foundation(Gordon &amp; Betty Moore Foundation); Critical Ecosystem Partnership Fund; Conservation International; BirdLife's Founder Patrons; Aage V. Jensen Charity Foundation; French National Research Agency(Agence Nationale de la Recherche (ANR)); NatureServe; Division Of Environmental Biology; Direct For Biological Sciences(National Science Foundation (NSF)NSF - Directorate for Biological Sciences (BIO))</t>
  </si>
  <si>
    <t>This analysis is based on data compiled under the IUCN Red List of Threatened Species for bird, mammals and amphibians, an effort involving thousands of individuals over decades. This compilation was funded by a diversity of donors (full list in reference 7), and in particular by: Gordon and Betty Moore Foundation (http://www.moore.org/); Critical Ecosystem Partnership Fund (http://www.cepf.net); Conservation International (http://www.conservation.org); NatureServe (www.natureserve.org); BirdLife's Founder Patrons (http://www.birdlife.org/worldwide/partnership/major-donors-and-supporters); Aage V. Jensen Charity Foundation (www.avjf.dk). A.S.L.R. was funded by the French National Research Agency (project MORSE: ANR 11 CEPL 006 01). The funders had no role in study design, data collection and analysis, decision to publish, or preparation of the manuscript.</t>
  </si>
  <si>
    <t>NOV 26</t>
  </si>
  <si>
    <t>e113934</t>
  </si>
  <si>
    <t>10.1371/journal.pone.0113934</t>
  </si>
  <si>
    <t>CA8CZ</t>
  </si>
  <si>
    <t>WOS:000349145400104</t>
  </si>
  <si>
    <t>Vu, QM; Le, QB; Vlek, PLG</t>
  </si>
  <si>
    <t>Vu, Quyet Manh; Le, Quang Bao; Vlek, Paul L. G.</t>
  </si>
  <si>
    <t>Hotspots of human-induced biomass productivity decline and their social-ecological types toward supporting national policy and local studies on combating land degradation</t>
  </si>
  <si>
    <t>land degradation; NDVI; net primary productivity; spatio-temporal analysis; socio-ecological hotspot; national scale; Vietnam</t>
  </si>
  <si>
    <t>DROUGHT-INDUCED REDUCTION; LESS-DEVELOPED-COUNTRIES; PROXY GLOBAL ASSESSMENT; NET PRIMARY PRODUCTION; SPECTRAL REFLECTANCE; TRENDS; NDVI; DEFORESTATION; DYNAMICS; VIETNAM</t>
  </si>
  <si>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</si>
  <si>
    <t>[Vu, Quyet Manh; Le, Quang Bao] Swiss Fed Inst Technol, IED, CH-8092 Zurich, Switzerland; [Vu, Quyet Manh; Vlek, Paul L. G.] Univ Bonn, Ctr Dev Res ZEF, D-53113 Bonn, Germany; [Vu, Quyet Manh] SFRI, Hanoi, Vietnam</t>
  </si>
  <si>
    <t>Swiss Federal Institutes of Technology Domain; ETH Zurich; University of Bonn</t>
  </si>
  <si>
    <t>Vu, QM (corresponding author), Swiss Fed Inst Technol, IED, Nat &amp; Social Interface NSSI, Zurich, Switzerland.</t>
  </si>
  <si>
    <t>vum@student.eth.ch; quang.le@env.ethz.ch; p.vlek@uni-bonn.de</t>
  </si>
  <si>
    <t>; Le, Quang/AAG-5174-2019</t>
  </si>
  <si>
    <t>Le, Quang Bao/0000-0001-8514-1088; Vu, Quyet/0000-0003-4778-0991;</t>
  </si>
  <si>
    <t>Agricultural Science and Technology Project (AST), under the Ministry of Agriculture and Rural Development (MARD) of Vietnam</t>
  </si>
  <si>
    <t>This research was funded by the Agricultural Science and Technology Project (AST), under the Ministry of Agriculture and Rural Development (MARD) of Vietnam. This support is gratefully acknowledged. The authors wish to thanks two anonymous reviewers for their constructive comments on earlier version of the present paper; the Department of Geography at the University of Maryland, Climate Research Unit at the University of East Anglia, the General Statistical Office of Vietnam, Michael Epprecht for providing data used in this study; constructive comments of two reviewers on a shortened version of this paper presented at the IEEE International Geoscience and Remote Sensing Symposium 2012, Munich, Germany (Vu et al., 2012); Roland W. Scholz for his overall comments on the study; Michael Stauffacher, Laura S. de Baan, Gregoire Meylan and Andrea E. Ulrich for their valuable comments on the earlier drafts of this paper.</t>
  </si>
  <si>
    <t>0921-8181</t>
  </si>
  <si>
    <t>1872-6364</t>
  </si>
  <si>
    <t>GLOBAL PLANET CHANGE</t>
  </si>
  <si>
    <t>Glob. Planet. Change</t>
  </si>
  <si>
    <t>10.1016/j.gloplacha.2014.07.007</t>
  </si>
  <si>
    <t>Physical Geography; Geology</t>
  </si>
  <si>
    <t>AO7US</t>
  </si>
  <si>
    <t>WOS:000341558700007</t>
  </si>
  <si>
    <t>Anderson, R; Morrall, C; Jossart, J; Nimrod, S; Bolda, E; Musser, K; Berg, C; Balza, R</t>
  </si>
  <si>
    <t>Anderson, Robert; Morrall, Clare; Jossart, Jonathan; Nimrod, Steve; Bolda, Emily; Musser, Katie; Berg, Craig; Balza, Robert</t>
  </si>
  <si>
    <t>Marine Protected Area monitoring in the nearshore waters of Grenada, Eastern Caribbean: benthic cover and fish populations</t>
  </si>
  <si>
    <t>REVISTA DE BIOLOGIA TROPICAL</t>
  </si>
  <si>
    <t>benthic cover; reef fish; monitoring; Grenada; Eastern Caribbean; marine protected area</t>
  </si>
  <si>
    <t>CORAL</t>
  </si>
  <si>
    <t>Grenada is highly dependent on coral reefs as a source of food and to support tourism. Local and global environmental stressors threaten these reefs. Legislation was created for this MPA in 2001, permanent mooring buoys were deployed in 2009 and enforcement of fishing restrictions began in 2010. Initiatives to address point and nonpoint source pollution from the land have recently begun, aimed at reducing stress on reef area. This study documents benthic cover and fish populations associated with reefs in a Marine Protected Area (MPA) along Grenada's southwest coast from 2008 through 2012. Both Point Line Intercept and Photo Quadrat methods were used to assess benthic cover along permanent 30m transects (8 in and 12 outside the area) annually. Fish and Diadema antillarum urchin relative abundance were determined based on 2m wide belt surveys along the same transects. The predominant substrate cover was algae, ranging from 41% in 2009 to 74.2% in 2011. A general trend of increasing algal cover was noted. Combined annual survey results prior (2008-2010) and after controls were implemented (2011-2012) showed a significant increase in algal cover. The predominant algal form was macroalgae comprising 65.4% - 90.8% of total algae. Live hard coral percent cover ranged from 8.7% to 21.1%. Little annual variation was observed in percent live coral cover. Branching corals (34.1% - 52.3% of total living hard coral) were the most common. Of the 19 living hard coral species identified, Porites porites (21%-23%) and Porites astreoides (20%) dominated percentage composition. Madracis mirabilis contributed 21% of total live hard coral outside the MPA but only 8.7% in the MPA. Of the 63 species of fish identified in the study areas Chromis spp. (71.5% - 46%) was the dominant group. Wrasse had a significant increase from 6.9% in 2008 to 21.5% in 2010 inside the MPA with a similar increase peaking in 2011 outside the MPA. There was a noticeable (though not statistically significant) increase in piscivorous fishes in the MPA in 2012. This is a promising indication that fishing restrictions in the MPA may be having an effect. Diadema antillarum density was low, ranging from 4.58 to 0.21 urchins/100m(2) outside and 0.28 to 0.10 urchins/100m(2) inside despite a stocking attempt in the area in 2011.</t>
  </si>
  <si>
    <t>[Anderson, Robert; Bolda, Emily; Musser, Katie; Balza, Robert] Wisconsin Lutheran Coll, 8800 W Bluemound Rd, Milwaukee, WI 53226 USA; [Morrall, Clare; Nimrod, Steve] St Georges Univ, St Georges, Grenada; [Jossart, Jonathan] Univ Virgin Isl, St Louis, MO USA; [Berg, Craig] Milwaukee Cty Zoo, Milwaukee, WI 53226 USA</t>
  </si>
  <si>
    <t>University of the Virgin Islands</t>
  </si>
  <si>
    <t>Anderson, R (corresponding author), Wisconsin Lutheran Coll, 8800 W Bluemound Rd, Milwaukee, WI 53226 USA.</t>
  </si>
  <si>
    <t>banderson@wlc.edu; cmorrall@sgu.edu; jossart1@gmail.com; snimrod@sgu.edu; ebolda@hotmail.com; katie.musser@mail.wlc.edu; craig.berg@milwcnty.com; rob.balza@wlc.edu</t>
  </si>
  <si>
    <t>Jossart, Jonathan/0000-0003-4352-2178</t>
  </si>
  <si>
    <t>Fischer Family Foundation</t>
  </si>
  <si>
    <t>Funding for this project was provided by the Fischer Family Foundation and Gary Stimac and is greatly appreciated. Thanks are also offered to Jacob Krause, Jillian Groeschel, Kyle Foster, Svetlana Bornschlegl, Victoria Krueger, Thomas Dietrich, Ben Hermanson, Laurelyn Dexter, Angela Majeskie, Allison Page, and Angela Blasezyk, Andrew Dunlop, Nate Sorum, Joe DuFore, Courtney Moll, Arielle Schildback, Heather McLain and Henry Tews for data collection. Billie Harrison of the Milwaukee County Zoo is thanked for expert field work.</t>
  </si>
  <si>
    <t>SAN JOSE</t>
  </si>
  <si>
    <t>UNIVERSIDAD DE COSTA RICA CIUDAD UNIVERSITARIA, SAN JOSE, 00000, COSTA RICA</t>
  </si>
  <si>
    <t>0034-7744</t>
  </si>
  <si>
    <t>2215-2075</t>
  </si>
  <si>
    <t>REV BIOL TROP</t>
  </si>
  <si>
    <t>Rev. Biol. Trop.</t>
  </si>
  <si>
    <t>10.15517/rbt.v62i0.15922</t>
  </si>
  <si>
    <t>Life Sciences &amp; Biomedicine - Other Topics</t>
  </si>
  <si>
    <t>V41YF</t>
  </si>
  <si>
    <t>Green Published, gold</t>
  </si>
  <si>
    <t>WOS:000209580800026</t>
  </si>
  <si>
    <t>Barausse, A; Correale, V; Curkovic, A; Finotto, L; Riginella, E; Visentin, E; Mazzoldi, C</t>
  </si>
  <si>
    <t>Barausse, Alberto; Correale, Vittoria; Curkovic, Aleksia; Finotto, Licia; Riginella, Emilio; Visentin, Eleonora; Mazzoldi, Carlotta</t>
  </si>
  <si>
    <t>The role of fisheries and the environment in driving the decline of elasmobranchs in the northern Adriatic Sea</t>
  </si>
  <si>
    <t>ICES JOURNAL OF MARINE SCIENCE</t>
  </si>
  <si>
    <t>Climate; fishery; landings; management; seawater temperature; shark; skate</t>
  </si>
  <si>
    <t>SHARKS; EXTINCTION; COMMUNITY; RAJIDAE; SURVIVAL; CHIMERAS; CATCHES; RAYS</t>
  </si>
  <si>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</si>
  <si>
    <t>[Barausse, Alberto] Univ Padua, Dept Ind Engn, Environm Syst Anal Lab LASA, Padua, Italy; [Correale, Vittoria; Curkovic, Aleksia; Finotto, Licia; Riginella, Emilio; Visentin, Eleonora; Mazzoldi, Carlotta] Univ Padua, Dept Biol, Padua, Italy</t>
  </si>
  <si>
    <t>University of Padua; University of Padua</t>
  </si>
  <si>
    <t>Mazzoldi, C (corresponding author), Univ Padua, Dept Biol, Padua, Italy.</t>
  </si>
  <si>
    <t>carlotta.mazzoldi@unipd.it</t>
  </si>
  <si>
    <t>; Finotto, Licia/HJO-9195-2023; Mazzoldi, Carlotta/AAU-8628-2020; Riginella, Emilio/Q-2987-2019</t>
  </si>
  <si>
    <t>Riginella, Emilio/0000-0002-1442-8310; MAZZOLDI, CARLOTTA/0000-0002-2798-3030; Barausse, Alberto/0000-0002-2849-7624;</t>
  </si>
  <si>
    <t>CLODIA project - Veneto Region (Italy) (DGR) [4069]; Athenaeum Project - University of Padova [CPDA110183]; European Community's Seventh Framework Programme (KnowSeas project) [226675]</t>
  </si>
  <si>
    <t>CLODIA project - Veneto Region (Italy) (DGR); Athenaeum Project - University of Padova; European Community's Seventh Framework Programme (KnowSeas project)</t>
  </si>
  <si>
    <t>The study was supported by the CLODIA project, funded by the Veneto Region (Italy) Law 15/2007 (DGR n. 4069), and the Athenaeum Project CPDA110183, funded by the University of Padova (to CM), and the European Community's Seventh Framework Programme (grant agreement 226675, KnowSeas project) to AB.</t>
  </si>
  <si>
    <t>OXFORD UNIV PRESS</t>
  </si>
  <si>
    <t>GREAT CLARENDON ST, OXFORD OX2 6DP, ENGLAND</t>
  </si>
  <si>
    <t>1054-3139</t>
  </si>
  <si>
    <t>1095-9289</t>
  </si>
  <si>
    <t>ICES J MAR SCI</t>
  </si>
  <si>
    <t>ICES J. Mar. Sci.</t>
  </si>
  <si>
    <t>SEP-OCT</t>
  </si>
  <si>
    <t>10.1093/icesjms/fst222</t>
  </si>
  <si>
    <t>Fisheries; Marine &amp; Freshwater Biology; Oceanography</t>
  </si>
  <si>
    <t>AR1BT</t>
  </si>
  <si>
    <t>WOS:000343315900008</t>
  </si>
  <si>
    <t>Berthon, V; Alric, B; Rimet, F; Perga, ME</t>
  </si>
  <si>
    <t>Berthon, Vincent; Alric, Benjamin; Rimet, Frederic; Perga, Marie-Elodie</t>
  </si>
  <si>
    <t>Sensitivity and responses of diatoms to climate warming in lakes heavily influenced by humans</t>
  </si>
  <si>
    <t>additive model; climate change; diatoms; fisheries; nutrients</t>
  </si>
  <si>
    <t>LONG-TERM; CLADOCERAN COMMUNITIES; MULTIPLE STRESSORS; PEG-MODEL; BOTTOM-UP; PRODUCTIVITY; RESTORATION; VARIABILITY; PATTERNS; DAPHNIA</t>
  </si>
  <si>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</si>
  <si>
    <t>[Berthon, Vincent; Alric, Benjamin; Rimet, Frederic; Perga, Marie-Elodie] INRA, CARRTEL, F-74200 Thonon Les Bains, France; [Berthon, Vincent; Rimet, Frederic; Perga, Marie-Elodie] Univ Savoie, CARRTEL, Chambery, France; [Alric, Benjamin] IMBE, IRD 237, UMR CNRS 7263, Marseille, France</t>
  </si>
  <si>
    <t>INRAE; Universite Savoie Mont Blanc; Universite Savoie Mont Blanc; Aix-Marseille Universite; Centre National de la Recherche Scientifique (CNRS); Institut de Recherche pour le Developpement (IRD); CNRS - Institute of Ecology &amp; Environment (INEE)</t>
  </si>
  <si>
    <t>Perga, ME (corresponding author), INRA, CARRTEL, F-74200 Thonon Les Bains, France.</t>
  </si>
  <si>
    <t>marie-elodie.perga@thonon.inra.fr</t>
  </si>
  <si>
    <t>Rimet, Frédéric/S-2702-2018; RIMET, Frédéric/S-2702-2018; alric, benjamin/F-5068-2019</t>
  </si>
  <si>
    <t>Rimet, Frédéric/0000-0002-5514-869X; Perga, Marie-Elodie/0000-0002-9003-0769;</t>
  </si>
  <si>
    <t>French National Research Agency [ANR-VUL 005]; University of Savoie</t>
  </si>
  <si>
    <t>French National Research Agency(Agence Nationale de la Recherche (ANR)); University of Savoie</t>
  </si>
  <si>
    <t>We thank RK Johnson, JP Smol and G Simpson for their thoughtful reviews that clearly contributed to improve previous versions of this manuscript. This study was supported by the French National Research Agency (ANR-VUL 005: 'IPER-RETRO' project). VB was supported by a PhD fellowship from the University of Savoie. Emmanuel Malet, Bernard Fanget and Emmanuelle Dormia have to be thanked for their help in the field or in the laboratory.</t>
  </si>
  <si>
    <t>10.1111/fwb.12380</t>
  </si>
  <si>
    <t>AL8JR</t>
  </si>
  <si>
    <t>WOS:000339385100016</t>
  </si>
  <si>
    <t>Zhang, YZ; Liang, SL</t>
  </si>
  <si>
    <t>Zhang, Yuzhen; Liang, Shunlin</t>
  </si>
  <si>
    <t>Changes in forest biomass and linkage to climate and forest disturbances over Northeastern China</t>
  </si>
  <si>
    <t>forest biomass dynamics; forest disturbances; northeastern China</t>
  </si>
  <si>
    <t>NET PRIMARY PRODUCTION; BIOTIC DISTURBANCES; CONIFEROUS FORESTS; CARBON STOCKS; UNITED-STATES; FIRE; PRODUCTIVITY; ECOSYSTEMS; MANAGEMENT; REGRESSION</t>
  </si>
  <si>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</si>
  <si>
    <t>[Zhang, Yuzhen; Liang, Shunlin] Beijing Normal Univ, State Key Lab Remote Sensing Sci, Coll Global Change &amp; Earth Syst Sci, Beijing 100875, Peoples R China; [Liang, Shunlin] Univ Maryland, Dept Geog Sci, College Pk, MD 20742 USA</t>
  </si>
  <si>
    <t>Beijing Normal University; University System of Maryland; University of Maryland College Park</t>
  </si>
  <si>
    <t>Zhang, YZ (corresponding author), Beijing Normal Univ, State Key Lab Remote Sensing Sci, Coll Global Change &amp; Earth Syst Sci, Beijing 100875, Peoples R China.</t>
  </si>
  <si>
    <t>yuzhenzhang86@gmail.com</t>
  </si>
  <si>
    <t>Zhang, Yuzhen/GZK-3740-2022; Liang, Shunlin/C-2809-2015</t>
  </si>
  <si>
    <t>[2013AA122800]</t>
  </si>
  <si>
    <t>We are very grateful for anonymous reviewers for their constructive comments and suggestions. This study is funded by grant 2013AA122800.</t>
  </si>
  <si>
    <t>10.1111/gcb.12588</t>
  </si>
  <si>
    <t>AL4JW</t>
  </si>
  <si>
    <t>WOS:000339100200021</t>
  </si>
  <si>
    <t>Hagerthey, SE; Cook, MI; Mac Kobza, R; Newman, S; Bellinger, BJ</t>
  </si>
  <si>
    <t>Hagerthey, Scot E.; Cook, Mark I.; Mac Kobza, R.; Newman, Susan; Bellinger, Brent J.</t>
  </si>
  <si>
    <t>Aquatic faunal responses to an induced regime shift in the phosphorus-impacted Everglades</t>
  </si>
  <si>
    <t>community; crayfish; ecosystem restoration; fish; stoichiometry</t>
  </si>
  <si>
    <t>SAMPLING CHARACTERISTICS; NORTHERN EVERGLADES; CATTAIL MANAGEMENT; PROCAMBARUS-ALLENI; CHEYENNE-BOTTOMS; STOICHIOMETRY; VEGETATION; FLORIDA; FISHES; CRAYFISH</t>
  </si>
  <si>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</si>
  <si>
    <t>[Hagerthey, Scot E.; Cook, Mark I.; Mac Kobza, R.; Newman, Susan] South Florida Water Management Dist, Everglades Syst Assessment Sect, W Palm Beach, FL 33411 USA; [Bellinger, Brent J.] Univ Florida, Soil &amp; Water Sci Dept, Gainesville, FL USA</t>
  </si>
  <si>
    <t>South Florida Water Management District; State University System of Florida; University of Florida</t>
  </si>
  <si>
    <t>Cook, MI (corresponding author), South Florida Water Management Dist, Everglades Syst Assessment Sect, 8894 Belvedere Rd,Bldg 374, W Palm Beach, FL 33411 USA.</t>
  </si>
  <si>
    <t>mcook@sfwmd.gov</t>
  </si>
  <si>
    <t>; Kobza, Robert/C-6400-2015</t>
  </si>
  <si>
    <t>Newman, Susan/0000-0001-8340-2600; Hagerthey, Scot/0000-0002-1361-359X;</t>
  </si>
  <si>
    <t>10.1111/fwb.12353</t>
  </si>
  <si>
    <t>AJ2XP</t>
  </si>
  <si>
    <t>WOS:000337528600004</t>
  </si>
  <si>
    <t>Chen, BX; Zhang, XZ; Tao, J; Wu, JS; Wang, JS; Shi, PL; Zhang, YJ; Yu, CQ</t>
  </si>
  <si>
    <t>Chen, Baoxiong; Zhang, Xianzhou; Tao, Jian; Wu, Jianshuang; Wang, Jingsheng; Shi, Peili; Zhang, Yangjian; Yu, Chengqun</t>
  </si>
  <si>
    <t>The impact of climate change and anthropogenic activities on alpine grassland over the Qinghai-Tibet Plateau</t>
  </si>
  <si>
    <t>AGRICULTURAL AND FOREST METEOROLOGY</t>
  </si>
  <si>
    <t>The Qinghai-Tibet plateau; Alpine grassland ecosystem; Net primary production; Climate change; Anthropogenic activities</t>
  </si>
  <si>
    <t>NET PRIMARY PRODUCTION; INDUCED LAND DEGRADATION; HUMAN APPROPRIATION; PRIMARY PRODUCTIVITY; VARIABILITY; VEGETATION; SATELLITE; RESTORATION; ECOSYSTEMS; DESERTIFICATION</t>
  </si>
  <si>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</si>
  <si>
    <t>[Chen, Baoxiong; Zhang, Xianzhou; Tao, Jian; Wu, Jianshuang; Wang, Jingsheng; Shi, Peili; Zhang, Yangjian; Yu, Chengqun] Chinese Acad Sci, Lhasa Plateau Ecosyst Res Stn, Key Lab Ecosyst Network Observat &amp; Modeling, Inst Geog Sci &amp; Nat Resources Res, Beijing 100101, Peoples R China; [Chen, Baoxiong] Chinese Acad Sci, Grad Univ, Beijing 100049, Peoples R China</t>
  </si>
  <si>
    <t>Chinese Academy of Sciences; Institute of Geographic Sciences &amp; Natural Resources Research, CAS; Chinese Academy of Sciences; University of Chinese Academy of Sciences, CAS</t>
  </si>
  <si>
    <t>Zhang, XZ (corresponding author), Chinese Acad Sci, Lhasa Plateau Ecosyst Res Stn, Key Lab Ecosyst Network Observat &amp; Modeling, Inst Geog Sci &amp; Nat Resources Res, Beijing 100101, Peoples R China.</t>
  </si>
  <si>
    <t>zhangxz@igsnrr.ac.cn</t>
  </si>
  <si>
    <t>; Wang, Jingsheng/GXZ-8874-2022; Peili, SHi/AAT-6450-2021; Wu, Jianshuang/N-4694-2015; Zhang, Yangjian/D-1012-2014; WU, Jianshuang/N-4694-2015</t>
  </si>
  <si>
    <t>Tao, Jian/0000-0003-1374-8678; Wu, Jianshuang/0000-0002-6768-8255; 石, 培礼/0000-0002-1120-0003</t>
  </si>
  <si>
    <t>Chinese Academy of Sciences project [XDB03030400]; National Basic Research Program of China [2010CB951704]; National Sciences Foundation of China [41171044]</t>
  </si>
  <si>
    <t>Chinese Academy of Sciences project(Chinese Academy of Sciences); National Basic Research Program of China(National Basic Research Program of China); National Sciences Foundation of China(National Natural Science Foundation of China (NSFC))</t>
  </si>
  <si>
    <t>This study was jointly supported by Chinese Academy of Sciences project (XDB03030400), the National Basic Research Program of China (No. 2010CB951704), and the National Sciences Foundation of China (41171044). The constructive comments and suggestions from anonymous reviewers are also highly appreciated.</t>
  </si>
  <si>
    <t>0168-1923</t>
  </si>
  <si>
    <t>1873-2240</t>
  </si>
  <si>
    <t>AGR FOREST METEOROL</t>
  </si>
  <si>
    <t>Agric. For. Meteorol.</t>
  </si>
  <si>
    <t>JUN 1</t>
  </si>
  <si>
    <t>10.1016/j.agrformet.2014.01.002</t>
  </si>
  <si>
    <t>Agronomy; Forestry; Meteorology &amp; Atmospheric Sciences</t>
  </si>
  <si>
    <t>Agriculture; Forestry; Meteorology &amp; Atmospheric Sciences</t>
  </si>
  <si>
    <t>AE3BW</t>
  </si>
  <si>
    <t>WOS:000333852900003</t>
  </si>
  <si>
    <t>Dai, ZH; Birdsey, RA; Johnson, KD; Dupuy, JM; Hernandez-Stefanoni, JL; Richardson, K</t>
  </si>
  <si>
    <t>Dai, Zhaohua; Birdsey, Richard A.; Johnson, Kristofer D.; Manuel Dupuy, Juan; Luis Hernandez-Stefanoni, Jose; Richardson, Karen</t>
  </si>
  <si>
    <t>Modeling Carbon Stocks in a Secondary Tropical Dry Forest in the Yucatan Peninsula, Mexico</t>
  </si>
  <si>
    <t>Biomass; Forest-DNDC; Greenhouse gas; Disturbance; Tropical dry forest</t>
  </si>
  <si>
    <t>PROCESS-ORIENTED MODEL; SEMI-DECIDUOUS FOREST; METHANE UPTAKE; NO EMISSIONS; CLIMATE; SOILS; DYNAMICS; BIOMASS; N2O; SEQUESTRATION</t>
  </si>
  <si>
    <t>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t>
  </si>
  <si>
    <t>[Dai, Zhaohua; Birdsey, Richard A.; Johnson, Kristofer D.] US Forest Serv, USDA, Newtown Sq, PA 19073 USA; [Dai, Zhaohua; Richardson, Karen] Commiss Environm Cooperat North Amer, Montreal, PQ H2Y 1N9, Canada; [Manuel Dupuy, Juan; Luis Hernandez-Stefanoni, Jose] Ctr Invest Cient Yucatan AC, Unidad Recursos Nat, Merida 97200, Yucatan, Mexico</t>
  </si>
  <si>
    <t>United States Department of Agriculture (USDA); United States Forest Service; Centro de Investigacion Cientifica de Yucatan</t>
  </si>
  <si>
    <t>Dai, ZH (corresponding author), US Forest Serv, USDA, 11 Campus Blvd,Suite 200, Newtown Sq, PA 19073 USA.</t>
  </si>
  <si>
    <t>zdai@fs.fed.us</t>
  </si>
  <si>
    <t>; Hernandez-Stefanoni, J/B-3958-2008</t>
  </si>
  <si>
    <t>Hernandez-Stefanoni, Jose Luis/0000-0002-9559-7131;</t>
  </si>
  <si>
    <t>North American Commission for Environmental Cooperation; US Agency for International Development</t>
  </si>
  <si>
    <t>North American Commission for Environmental Cooperation; US Agency for International Development(United States Agency for International Development (USAID))</t>
  </si>
  <si>
    <t>This project was supported by the North American Commission for Environmental Cooperation and the US Agency for International Development. This research was conducted with data from the Mexican network of Intensive Carbon Monitoring Sites (MEX-SMIC). The network is an affiliation of Academic Institutions, Government and NGO investigators with various funding sources. The network currently includes five forested sites located in strategic landscapes for MRV-REDD + activities. Ecosystem C has been estimated using similar protocols since 2012 at various spatial and temporal scales with a variety of methods (e.g., inventory plots, remote sensing, eddy covariance, and ecosystem carbon models). More details can be found at: http://www.mrv.mx/mexsmic. We thank Dr. Jeff Masek of NASA for providing the disturbance map.</t>
  </si>
  <si>
    <t>SPRINGER INT PUBL AG</t>
  </si>
  <si>
    <t>CHAM</t>
  </si>
  <si>
    <t>GEWERBESTRASSE 11, CHAM, CH-6330, SWITZERLAND</t>
  </si>
  <si>
    <t>0049-6979</t>
  </si>
  <si>
    <t>1573-2932</t>
  </si>
  <si>
    <t>WATER AIR SOIL POLL</t>
  </si>
  <si>
    <t>Water Air Soil Pollut.</t>
  </si>
  <si>
    <t>10.1007/s11270-014-1925-x</t>
  </si>
  <si>
    <t>Environmental Sciences &amp; Ecology; Meteorology &amp; Atmospheric Sciences; Water Resources</t>
  </si>
  <si>
    <t>AF2YL</t>
  </si>
  <si>
    <t>WOS:000334578300016</t>
  </si>
  <si>
    <t>Wu, SH; Zhou, SL; Chen, DX; Wei, ZQ; Dai, L; Li, XG</t>
  </si>
  <si>
    <t>Wu, Shaohua; Zhou, Shenglu; Chen, Dongxiang; Wei, Zongqiang; Dai, Liang; Li, Xingong</t>
  </si>
  <si>
    <t>Determining the contributions of urbanisation and climate change to NPP variations over the last decade in the Yangtze River Delta, China</t>
  </si>
  <si>
    <t>NPP; Urbanisation; Climate change; Relative contributions; Yangtze River Delta</t>
  </si>
  <si>
    <t>NET PRIMARY PRODUCTIVITY; NDVI TIME-SERIES; NIGHTTIME LIGHT DATA; USE EFFICIENCY; RELATIVE ROLE; VEGETATION; IMPACT; DYNAMICS; DESERTIFICATION; REGION</t>
  </si>
  <si>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</si>
  <si>
    <t>[Wu, Shaohua; Zhou, Shenglu; Wei, Zongqiang; Dai, Liang] Nanjing Univ, Sch Geog &amp; Oceanog Sci, Nanjing 210023, Jiangsu, Peoples R China; [Chen, Dongxiang] Nanjing Univ, Sch Jinling, Nanjing 210089, Jiangsu, Peoples R China; [Li, Xingong] Univ Kansas, Dept Geog, Lawrence, KS 66045 USA</t>
  </si>
  <si>
    <t>Nanjing University; Nanjing University; University of Kansas</t>
  </si>
  <si>
    <t>Wu, SH (corresponding author), Nanjing Univ, Sch Geog &amp; Oceanog Sci, 163 Xianlin Rd, Nanjing 210023, Jiangsu, Peoples R China.</t>
  </si>
  <si>
    <t>wsh@nju.edu.cn</t>
  </si>
  <si>
    <t>Chen, Dongxiang/F-4462-2018; Wu, Shaohua/B-8259-2009</t>
  </si>
  <si>
    <t>Wei, Zongqiang/0000-0002-7680-4617; Wu, shaohua/0000-0002-8202-836X;</t>
  </si>
  <si>
    <t>National Natural Science Foundation of China [41001047]</t>
  </si>
  <si>
    <t>This work was supported by the National Natural Science Foundation of China (41001047).</t>
  </si>
  <si>
    <t>FEB 15</t>
  </si>
  <si>
    <t>10.1016/j.scitotenv.2013.10.128</t>
  </si>
  <si>
    <t>AB6RB</t>
  </si>
  <si>
    <t>WOS:000331916100047</t>
  </si>
  <si>
    <t>Blamey, LK; Plagányi, ÉE; Branch, GM</t>
  </si>
  <si>
    <t>Blamey, Laura K.; Plaganyi, Eva E.; Branch, George M.</t>
  </si>
  <si>
    <t>Was overfishing of predatory fish responsible for a lobster-induced regime shift in the Benguela?</t>
  </si>
  <si>
    <t>ECOLOGICAL MODELLING</t>
  </si>
  <si>
    <t>Abalone; Ecosystem model; Predator; Regime shift; Rock lobster; Urchin</t>
  </si>
  <si>
    <t>TOP-DOWN CONTROL; KELP FOREST ECOSYSTEMS; ABALONE HALIOTIS-MIDAE; ROCK LOBSTERS; SOUTH-AFRICA; SEA-URCHINS; REEF-FISH; PARECHINUS-ANGULOSUS; COMMUNITY STRUCTURE; JUVENILE ABALONE</t>
  </si>
  <si>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</si>
  <si>
    <t>[Blamey, Laura K.; Branch, George M.] Univ Cape Town, Marine Res MA RE Inst, ZA-7701 Rondebosch, South Africa; [Blamey, Laura K.; Branch, George M.] Univ Cape Town, Dept Biol Sci, ZA-7701 Rondebosch, South Africa; [Plaganyi, Eva E.] Univ Cape Town, Dept Math &amp; Appl Math, ZA-7701 Rondebosch, South Africa</t>
  </si>
  <si>
    <t>University of Cape Town; University of Cape Town; University of Cape Town</t>
  </si>
  <si>
    <t>Blamey, LK (corresponding author), Univ Cape Town, Marine Res MA RE Inst, Private Bag X3, ZA-7701 Rondebosch, South Africa.</t>
  </si>
  <si>
    <t>laura.k.blamey@gmail.com; eva.plaganyi-lloyd@csiro.au; mbranch@mweb.co.za</t>
  </si>
  <si>
    <t>Blamey, Laura/X-1093-2019; Plaganyi, Eva/C-5130-2011</t>
  </si>
  <si>
    <t>Blamey, Laura/0000-0003-3713-091X; Plaganyi, Eva/0000-0002-4740-4200</t>
  </si>
  <si>
    <t>University of Cape Town; National Research Foundation; Andrew Mellon Foundation</t>
  </si>
  <si>
    <t>We gratefully acknowledge financial support from the University of Cape Town, the National Research Foundation and the Andrew Mellon Foundation. We thank the Department of Agriculture, Forestry and Fisheries, and in particular A. Cockcroft, D. van Zyl, A. Mackenzie, R. Tarr and S. Kerwath, for making available data on lobster, abalone and linefish abundances that were used in our study. Thanks to A. Smith, M. Savina-Rolland, J. Estes and an anonymous reviewer for their helpful comments on the manuscript.</t>
  </si>
  <si>
    <t>0304-3800</t>
  </si>
  <si>
    <t>1872-7026</t>
  </si>
  <si>
    <t>ECOL MODEL</t>
  </si>
  <si>
    <t>Ecol. Model.</t>
  </si>
  <si>
    <t>FEB 10</t>
  </si>
  <si>
    <t>10.1016/j.ecolmodel.2013.11.004</t>
  </si>
  <si>
    <t>AB3EJ</t>
  </si>
  <si>
    <t>WOS:000331673800014</t>
  </si>
  <si>
    <t>Qin, Y; Yi, S; Ren, S; Li, N; Chen, J</t>
  </si>
  <si>
    <t>Qin, Y.; Yi, S.; Ren, S.; Li, N.; Chen, J.</t>
  </si>
  <si>
    <t>Responses of typical grasslands in a semi-arid basin on the Qinghai-Tibetan Plateau to climate change and disturbances</t>
  </si>
  <si>
    <t>ENVIRONMENTAL EARTH SCIENCES</t>
  </si>
  <si>
    <t>Qinghai-Tibetan Plateau; Typical alpine grassland; Carbon budgets; Climate change; Anthropogenic disturbances</t>
  </si>
  <si>
    <t>LEAF-AREA INDEX; ALPINE MEADOW; PRIMARY PRODUCTIVITY; CO2 EXCHANGE; CARBON POOL; SOIL CARBON; VEGETATION; ECOSYSTEM; NITROGEN; RESPIRATION</t>
  </si>
  <si>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</si>
  <si>
    <t>[Qin, Y.; Yi, S.; Ren, S.; Li, N.; Chen, J.] Chinese Acad Sci, Cold &amp; Arid Reg Environm &amp; Engn Res Inst, State Key Lab Cryospher Sci, Lanzhou 730000, Peoples R China</t>
  </si>
  <si>
    <t>Chinese Academy of Sciences; Cold &amp; Arid Regions Environmental &amp; Engineering Research Institute, CAS</t>
  </si>
  <si>
    <t>Yi, S (corresponding author), Chinese Acad Sci, Cold &amp; Arid Reg Environm &amp; Engn Res Inst, State Key Lab Cryospher Sci, 320 Donggang West Rd, Lanzhou 730000, Peoples R China.</t>
  </si>
  <si>
    <t>yis@lzb.ac.cn</t>
  </si>
  <si>
    <t>Carbide, 陈建军Silicon/AAL-2068-2020</t>
  </si>
  <si>
    <t>Chen, Jianjun/0000-0001-9464-3442</t>
  </si>
  <si>
    <t>Major State Basic Research Development Programme of China (973 Programme) [2010CB951402]; Strategic Priority Research Program [XDB030303]; Chinese Academy of Sciences [0927581001]; Chinese National Natural Science Foundation Commission [41271089]; State Key Laboratory of Cryospheric Sciences [SKLCS-ZZ-2012-2-2]</t>
  </si>
  <si>
    <t>Major State Basic Research Development Programme of China (973 Programme)(National Basic Research Program of China); Strategic Priority Research Program(Chinese Academy of Sciences); Chinese Academy of Sciences(Chinese Academy of Sciences); Chinese National Natural Science Foundation Commission(National Natural Science Foundation of China (NSFC)); State Key Laboratory of Cryospheric Sciences</t>
  </si>
  <si>
    <t>The authors acknowledge all of the technicians for their help with the fieldwork and the critical comments and constructive suggestions from Dr. Eugenie Euskirchen of University of Alaska Fairbanks and Dr. Matthias Peichl of Swedish University of Agricultural Sciences. This study was jointly supported by grants from the Major State Basic Research Development Programme of China (973 Programme) (No 2010CB951402), the Strategic Priority Research Program (XDB030303), the One Hundred People Plan (0927581001) of the Chinese Academy of Sciences and the Chinese National Natural Science Foundation Commission (41271089), and by independent grants from State Key Laboratory of Cryospheric Sciences (SKLCS-ZZ-2012-2-2).</t>
  </si>
  <si>
    <t>NEW YORK</t>
  </si>
  <si>
    <t>233 SPRING ST, NEW YORK, NY 10013 USA</t>
  </si>
  <si>
    <t>1866-6280</t>
  </si>
  <si>
    <t>1866-6299</t>
  </si>
  <si>
    <t>ENVIRON EARTH SCI</t>
  </si>
  <si>
    <t>Environ. Earth Sci.</t>
  </si>
  <si>
    <t>10.1007/s12665-013-2547-0</t>
  </si>
  <si>
    <t>Environmental Sciences; Geosciences, Multidisciplinary; Water Resources</t>
  </si>
  <si>
    <t>Environmental Sciences &amp; Ecology; Geology; Water Resources</t>
  </si>
  <si>
    <t>295NZ</t>
  </si>
  <si>
    <t>WOS:000330124100038</t>
  </si>
  <si>
    <t>Sturtevant, BR; Miranda, BR; Wolter, PT; James, PMA; Fortin, MJ; Townsend, PA</t>
  </si>
  <si>
    <t>Sturtevant, Brian R.; Miranda, Brian R.; Wolter, Peter T.; James, Patrick M. A.; Fortin, Marie-Josee; Townsend, Philip A.</t>
  </si>
  <si>
    <t>Forest recovery patterns in response to divergent disturbance regimes in the Border Lakes region of Minnesota (USA) and Ontario (Canada)</t>
  </si>
  <si>
    <t>Forest harvest patterns; Natural disturbance patterns; Landscape disturbance legacy; Disturbance regime; Forest recovery; Boreal forest</t>
  </si>
  <si>
    <t>BOREAL FOREST; SPRUCE BUDWORM; LANDSCAPE PATTERNS; WESTERN OREGON; COVER CHANGE; LAND-COVER; DYNAMICS; VEGETATION; LEGACIES; STAND</t>
  </si>
  <si>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</si>
  <si>
    <t>[Sturtevant, Brian R.; Miranda, Brian R.] US Forest Serv, Inst Appl Ecosyst Studies, No Res Stn, Rhinelander, WI 54501 USA; [Wolter, Peter T.] Iowa State Univ, Dept Nat Resource Ecol &amp; Management, Ames, IA 50011 USA; [James, Patrick M. A.] Univ Montreal, Dept Sci Biol, Montreal, PQ H2V 2S9, Canada; [Fortin, Marie-Josee] Univ Toronto, Dept Ecol &amp; Evolutionary Biol, Toronto, ON M5S 3B2, Canada; [Townsend, Philip A.] Univ Wisconsin, Dept Forest &amp; Wildlife Ecol, Madison, WI 53706 USA</t>
  </si>
  <si>
    <t>United States Department of Agriculture (USDA); United States Forest Service; Iowa State University; Universite de Montreal; University of Toronto; University of Wisconsin System; University of Wisconsin Madison</t>
  </si>
  <si>
    <t>Sturtevant, BR (corresponding author), US Forest Serv, Inst Appl Ecosyst Studies, No Res Stn, 5985 Hwy K Rhinelander, Rhinelander, WI 54501 USA.</t>
  </si>
  <si>
    <t>bsturtevant@fs.fed.us</t>
  </si>
  <si>
    <t>Townsend, Philip/B-5741-2008; Sturtevant, Brian/KHV-0383-2024</t>
  </si>
  <si>
    <t>Townsend, Philip/0000-0001-7003-8774; Miranda, Brian/0000-0002-3506-8297;</t>
  </si>
  <si>
    <t>USDA Cooperative State Research, Education and Extension Service (CSREES) [2005-35101-16342]; US National Fire Plan</t>
  </si>
  <si>
    <t>USDA Cooperative State Research, Education and Extension Service (CSREES)(United States Department of Agriculture (USDA)National Institute of Food &amp; Agriculture); US National Fire Plan</t>
  </si>
  <si>
    <t>This research was supported by the USDA Cooperative State Research, Education and Extension Service (CSREES) Managed Ecosystems program (2005-35101-16342) and the US National Fire Plan. We wish to thank Sue Lietz for technical support. John Stanovick provided valuable guidance on our statistical methods. We also thank Doug Shinneman, Brian Palik, and two anonymous reviewers for helpful comments on the manuscript.</t>
  </si>
  <si>
    <t>FEB 1</t>
  </si>
  <si>
    <t>10.1016/j.foreco.2013.10.039</t>
  </si>
  <si>
    <t>AB3BF</t>
  </si>
  <si>
    <t>WOS:000331665600023</t>
  </si>
  <si>
    <t>Zhou, W; Gang, CC; Zhou, L; Chen, YZ; Li, JL; Ju, WM; Odeh, I</t>
  </si>
  <si>
    <t>Zhou, Wei; Gang, Chengcheng; Zhou, Liang; Chen, Yizhao; Li, Jianlong; Ju, Weimin; Odeh, Inakwu</t>
  </si>
  <si>
    <t>Dynamic of grassland vegetation degradation and its quantitative assessment in the northwest China</t>
  </si>
  <si>
    <t>ACTA OECOLOGICA-INTERNATIONAL JOURNAL OF ECOLOGY</t>
  </si>
  <si>
    <t>Grassland degradation; Climate change; Human intervention; Grassland restoration; Tibetan plateau</t>
  </si>
  <si>
    <t>LAND DEGRADATION; HUMAN APPROPRIATION; TIBETAN PLATEAU; CLIMATE-CHANGE; RELATIVE ROLE; DESERTIFICATION; MANAGEMENT; TRENDS; CARBON; PRECIPITATION</t>
  </si>
  <si>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</si>
  <si>
    <t>[Zhou, Wei; Gang, Chengcheng; Chen, Yizhao; Li, Jianlong] Nanjing Univ, Sch Life Sci, Nanjing 210093, Jiangsu, Peoples R China; [Zhou, Liang] Nanjing Univ, Sch Geog &amp; Oceanog Sci, Nanjing 270093, Jiangsu, Peoples R China; [Ju, Weimin] Nanjing Univ, Int Inst Earth Syst Sci, Nanjing 210093, Jiangsu, Peoples R China; [Odeh, Inakwu] Univ Sydney, Fac Agr &amp; Environm, Dept Environm Sci, Sydney, NSW 2006, Australia</t>
  </si>
  <si>
    <t>Nanjing University; Nanjing University; Nanjing University; University of Sydney</t>
  </si>
  <si>
    <t>; Gang, Chengcheng/Z-4286-2019; Zhou, Liang/D-9403-2016</t>
  </si>
  <si>
    <t>Gang, Chengcheng/0000-0002-2804-5636; Zhou, Liang/0000-0003-3968-1897;</t>
  </si>
  <si>
    <t>National Basic Research Program of China [2010CB950702]; Asia-Pacific Network [ARCP-2013-16NMY-Li]; National Natural Science Foundation of China [41271361]; Public Sector Linkages Program by Australian Agency for International Development [64828]; Directorate For Geosciences; ICER [1348085] Funding Source: National Science Foundation</t>
  </si>
  <si>
    <t>National Basic Research Program of China(National Basic Research Program of China); Asia-Pacific Network; National Natural Science Foundation of China(National Natural Science Foundation of China (NSFC)); Public Sector Linkages Program by Australian Agency for International Development; Directorate For Geosciences; ICER(National Science Foundation (NSF)NSF - Directorate for Geosciences (GEO))</t>
  </si>
  <si>
    <t>We are grateful to the chief editor and anonymous reviewers for illuminating comments. This work was supported by National Basic Research Program of China (2010CB950702), the Asia-Pacific Network (ARCP-2013-16NMY-Li), and National Natural Science Foundation of China (41271361), the Public Sector Linkages Program supported by Australian Agency for International Development (64828). We also thank the China Meteorological Data Sharing Service System for granting us access to climate datasets.</t>
  </si>
  <si>
    <t>1146-609X</t>
  </si>
  <si>
    <t>1873-6238</t>
  </si>
  <si>
    <t>ACTA OECOL</t>
  </si>
  <si>
    <t>Acta Oecol.-Int. J. Ecol.</t>
  </si>
  <si>
    <t>10.1016/j.actao.2013.12.006</t>
  </si>
  <si>
    <t>AB4PT</t>
  </si>
  <si>
    <t>WOS:000331773100012</t>
  </si>
  <si>
    <t>Zhou, W; Sun, ZG; Li, JL; Gang, CC; Zhang, CB</t>
  </si>
  <si>
    <t>Zhou, Wei; Sun, ZhengGuo; Li, JianLong; Gang, ChengCheng; Zhang, ChaoBin</t>
  </si>
  <si>
    <t>Desertification dynamic and the relative roles of climate change and human activities in desertification in the Heihe River Basin based on NPP</t>
  </si>
  <si>
    <t>JOURNAL OF ARID LAND</t>
  </si>
  <si>
    <t>desertification; net primary productivity (NPP); climate change; human activities; quantitative assessment; Heihe River Basin</t>
  </si>
  <si>
    <t>NET PRIMARY PRODUCTION; WEST-AFRICAN SAHEL; LAND DEGRADATION; VEGETATION DYNAMICS; NORTHWEST CHINA; TERRESTRIAL; VARIABILITY; DROUGHT</t>
  </si>
  <si>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</si>
  <si>
    <t>[Zhou, Wei; Sun, ZhengGuo; Li, JianLong; Gang, ChengCheng; Zhang, ChaoBin] Nanjing Univ, Sch Life Sci, Nanjing 210093, Jiangsu, Peoples R China</t>
  </si>
  <si>
    <t>Li, JL (corresponding author), Nanjing Univ, Sch Life Sci, Nanjing 210093, Jiangsu, Peoples R China.</t>
  </si>
  <si>
    <t>jlli2008@nju.edu.cn</t>
  </si>
  <si>
    <t>; Gang, Chengcheng/Z-4286-2019</t>
  </si>
  <si>
    <t>Gang, Chengcheng/0000-0002-2804-5636;</t>
  </si>
  <si>
    <t>National Basic Research Program of China [2010CB950702]; National High Technology Research and Development Program of China [2007AA10Z231]; National Natural Science Foundation of China [40871012, J1103512, J1210026]; Asia-Pacific Network [ARCP-2012-SP25-Li]; Australian Agency for International Development [64828]; Directorate For Geosciences; ICER [1348085] Funding Source: National Science Foundation</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</si>
  <si>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Australian Agency for International Development(Norwegian Agency for Development Cooperation - NORAD); Directorate For Geosciences; ICER(National Science Foundation (NSF)NSF - Directorate for Geosciences (GEO))</t>
  </si>
  <si>
    <t>This work was supported by the National Basic Research Program of China (2010CB950702), the National High Technology Research and Development Program of China (2007AA10Z231), the National Natural Science Foundation of China (40871012, J1103512, J1210026), the Asia-Pacific Network (ARCP-2012-SP25-Li), and the Australian Agency for International Development (64828). We are grateful to Dr. Victor SQUIRES from University of Adelaide, Australia for his help in modifying the language. We also thank the China Meteorological Data Sharing Service System for providing climate datasets.</t>
  </si>
  <si>
    <t>SPRINGER HEIDELBERG</t>
  </si>
  <si>
    <t>HEIDELBERG</t>
  </si>
  <si>
    <t>TIERGARTENSTRASSE 17, D-69121 HEIDELBERG, GERMANY</t>
  </si>
  <si>
    <t>1674-6767</t>
  </si>
  <si>
    <t>2194-7783</t>
  </si>
  <si>
    <t>J ARID LAND</t>
  </si>
  <si>
    <t>J. Arid Land</t>
  </si>
  <si>
    <t>10.1007/s40333-013-0181-z</t>
  </si>
  <si>
    <t>179YJ</t>
  </si>
  <si>
    <t>WOS:000321558700006</t>
  </si>
  <si>
    <t>van Asselen, S; Verburg, PH; Vermaat, JE; Janse, JH</t>
  </si>
  <si>
    <t>van Asselen, Sanneke; Verburg, Peter H.; Vermaat, Jan E.; Janse, Jan H.</t>
  </si>
  <si>
    <t>Drivers of Wetland Conversion: a Global Meta-Analysis</t>
  </si>
  <si>
    <t>LAND-USE; CONSERVATION; AGRICULTURE; STRATEGIES; SYSTEMS</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</si>
  <si>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</si>
  <si>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[van Asselen, Sanneke; Verburg, Peter H.; Vermaat, Jan E.] Vrije Univ Amsterdam, Inst Environm Studies, Amsterdam, Netherlands; [Vermaat, Jan E.] Vrije Univ Amsterdam, Fac Earth &amp; Life Sci, Amsterdam, Netherlands; [Janse, Jan H.] PBL Netherlands Environm Assessment Agcy, Bilthoven, Netherlands</t>
  </si>
  <si>
    <t>Vrije Universiteit Amsterdam; Vrije Universiteit Amsterdam</t>
  </si>
  <si>
    <t>van Asselen, S (corresponding author), Vrije Univ Amsterdam, Inst Environm Studies, Amsterdam, Netherlands.</t>
  </si>
  <si>
    <t>svasselen@gmail.com</t>
  </si>
  <si>
    <t>Vermaat, Jan/I-5856-2012; Verburg, Peter/A-8469-2010; Janse, Jan/OUI-7427-2025; Verburg, Peter/Z-1582-2019</t>
  </si>
  <si>
    <t>Verburg, Peter/0000-0002-6977-7104;</t>
  </si>
  <si>
    <t>Netherlands Organization for Scientific Research (NWO) [IGLO-830.10.003]; European Research Council under the European Union's Seventh Framework Programme ERC (GLOLAND) [311819]; Netherlands Environmental Assessment Agency; NWO</t>
  </si>
  <si>
    <t>Netherlands Organization for Scientific Research (NWO)(Netherlands Organization for Scientific Research (NWO)); European Research Council under the European Union's Seventh Framework Programme ERC (GLOLAND); Netherlands Environmental Assessment Agency; NWO(Netherlands Organization for Scientific Research (NWO))</t>
  </si>
  <si>
    <t>This research is funded by the Netherlands Organization for Scientific Research (NWO; project IGLO-830.10.003), the European Research Council under the European Union's Seventh Framework Programme ERC Grant Agreement nr. 311819 (GLOLAND), and the Netherlands Environmental Assessment Agency. The position of the corresponding author (SVA) at the Institute for Environmental Studies was funded by NWO. She had a role in study design, data collection and analysis, decision to publish and preparation of the manuscript. The funders had no role in study design, data collection and analysis, decision to publish, or preparation of the manuscript.</t>
  </si>
  <si>
    <t>NOV 25</t>
  </si>
  <si>
    <t>e81292</t>
  </si>
  <si>
    <t>10.1371/journal.pone.0081292</t>
  </si>
  <si>
    <t>259RH</t>
  </si>
  <si>
    <t>Green Published, Green Submitted, gold</t>
  </si>
  <si>
    <t>WOS:000327543500082</t>
  </si>
  <si>
    <t>Koyanagi, TF; Furukawa, T</t>
  </si>
  <si>
    <t>Koyanagi, Tomoyo F.; Furukawa, Takuya</t>
  </si>
  <si>
    <t>Nation-wide agrarian depopulation threatens semi-natural grassland species in Japan: Sub-national application of the Red List Index</t>
  </si>
  <si>
    <t>Biodiversity indicator; Extinction risk; Marginal semi-natural grassland; Plant functional groups; Red Data Book; Red List Index (RLI)</t>
  </si>
  <si>
    <t>LIFE-HISTORY TRAITS; PLANT-COMMUNITIES; HUMAN-POPULATION; MANAGEMENT; EXTINCTION; LANDSCAPE; CONSERVATION; PERSISTENCE; DIVERSITY; FOREST</t>
  </si>
  <si>
    <t>To integrate monitoring and conservation of biodiversity at multiple spatial scales, biodiversity indicators measured at coarse spatial scales should be linked with anthropogenic pressures reported at finer scales. Applying the Red List Index (RLI) at the regional level, we investigated the relationship between Japanese semi-natural grassland species and proxies of threats caused by human activities over the past 50 years. We calculated and compared RLI values at the national and prefectural levels for all grassland species, plant functional groups (PFGs), and resource use types. Analyses of prefectural RLIs revealed trends that were not visible at the national level: annuals and wind-dispersed, tall and short perennials were more extinction prone (i.e., had lower RLI values) than tall and short perennials with unassisted and other types of dispersal mechanisms. Species with horticultural use also had higher risk of extinction than those without. Prefectural RLIs were further analyzed for their relationship to social factors (i.e., demographic and land use statistics). As a result, the conservation status of grassland plants was more deteriorated in prefectures with larger decrease in commercial and subsistence agrarian population density in the past (during 1960-1980) than the recent (1980-2000). This supports the perception that the underuse of agricultural landscapes, indicated by agrarian depopulation, has had a large impact on semi-natural grassland biodiversity in Japan. Our approach of relating regional RLIs to proxies of anthropogenic pressures demonstrated that human-induced drivers of species loss can be readily interpreted from spatial differences in RLI values in order to derive effective conservation strategies across regions. (C) 2013 Elsevier Ltd. All rights reserved.</t>
  </si>
  <si>
    <t>[Koyanagi, Tomoyo F.] Waseda Univ, Fac Human Sci, Tokorozawa, Saitama 3591192, Japan; [Furukawa, Takuya] Yokohama Natl Univ, Grad Sch Environm &amp; Informat Sci, Hodogaya Ku, Yokohama, Kanagawa 2408501, Japan</t>
  </si>
  <si>
    <t>Waseda University; Yokohama National University</t>
  </si>
  <si>
    <t>Furukawa, T (corresponding author), Yokohama Natl Univ, Grad Sch Environm &amp; Informat Sci, Hodogaya Ku, 79-7 Tokiwadai, Yokohama, Kanagawa 2408501, Japan.</t>
  </si>
  <si>
    <t>t-koyanagi@aoni.waseda.jp; tkyfurukawa@gmail.com</t>
  </si>
  <si>
    <t>; Furukawa, Takuya/JXL-3358-2024</t>
  </si>
  <si>
    <t>Furukawa, Takuya/0000-0003-2006-6560;</t>
  </si>
  <si>
    <t>Ministry of the Environment, Japan [S-9]</t>
  </si>
  <si>
    <t>Ministry of the Environment, Japan(Ministry of the Environment, Japan)</t>
  </si>
  <si>
    <t>This research was supported by the Environment Research and Technology Development Fund S-9 of the Ministry of the Environment, Japan.</t>
  </si>
  <si>
    <t>10.1016/j.biocon.2013.07.012</t>
  </si>
  <si>
    <t>277FL</t>
  </si>
  <si>
    <t>WOS:000328804300001</t>
  </si>
  <si>
    <t>Mu, SJ; Zhou, SX; Chen, YZ; Li, JL; Ju, WM; Odeh, IOA</t>
  </si>
  <si>
    <t>Mu, Shaojie; Zhou, Shuangxi; Chen, Yizhao; Li, Jianlong; Ju, Weimin; Odeh, I. O. A.</t>
  </si>
  <si>
    <t>Assessing the impact of restoration-induced land conversion and management alternatives on net primary productivity in Inner Mongolian grassland, China</t>
  </si>
  <si>
    <t>Inner Mongolia grassland; vegetation restoration programs; land use and cover change; net primary productivity; human activities</t>
  </si>
  <si>
    <t>HORQIN SANDY LAND; CARBON SEQUESTRATION; SOIL PROPERTIES; CLIMATE-CHANGE; RELATIVE ROLE; DESERTIFICATION; CROPLAND; ECOLOGY; STEPPE; CLASSIFICATION</t>
  </si>
  <si>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</si>
  <si>
    <t>[Mu, Shaojie; Chen, Yizhao; Li, Jianlong] Nanjing Univ, Sch Life Sci, Nanjing 210093, Jiangsu, Peoples R China; [Zhou, Shuangxi] Macquarie Univ, Dept Biol Sci, Sydney, NSW 2109, Australia; [Ju, Weimin] Nanjing Univ, Int Inst Earth Syst Sci, Nanjing 210093, Jiangsu, Peoples R China; [Odeh, I. O. A.] Univ Sydney, Fac Agr Food &amp; Nat Resources, Sydney, NSW 2006, Australia</t>
  </si>
  <si>
    <t>Nanjing University; Macquarie University; Nanjing University; University of Sydney</t>
  </si>
  <si>
    <t>; Odeh, Inakwu/F-7758-2011</t>
  </si>
  <si>
    <t>Zhou, Shuangxi/0009-0006-5022-3044; Zhou, Shuangxi/0000-0003-2930-2910;</t>
  </si>
  <si>
    <t>key project of Chinese national programs for fundamental research and development (973 program) [2010CB950702]; China's high-tech special projects (863 plan) [2007AA10Z231]; APN project [ARCP2011-06CMY-Li]</t>
  </si>
  <si>
    <t>key project of Chinese national programs for fundamental research and development (973 program)(National Basic Research Program of China); China's high-tech special projects (863 plan); APN project</t>
  </si>
  <si>
    <t>We would like to thank Yongliang You from China Agricultural University and Qiang Li from Inner Mongolia University for their help during the field investigation. This work was supported by the key project of Chinese national programs for fundamental research and development (973 program, 2010CB950702), the China's high-tech special projects (863 plan, No. 2007AA10Z231) and APN project (ARCP2011-06CMY-Li). The constructive comments and suggestions from anonymous reviewers are also highly appreciated.</t>
  </si>
  <si>
    <t>10.1016/j.gloplacha.2013.06.007</t>
  </si>
  <si>
    <t>205UR</t>
  </si>
  <si>
    <t>WOS:000323470800003</t>
  </si>
  <si>
    <t>Wilcove, DS; Giam, X; Edwards, DP; Fisher, B; Koh, LP</t>
  </si>
  <si>
    <t>Wilcove, David S.; Giam, Xingli; Edwards, David P.; Fisher, Brendan; Koh, Lian Pin</t>
  </si>
  <si>
    <t>Navjot's nightmare revisited: logging, agriculture, and biodiversity in Southeast Asia</t>
  </si>
  <si>
    <t>extinction; deforestation; oil palm; forest degradation; Southeast Asia</t>
  </si>
  <si>
    <t>SELECTIVELY LOGGED FORESTS; OIL PALM PLANTATIONS; TROPICAL RAIN-FORESTS; REDUCED-IMPACT; CONSERVATION VALUE; HUMAN DISTURBANCE; SPECIES RICHNESS; CENTRAL SULAWESI; BIRD DIVERSITY; LAND-USE</t>
  </si>
  <si>
    <t>In 2004, Navjot Sodhi and colleagues warned that logging and agricultural conversion of Southeast Asia's forests were leading to a biodiversity disaster. We evaluate this prediction against subsequent research and conclude that most of the fauna of the region can persist in logged forests. Conversely, conversion of primary or logged forests to plantation crops, such as oil palm, causes tremendous biodiversity loss. This loss is exacerbated by increased fire frequency. Therefore, we conclude that preventing agricultural conversion of logged forests is essential to conserving the biodiversity of this region. Our analysis also suggests that, because Southeast Asian forests are tightly tied to global commodity markets, conservation payments commensurate with combined returns from logging and subsequent agricultural production may be required to secure long-term forest protection.</t>
  </si>
  <si>
    <t>[Wilcove, David S.; Giam, Xingli] Princeton Univ, Woodrow Wilson Sch, Princeton, NJ 08544 USA; [Wilcove, David S.; Giam, Xingli] Princeton Univ, Dept Ecol &amp; Evolutionary Biol, Princeton, NJ 08544 USA; [Giam, Xingli] Natl Univ Singapore, Raffles Museum Biodivers Res, Singapore 117546, Singapore; [Edwards, David P.] James Cook Univ, Ctr Trop Environm &amp; Sustainabil Sci TESS, Cairns, Qld 4878, Australia; [Edwards, David P.] James Cook Univ, Sch Marine &amp; Trop Biol, Cairns, Qld 4878, Australia; [Fisher, Brendan] World Wildlife Fund, Washington, DC 20037 USA; [Koh, Lian Pin] ETH, Dept Environm Syst Sci, CH-8092 Zurich, Switzerland</t>
  </si>
  <si>
    <t>Princeton University; Princeton University; National University of Singapore; James Cook University; James Cook University; World Wildlife Fund; Swiss Federal Institutes of Technology Domain; ETH Zurich</t>
  </si>
  <si>
    <t>Wilcove, DS (corresponding author), Princeton Univ, Woodrow Wilson Sch, Princeton, NJ 08544 USA.</t>
  </si>
  <si>
    <t>dwilcove@princeton.edu</t>
  </si>
  <si>
    <t>; Edwards, David/AAC-5091-2019; Koh, Lian/A-5794-2010</t>
  </si>
  <si>
    <t>Wilcove, David S/0000-0002-1354-0503; Giam, Xingli/0000-0002-5239-9477; Edwards, David/0000-0001-8562-3853; Koh, Lian Pin/0000-0001-8152-3871</t>
  </si>
  <si>
    <t>High Meadows Foundation</t>
  </si>
  <si>
    <t>We thank Bert Harris, Tien Ming Lee, and three anonymous reviewers for their helpful comments on this manuscript. We also thank Jukka Miettinen for advice and discussions on fires in Southeast Asia. Our work in Southeast Asia has been supported in part by a grant from the High Meadows Foundation to D.S.W.</t>
  </si>
  <si>
    <t>ELSEVIER SCIENCE LONDON</t>
  </si>
  <si>
    <t>84 THEOBALDS RD, LONDON WC1X 8RR, ENGLAND</t>
  </si>
  <si>
    <t>0169-5347</t>
  </si>
  <si>
    <t>1872-8383</t>
  </si>
  <si>
    <t>TRENDS ECOL EVOL</t>
  </si>
  <si>
    <t>Trends Ecol. Evol.</t>
  </si>
  <si>
    <t>10.1016/j.tree.2013.04.005</t>
  </si>
  <si>
    <t>Environmental Sciences &amp; Ecology; Evolutionary Biology; Genetics &amp; Heredity</t>
  </si>
  <si>
    <t>225PV</t>
  </si>
  <si>
    <t>WOS:000324975700010</t>
  </si>
  <si>
    <t>Fu, YC; Lu, XY; Zhao, YL; Zeng, XT; Xia, LL</t>
  </si>
  <si>
    <t>Fu, Yingchun; Lu, Xueyu; Zhao, Yaolong; Zeng, Xiantie; Xia, Lili</t>
  </si>
  <si>
    <t>Assessment Impacts of Weather and Land Use/Land Cover (LULC) Change on Urban Vegetation Net Primary Productivity (NPP): A Case Study in Guangzhou, China</t>
  </si>
  <si>
    <t>NPP; spatiotemporal pattern; weather variation; LULC change; effects</t>
  </si>
  <si>
    <t>CLIMATE-CHANGE; ECOSYSTEM SERVICES; SOIL-MOISTURE; TERRESTRIAL; HEALTH; CITY; DEGRADATION; SATELLITE; BENEFITS; PATTERN</t>
  </si>
  <si>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</si>
  <si>
    <t>[Fu, Yingchun; Lu, Xueyu; Zhao, Yaolong; Zeng, Xiantie; Xia, Lili] S China Normal Univ, Sch Geog, Guangzhou 510631, Guangdong, Peoples R China; [Zeng, Xiantie] China RS Geoinformat Co Ltd, Dongguan 523808, Peoples R China</t>
  </si>
  <si>
    <t>South China Normal University</t>
  </si>
  <si>
    <t>Zhao, YL (corresponding author), S China Normal Univ, Sch Geog, Guangzhou 510631, Guangdong, Peoples R China.</t>
  </si>
  <si>
    <t>fuyc@scnu.edu.cn; praymer1007@gmail.com; yaolong@scnu.edu.cn; feandyi@163.com; hslily@163.com</t>
  </si>
  <si>
    <t>Zhao, Yaolong/V-1489-2019</t>
  </si>
  <si>
    <t>National Natural Science Foundation of China [41101152, 40901090]; Scientific Research Foundation for the Returned Overseas Chinese Scholars, State Education Ministry; talents introduced into Universities Foundation of Guangdong Province of China; China Scholarship Council (CSC); Guangdong Province Foundation [C10092]; Scientific Research Foundation of Graduate School of South China Normal University</t>
  </si>
  <si>
    <t>National Natural Science Foundation of China(National Natural Science Foundation of China (NSFC)); Scientific Research Foundation for the Returned Overseas Chinese Scholars, State Education Ministry(Scientific Research Foundation for the Returned Overseas Chinese Scholars); talents introduced into Universities Foundation of Guangdong Province of China; China Scholarship Council (CSC)(China Scholarship Council); Guangdong Province Foundation; Scientific Research Foundation of Graduate School of South China Normal University</t>
  </si>
  <si>
    <t>This work was supported by the National Natural Science Foundation of China (No. 41101152, No. 40901090), the Scientific Research Foundation for the Returned Overseas Chinese Scholars, State Education Ministry, the talents introduced into Universities Foundation of Guangdong Province of China, the China Scholarship Council (CSC) funding 2013, and the universities disciplinary and special construction funds of Guangdong Province Foundation (C10092), the Scientific Research Foundation of Graduate School of South China Normal University.</t>
  </si>
  <si>
    <t>10.3390/rs5084125</t>
  </si>
  <si>
    <t>274SI</t>
  </si>
  <si>
    <t>WOS:000328626100023</t>
  </si>
  <si>
    <t>Vayreda, J; Gracia, M; Martinez-Vilalta, J; Retana, J</t>
  </si>
  <si>
    <t>Vayreda, Jordi; Gracia, Marc; Martinez-Vilalta, Jordi; Retana, Javier</t>
  </si>
  <si>
    <t>Patterns and drivers of regeneration of tree species in forests of peninsular Spain</t>
  </si>
  <si>
    <t>Broadleaved trees; climate warming; conifers; disturbance; ingrowth rate; National Forest Inventory; sapling abundance; shade tolerance; stand structure; water availability</t>
  </si>
  <si>
    <t>OAK SEEDLING SURVIVAL; MEDITERRANEAN FORESTS; VEGETATION SHIFTS; SCOTS PINE; RECRUITMENT; DYNAMICS; VULNERABILITY; VARIABILITY; DROUGHT; GROWTH</t>
  </si>
  <si>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</si>
  <si>
    <t>[Vayreda, Jordi; Gracia, Marc; Martinez-Vilalta, Jordi; Retana, Javier] CREAF, Cerdanyola Del Valles 08193, Spain; [Vayreda, Jordi; Gracia, Marc; Martinez-Vilalta, Jordi; Retana, Javier] Univ Autonoma Barcelona, Cerdanyola Del Valles 08193, Spain</t>
  </si>
  <si>
    <t>Centro de Investigacion Ecologica y Aplicaciones Forestales (CREAF-CERCA); Autonomous University of Barcelona</t>
  </si>
  <si>
    <t>Vayreda, J (corresponding author), CREAF, Cerdanyola Del Valles 08193, Spain.</t>
  </si>
  <si>
    <t>j.vayreda@creaf.uab.es</t>
  </si>
  <si>
    <t>; Martinez-Vilalta, Jordi/D-3385-2014; Retana, Javier/L-1214-2014; Martínez-Vilalta, Jordi/D-3385-2014; Vayreda, Jordi/U-8172-2017; Retana, Javier/L-1214-2014</t>
  </si>
  <si>
    <t>Gracia, Marc/0000-0002-7492-800X; Martinez-Vilalta, Jordi/0000-0002-2332-7298; Retana, Javier/0000-0002-7505-9467; Vayreda, Jordi/0000-0002-9538-7361; Retana, Javier/0000-0002-7505-9467</t>
  </si>
  <si>
    <t>CONSOLIDER INGENIO [CSD2008-0040]</t>
  </si>
  <si>
    <t>CONSOLIDER INGENIO(Spanish GovernmentMinistry of Science &amp; Innovation, Spain (MICINN))</t>
  </si>
  <si>
    <t>This study was supported by the CONSOLIDER INGENIO 2010 CSD2008-0040 project. We are very grateful to all persons who made possible the two Spanish forest inventories and, especially, to their main coordinators, Ramon Villaescusa (IFN2) and Jose Antonio Villanueva (IFN3). We thank Llorenc Badiella for statistical advice and Rosa Maria Roman for her help with recent warming data.</t>
  </si>
  <si>
    <t>10.1111/jbi.12105</t>
  </si>
  <si>
    <t>161ES</t>
  </si>
  <si>
    <t>WOS:000320175400005</t>
  </si>
  <si>
    <t>Castaldelli, G; Pluchinotta, A; Milardi, M; Lanzoni, M; Giari, L; Rossi, R; Fano, EA</t>
  </si>
  <si>
    <t>Castaldelli, Giuseppe; Pluchinotta, Angela; Milardi, Marco; Lanzoni, Mattia; Giari, Luisa; Rossi, Remigio; Fano, Elisa Anna</t>
  </si>
  <si>
    <t>Introduction of exotic fish species and decline of native species in the lower Po basin, north-eastern Italy</t>
  </si>
  <si>
    <t>endangered species; alien species; fish; biodiversity; water quality; catchment</t>
  </si>
  <si>
    <t>FRESH-WATER FISH; CATFISH SILURUS-GLANIS; EUROPEAN CATFISH; RIVER; REQUIREMENTS; COMMUNITIES; ASSEMBLAGES; TOXICITY; INVASION; PREVENT</t>
  </si>
  <si>
    <t>Freshwater ecosystems worldwide are experiencing native fish losses with severe threats to the conservation of freshwater biodiversity and ecosystem functioning, and the debate on whether the cause is biotic or abiotic disturbance is still open.Temporal variation in fish assemblages was analysed over an 18year period in 14 waterways of the lowland backwaters of the Po River in north-eastern Italy, which are important feeding, spawning and nursery sites for native fish.In 1991, 14 native and eight exotic species were collected. In less than 20years 10 native species underwent local extinction, three of which - Rutilus pigus, Rutilus aula, and Chondrostoma soetta - were endemic to the Padano-Veneto District in northern Italy.Ordination of the data (MDS, CLUSTER, ANOSIM, SIMPER) showed a clear temporal gradient in fish community structure. After the establishment of the exotic predator Silurus glanis, some native species significantly declined in abundance and biomass (i.e. Alburnus arborella and Scardinius erythrophthalmus) or disappeared (i.e. Rutilus aula and Tinca tinca). Moreover, exotic species Cyprinus carpio, Ameiurus melas, and Carassius auratus from previous introductions, underwent significant changes in their abundance and biomass. No correlation was found between fish community structure and water quality parameters (BIOENV).The success of exotic species, particularly S. glanis which thrived in this degraded habitat, seems to have led to the decline of native fish fauna in the canals of the lower portion of the Po River basin. Conservation strategies focusing on the containment of exotic species and habitat restoration are recommended. Copyright (c) 2013 John Wiley &amp; Sons, Ltd.</t>
  </si>
  <si>
    <t>[Castaldelli, Giuseppe; Pluchinotta, Angela; Lanzoni, Mattia; Giari, Luisa; Rossi, Remigio; Fano, Elisa Anna] Univ Ferrara, Dept Life Sci &amp; Biotechnol, I-44121 Ferrara, Italy; [Milardi, Marco] Univ Helsinki, Dept Biol &amp; Environm Sci, FIN-00014 Helsinki, Finland</t>
  </si>
  <si>
    <t>University of Ferrara; University of Helsinki</t>
  </si>
  <si>
    <t>Pluchinotta, A (corresponding author), Univ Ferrara, Dept Life Sci &amp; Biotechnol, Borsari St 46, I-44121 Ferrara, Italy.</t>
  </si>
  <si>
    <t>angela.pluchinotta@unife.it</t>
  </si>
  <si>
    <t>Giari, Luisa/F-5909-2015; Castaldelli, Giuseppe/Q-8301-2016; Fano, Elisa Anna/M-6731-2015; Fano, Elisa/M-6731-2015; Milardi, Marco/ACZ-4214-2022; Lanzoni, Mattia/AAL-5938-2021</t>
  </si>
  <si>
    <t>Giari, Luisa/0000-0003-1058-0910; Castaldelli, Giuseppe/0000-0001-5954-1133; Fano, Elisa Anna/0000-0001-8552-9621; Milardi, Marco/0000-0001-6104-294X;</t>
  </si>
  <si>
    <t>Province of Ferrara</t>
  </si>
  <si>
    <t>This study was made possible by a long-term programme financed by the Province of Ferrara. The authors thank the Director of the Bureau for Wildlife Conservation and Management of the Province of Ferrara, Dr Elisabetta Mantovani, for support and constructive cooperation and Dr Raffaele Barbirati, Dr Ivan Zucconelli, and Dr Elena Rizzati for their work in the sampling campaigns. Dr Roberto Spaggiari and Dr Silvia Franceschini, of the Emilia-Romagna Region Environmental Protection Agency (ARPA-EMR) and Dr Silvia Bignami, of the Division of Ferrara (ARPA-FE) are also thanked for sharing their water quality database. Special thanks go to all the volunteers of the sport angling association ARCI Ferrara who worked in the fishing campaigns, and to its late president, Mr Adriano Zucchini, who recently left us for a better place. Finally, The Lucidus Consultancy is acknowledged for English correction of the manuscript.</t>
  </si>
  <si>
    <t>10.1002/aqc.2345</t>
  </si>
  <si>
    <t>157CQ</t>
  </si>
  <si>
    <t>WOS:000319873700007</t>
  </si>
  <si>
    <t>Ohlberger, J; Otero, J; Edeline, E; Winfield, IJ; Stenseth, NC; Vollestad, LA</t>
  </si>
  <si>
    <t>Ohlberger, Jan; Otero, Jaime; Edeline, Eric; Winfield, Ian J.; Stenseth, Nils Chr; Vollestad, L. Asbjorn</t>
  </si>
  <si>
    <t>Biotic and abiotic effects on cohort size distributions in fish</t>
  </si>
  <si>
    <t>OIKOS</t>
  </si>
  <si>
    <t>PERCA-FLUVIATILIS L; DEPENDENT LIFE-HISTORY; BODY-SIZE; COMMUNITY STRUCTURE; CLASS STRENGTHS; CLIMATE-CHANGE; WINDERMERE; DYNAMICS; POPULATIONS; FOOD</t>
  </si>
  <si>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</si>
  <si>
    <t>[Ohlberger, Jan; Otero, Jaime; Stenseth, Nils Chr; Vollestad, L. Asbjorn] Univ Oslo, Dept Biol, Ctr Ecol &amp; Evolutionary Synth, NO-0316 Oslo, Norway; [Edeline, Eric] Univ Paris 06, UMR 7618, CNRS, Lab Biogeochim &amp; Ecol Milieux Continent, FR-75230 Paris 05, France; [Winfield, Ian J.] Lancaster Environm Ctr, Ctr Ecol &amp; Hydrol, Lancaster LA1 4AP, Lancs, England</t>
  </si>
  <si>
    <t>University of Oslo; Universite Paris-Est-Creteil-Val-de-Marne (UPEC); AgroParisTech; Centre National de la Recherche Scientifique (CNRS); Institut de Recherche pour le Developpement (IRD); Sorbonne Universite; UK Centre for Ecology &amp; Hydrology (UKCEH); Lancaster University</t>
  </si>
  <si>
    <t>Ohlberger, J (corresponding author), Univ Oslo, Dept Biol, Ctr Ecol &amp; Evolutionary Synth, POB 1066 Blindern, NO-0316 Oslo, Norway.</t>
  </si>
  <si>
    <t>jan.ohlberger@bio.uio.no</t>
  </si>
  <si>
    <t>Ohlberger, Jan/H-3262-2019; Stenseth, Nils Christian/G-5212-2016; Vøllestad, Leif/H-7305-2019; Otero, Jaime/C-4848-2015; Stenseth, Nils/G-5212-2016; Winfield, Ian/I-6085-2012</t>
  </si>
  <si>
    <t>Stenseth, Nils Christian/0000-0002-1591-5399; Vøllestad, Leif Asbjørn/0000-0002-9389-7982; Ohlberger, Jan/0000-0001-6795-240X;</t>
  </si>
  <si>
    <t>Research Council of Norway; Natural Environment Research Council of the UK</t>
  </si>
  <si>
    <t>Research Council of Norway(Research Council of Norway); Natural Environment Research Council of the UK(UK Research &amp; Innovation (UKRI)Natural Environment Research Council (NERC))</t>
  </si>
  <si>
    <t>We thank Janice Fletcher, Ben James and other colleagues for undertaking the field and laboratory work of the Windermere monitoring programme. We are also grateful to the Freshwater Biological Association for their joint stewardship of the long-term Windermere data. Geir Ottersen and Bruno Ernande provided constructive comments that helped to improve the manuscript. The Research Council of Norway and the Natural Environment Research Council of the UK supported this work.</t>
  </si>
  <si>
    <t>0030-1299</t>
  </si>
  <si>
    <t>1600-0706</t>
  </si>
  <si>
    <t>Oikos</t>
  </si>
  <si>
    <t>10.1111/j.1600-0706.2012.19858.x</t>
  </si>
  <si>
    <t>150RJ</t>
  </si>
  <si>
    <t>WOS:000319408300004</t>
  </si>
  <si>
    <t>Bioenergy and land use change-state of the art</t>
  </si>
  <si>
    <t>WILEY INTERDISCIPLINARY REVIEWS-ENERGY AND ENVIRONMENT</t>
  </si>
  <si>
    <t>Bioenergy projects can lead to direct and indirect land use change (LUC), which can substantially affect greenhouse gas balances with both beneficial and adverse outcomes for bioenergy's contribution to climate change mitigation. The causes behind LUC are multiple, complex, interlinked, and change over time. This makes quantification uncertain and sensitive to many factors that can develop in different directions-including land use productivity, trade patterns, prices and elasticities, and use of by-products associated with biofuels production. Quantifications reported so far vary substantially and do not support the ranking of bioenergy options with regard to LUC and associated emissions. There are however several options for mitigating these emissions, which can be implemented despite the uncertainties. Long-rotation forest management is associated with carbon emissions and sequestration that are not in temporal balance with each other and this leads to mitigation trade-offs between biomass extraction for energy use and the alternative to leave the biomass in the forest. Bioenergy's contribution to climate change mitigation needs to reflect a balance between near-term targets and the long-term objective to hold the increase in global temperature below 2 degrees C (Copenhagen Accord). Although emissions from LUC can be significant in some circumstances, the reality of such emissions is not sufficient reason to exclude bioenergy from the list of worthwhile technologies for climate changemitigation. Policy measures to minimize the negative impacts of LUC should be based on a holistic perspective recognizing the multiple drivers and effects of LUC. (C) 2012 John Wiley &amp; Sons, Ltd.</t>
  </si>
  <si>
    <t>[Berndes, Goran; Borjesson, Pal] Chalmers Univ Technol, Environm &amp; Energy Dept, S-41296 Gothenburg, Sweden; [Ahlgren, Serina] Lund Univ, Dept Technol &amp; Soc, Lund, Sweden; [Cowie, Annette L.] Univ New England, Rural Climate Solut, Armidale, NSW 2351, Australia</t>
  </si>
  <si>
    <t>Berndes, G (corresponding author), Chalmers Univ Technol, Environm &amp; Energy Dept, S-41296 Gothenburg, Sweden.</t>
  </si>
  <si>
    <t>; Cowie, Annette/E-1485-2016</t>
  </si>
  <si>
    <t>Ahlgren, Serina/0000-0002-0086-8059; Cowie, Annette/0000-0002-3858-959X</t>
  </si>
  <si>
    <t>WILEY PERIODICALS, INC</t>
  </si>
  <si>
    <t>ONE MONTGOMERY ST, SUITE 1200, SAN FRANCISCO, CA 94104 USA</t>
  </si>
  <si>
    <t>2041-8396</t>
  </si>
  <si>
    <t>2041-840X</t>
  </si>
  <si>
    <t>WIRES ENERGY ENVIRON</t>
  </si>
  <si>
    <t>Wiley Interdiscip. Rev. Energy Environ.</t>
  </si>
  <si>
    <t>MAY-JUN</t>
  </si>
  <si>
    <t>Energy &amp; Fuels</t>
  </si>
  <si>
    <t>AQ9WI</t>
  </si>
  <si>
    <t>WOS:000343208300003</t>
  </si>
  <si>
    <t>Dalton, CM; Mokiao-Lee, A; Sakihara, TS; Weber, MG; Roco, CA; Han, Z; Dudley, B; MacKenzie, RA; Hairston, NG</t>
  </si>
  <si>
    <t>Dalton, C. M.; Mokiao-Lee, A.; Sakihara, T. S.; Weber, M. G.; Roco, C. A.; Han, Z.; Dudley, B.; MacKenzie, R. A.; Hairston, N. G., Jr.</t>
  </si>
  <si>
    <t>Density- and trait-mediated top-down effects modify bottom-up control of a highly endemic tropical aquatic food web</t>
  </si>
  <si>
    <t>SHRIMP HALOCARIDINA-RUBRA; FRESH-WATER; GAMBUSIA-AFFINIS; NUTRIENT STOICHIOMETRY; STRUCTURAL COMPLEXITY; PREDATION MORTALITY; FORAGING EFFICIENCY; VERTICAL MIGRATION; STREAM PERIPHYTON; TROPHIC STRUCTURE</t>
  </si>
  <si>
    <t>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t>
  </si>
  <si>
    <t>[Dalton, C. M.; Weber, M. G.; Han, Z.; Hairston, N. G., Jr.] Cornell Univ, Dept Ecol &amp; Evolutionary Biol, Ithaca, NY 14853 USA; [Mokiao-Lee, A.; Sakihara, T. S.] Univ Hawaii, Trop Conservat Biol &amp; Environm Sci Grad Program, Hilo, HI 96720 USA; [Sakihara, T. S.] Dept Land &amp; Nat Resources, Div Aquat Resources, Hilo, HI 96720 USA; [Roco, C. A.] Cornell Univ, Dept Microbiol, Ithaca, NY 14853 USA; [Dudley, B.] Univ Hawaii, Dept Biol, Hilo, HI 96720 USA; [MacKenzie, R. A.] US Forest Serv, USDA, Pacific Southwest Res Stn, Inst Pacific Isl Forestry, Hilo, HI 96720 USA</t>
  </si>
  <si>
    <t>Cornell University; University of Hawaii System; University Hawaii Hilo; Cornell University; University of Hawaii System; University Hawaii Hilo; United States Department of Agriculture (USDA); United States Forest Service</t>
  </si>
  <si>
    <t>Dalton, CM (corresponding author), Cornell Univ, Dept Ecol &amp; Evolutionary Biol, Ithaca, NY 14853 USA.</t>
  </si>
  <si>
    <t>cmd273@cornell.edu</t>
  </si>
  <si>
    <t>Dudley, Bruce/0000-0002-8937-4310; Sakihara, Troy/0000-0002-8944-7153; Roco, Constance Armanda/0000-0001-7748-3846</t>
  </si>
  <si>
    <t>National Science Foundation Centers of Research Excellence in Science and Technology [0833211]; Cornell Univ.</t>
  </si>
  <si>
    <t>National Science Foundation Centers of Research Excellence in Science and Technology; Cornell Univ.</t>
  </si>
  <si>
    <t>We thank M. Takabayashi for collaboration, and L. Mead and T. Holitzki at UHH Analytical Laboratory for water quality sample analysis. We thank C. M. Kearns for assistance analyzing CN samples, J. P. Friel for assistance identifying poeciliids and J. L. Simonis and G. Hooker for assistance with statistical analyses. We thank the instructors and students of the Cornell graduate Hawai'i field course for feedback on methods and the interpretation of results. We also thank Hawai'i Preparatory Academy for accommodations, Cornell Univ. for accommodations of Univ. of Hawai'i, Hilo students, and the Experimental Program to Stimulate Competitive Research Hawai'i for providing travel assistance. We thank D. Chai and Aunty Lei for assistance at the Hualalai Four Seasons and Kona Village Resorts, and the resorts themselves for permitting us access to their properties. This work was partly funded by National Science Foundation Centers of Research Excellence in Science and Technology grant 0833211 and Cornell Univ.</t>
  </si>
  <si>
    <t>10.1111/j.1600-0706.2012.20696.x</t>
  </si>
  <si>
    <t>131GS</t>
  </si>
  <si>
    <t>WOS:000317981400015</t>
  </si>
  <si>
    <t>Zhuravleva, I; Turubanova, S; Potapov, P; Hansen, M; Tyukavina, A; Minnemeyer, S; Laporte, N; Goetz, S; Verbelen, F; Thies, C</t>
  </si>
  <si>
    <t>Zhuravleva, I.; Turubanova, S.; Potapov, P.; Hansen, M.; Tyukavina, A.; Minnemeyer, S.; Laporte, N.; Goetz, S.; Verbelen, F.; Thies, C.</t>
  </si>
  <si>
    <t>Satellite-based primary forest degradation assessment in the Democratic Republic of the Congo, 2000-2010</t>
  </si>
  <si>
    <t>primary forests; intact forest landscapes; deforestation; forest degradation; remote sensing; Landsat; Democratic Republic of the Congo</t>
  </si>
  <si>
    <t>CENTRAL-AFRICA; DEFORESTATION; WORLDS; COVER; CONSERVATION; LANDSCAPES; ECOSYSTEMS; INTACT</t>
  </si>
  <si>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</si>
  <si>
    <t>[Zhuravleva, I.] Greenpeace Russia, Moscow 125040, Russia; [Turubanova, S.; Potapov, P.; Hansen, M.; Tyukavina, A.] Univ Maryland, Dept Geog Sci, College Pk, MD 20742 USA; [Minnemeyer, S.] World Resources Inst, Washington, DC 20002 USA; [Laporte, N.; Goetz, S.] Woods Hole Res Ctr, Falmouth, MA 02540 USA; [Verbelen, F.; Thies, C.] Greenpeace Int, NL-1066 AZ Amsterdam, Netherlands</t>
  </si>
  <si>
    <t>Greenpeace; University System of Maryland; University of Maryland College Park; Woodwell Climate Research Center; Greenpeace</t>
  </si>
  <si>
    <t>Zhuravleva, I (corresponding author), Greenpeace Russia, Leningradsky Prospekt 26-1, Moscow 125040, Russia.</t>
  </si>
  <si>
    <t>ilona.zhuravleva@greenpeace.org</t>
  </si>
  <si>
    <t>Hansen, Matthew/ABE-7226-2020; Goetz, Scott/A-3393-2015; Tyukavina, Alexandra/AGW-0785-2022; Potapov, Peter/AAE-7388-2019</t>
  </si>
  <si>
    <t>Tyukavina, Alexana/0000-0003-3872-9844; Goetz, Scott/0000-0002-6326-4308; Zhuravleva, Ilona/0000-0001-7897-281X; Potapov, Peter/0000-0003-3977-0021</t>
  </si>
  <si>
    <t>APR-JUN</t>
  </si>
  <si>
    <t>10.1088/1748-9326/8/2/024034</t>
  </si>
  <si>
    <t>178DU</t>
  </si>
  <si>
    <t>WOS:000321425100038</t>
  </si>
  <si>
    <t>Gao, ZQ; Cao, XM; Gao, W</t>
  </si>
  <si>
    <t>Gao, Zhiqiang; Cao, Xiaoming; Gao, Wei</t>
  </si>
  <si>
    <t>The spatio-temporal responses of the carbon cycle to climate and land use/land cover changes between 1981-2000 in China</t>
  </si>
  <si>
    <t>FRONTIERS OF EARTH SCIENCE</t>
  </si>
  <si>
    <t>carbon cycle; climate changes; LULC; remote sensing; Earth system modeling</t>
  </si>
  <si>
    <t>ANNUAL NET FLUX; TERRESTRIAL ECOSYSTEMS; INTERANNUAL VARIATIONS; PRIMARY PRODUCTIVITY; DYNAMIC-RESPONSES; ATMOSPHERIC CO2; SATELLITE DATA; BALANCE; STORAGE; PATTERNS</t>
  </si>
  <si>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</si>
  <si>
    <t>[Gao, Zhiqiang] Chinese Acad Sci, Yantai Inst Coastal Zone Res, Yantai 264003, Peoples R China; [Cao, Xiaoming] Chinese Acad Sci, Inst Geog Sci &amp; Nat Resources Res, Beijing 100101, Peoples R China; [Gao, Zhiqiang; Gao, Wei] Colorado State Univ, Nat Resource Ecol Lab, USDA UV B Monitoring &amp; Res Program, Ft Collins, CO 80521 USA</t>
  </si>
  <si>
    <t>Chinese Academy of Sciences; Yantai Institute of Coastal Zone Research, CAS; Chinese Academy of Sciences; Institute of Geographic Sciences &amp; Natural Resources Research, CAS; United States Department of Agriculture (USDA); Colorado State University System; Colorado State University Fort Collins</t>
  </si>
  <si>
    <t>Cao, XM (corresponding author), Chinese Acad Sci, Inst Geog Sci &amp; Nat Resources Res, Beijing 100101, Peoples R China.</t>
  </si>
  <si>
    <t>caoxm@lreis.ac.cn</t>
  </si>
  <si>
    <t>Gao, Wei/HLH-2787-2023; Xiaoming, Cao/JRW-3576-2023</t>
  </si>
  <si>
    <t>National Natural Science Foundation of China [41171334, 41071278]; USDA NIFA Project [2010-34263-21075]</t>
  </si>
  <si>
    <t>National Natural Science Foundation of China(National Natural Science Foundation of China (NSFC)); USDA NIFA Project</t>
  </si>
  <si>
    <t>This work was supported by the National Natural Science Foundation of China (Grant Nos. 41171334 and 41071278) and USDA NIFA Project (No. 2010-34263-21075). The authors acknowledge all the financial support gratefully.</t>
  </si>
  <si>
    <t>2095-0195</t>
  </si>
  <si>
    <t>2095-0209</t>
  </si>
  <si>
    <t>FRONT EARTH SCI-PRC</t>
  </si>
  <si>
    <t>Front. Earth Sci.</t>
  </si>
  <si>
    <t>10.1007/s11707-012-0335-x</t>
  </si>
  <si>
    <t>Geology</t>
  </si>
  <si>
    <t>080YD</t>
  </si>
  <si>
    <t>WOS:000314279400009</t>
  </si>
  <si>
    <t>Liu, JY</t>
  </si>
  <si>
    <t>Liu, J. Y.</t>
  </si>
  <si>
    <t>Status of Marine Biodiversity of the China Seas</t>
  </si>
  <si>
    <t>China's seas cover nearly 5 million square kilometers extending from the tropical to the temperate climate zones and bordering on 32,000 km of coastline, including islands. Comprehensive systematic study of the marine biodiversity within this region began in the early 1950s with the establishment of the Qingdao Marine Biological Laboratory of the Chinese Academy of Sciences. Since that time scientists have carried out intensive multidisciplinary research on marine life in the China seas and have recorded 22,629 species belonging to 46 phyla. The marine flora and fauna of the China seas are characterized by high biodiversity, including tropical and subtropical elements of the Indo-West Pacific warm-water fauna in the South and East China seas, and temperate elements of North Pacific temperate fauna mainly in the Yellow Sea. The southern South China Sea fauna is characterized by typical tropical elements paralleled with the Philippine-New Guinea-Indonesia Coral triangle typical tropical faunal center. This paper summarizes advances in studies of marine biodiversity in China's seas and discusses current research mainly on characteristics and changes in marine biodiversity, including the monitoring, assessment, and conservation of endangered species and particularly the strengthening of effective management. Studies of (1) a tidal flat in a semi-enclosed embayment, (2) the impact of global climate change on a cold-water ecosystem, (3) coral reefs of Hainan Island and Xisha-Nansha atolls, (4) mangrove forests of the South China Sea, (5) a threatened seagrass field, and (6) an example of stock enhancement practices of the Chinese shrimp fishery are briefly introduced. Besides the overexploitation of living resources (more than 12.4 million tons yielded in 2007), the major threat to the biodiversity of the China seas is environmental deterioration (pollution, coastal construction), particularly in the brackish waters of estuarine environments, which are characterized by high productivity and represent spawning and nursery areas for several economically important species. In the long term, climate change is also a major threat. Finally, challenges in marine biodiversity studies are briefly discussed along with suggestions to strengthen the field. Since 2004, China has participated in the Census of Marine Life, through which advances in the study of zooplankton and zoobenthos biodiversity were finally summarized.</t>
  </si>
  <si>
    <t>Chinese Acad Sci, Inst Oceanol, Qingdao, Peoples R China</t>
  </si>
  <si>
    <t>Chinese Academy of Sciences; Institute of Oceanology, CAS</t>
  </si>
  <si>
    <t>Liu, JY (corresponding author), Chinese Acad Sci, Inst Oceanol, Qingdao, Peoples R China.</t>
  </si>
  <si>
    <t>pmilos@usb.ve</t>
  </si>
  <si>
    <t>External Cooperation Program of the Chinese Academy of Sciences [GJHZ200808]; Main Direction Program of Knowledge Innovation of the Chinese Academy of Sciences [KZCX2-YW-417, KSCX2-EW-Z-5]; Special funds for science infrastructure of the Ministry of Science and Technology of the People's Republic of China [2006FY110500-4]; Alfred P. Sloan Foundation</t>
  </si>
  <si>
    <t>External Cooperation Program of the Chinese Academy of Sciences(Chinese Academy of Sciences); Main Direction Program of Knowledge Innovation of the Chinese Academy of Sciences(Chinese Academy of Sciences); Special funds for science infrastructure of the Ministry of Science and Technology of the People's Republic of China; Alfred P. Sloan Foundation(Alfred P. Sloan Foundation)</t>
  </si>
  <si>
    <t>Dr. Liu received funding for this study from the following organizations: The External Cooperation Program of the Chinese Academy of Sciences (GJHZ200808); Main Direction Program of Knowledge Innovation of the Chinese Academy of Sciences (KZCX2-YW-417), (KSCX2-EW-Z-5); Special funds for science infrastructure of the Ministry of Science and Technology of the People's Republic of China (2006FY110500-4); and The Alfred P. Sloan Foundation. The funders had no role in study design, data collection and analysis, decision to publish, or preparation of the manuscript.</t>
  </si>
  <si>
    <t>JAN 8</t>
  </si>
  <si>
    <t>e50719</t>
  </si>
  <si>
    <t>10.1371/journal.pone.0050719</t>
  </si>
  <si>
    <t>069IY</t>
  </si>
  <si>
    <t>WOS:000313429800005</t>
  </si>
  <si>
    <t>Fox, R</t>
  </si>
  <si>
    <t>Fox, Richard</t>
  </si>
  <si>
    <t>The decline of moths in Great Britain: a review of possible causes</t>
  </si>
  <si>
    <t>INSECT CONSERVATION AND DIVERSITY</t>
  </si>
  <si>
    <t>Biodiversity conservation; climate change; habitat degradation; light pollution; macro-moths; population trends</t>
  </si>
  <si>
    <t>CLIMATE-CHANGE; SPECIES RICHNESS; AGRICULTURAL INTENSIFICATION; BRITISH BUTTERFLIES; EXTINCTION RISK; LAND-USE; FARMLAND BIODIVERSITY; DISTRIBUTION PATTERNS; NITROGEN DEPOSITION; POPULATION TRENDS</t>
  </si>
  <si>
    <t>. 1. Population declines among insects are inadequately quantified, yet of vital importance to national and global biodiversity assessments and have significant implications for ecosystem services. 2. Substantial declines in abundance and distribution have been reported recently within a species-rich insect taxon, macro-moths, in Great Britain and other European countries. These declines are of concern because moths are important primary consumers and prey items for a wide range of other taxa, as well as contributing to ecosystem services such as pollination. 3. I summarise these declines and review potential drivers of change. Direct evidence for causes of moth declines is extremely limited, but correlative studies and extrapolation from closely related taxa suggest that habitat degradation (particularly because of agricultural intensification and changing silviculture) and climate change are likely to be major drivers. There is currently little evidence of negative population-level effects on moths caused by chemical or light pollution, non-native species or direct exploitation. 4. I make suggestions for future research with a focus on quantifying impacts of land management practices, light pollution and climate change on moth population dynamics and developing evidence-based measures that can be incorporated into agri-environment schemes and other policy initiatives to help reverse the widespread decline of moths in Great Britain and beyond.</t>
  </si>
  <si>
    <t>Butterfly Conservat, Manor Yard, Wareham BH20 5QP, Dorset, England</t>
  </si>
  <si>
    <t>Fox, R (corresponding author), Butterfly Conservat, Manor Yard, Wareham BH20 5QP, Dorset, England.</t>
  </si>
  <si>
    <t>rfox@butterfly-conservation.org</t>
  </si>
  <si>
    <t>Fox, Richard/G-3873-2011</t>
  </si>
  <si>
    <t>Fox, Richard/0000-0001-6992-3522</t>
  </si>
  <si>
    <t>1752-458X</t>
  </si>
  <si>
    <t>1752-4598</t>
  </si>
  <si>
    <t>INSECT CONSERV DIVER</t>
  </si>
  <si>
    <t>Insect. Conserv. Divers.</t>
  </si>
  <si>
    <t>10.1111/j.1752-4598.2012.00186.x</t>
  </si>
  <si>
    <t>Biodiversity Conservation; Entomology</t>
  </si>
  <si>
    <t>Biodiversity &amp; Conservation; Entomology</t>
  </si>
  <si>
    <t>075JC</t>
  </si>
  <si>
    <t>WOS:000313880200002</t>
  </si>
  <si>
    <t>Clark, KL; Skowronski, N; Gallagher, M; Renninger, H; Schäfer, K</t>
  </si>
  <si>
    <t>Clark, Kenneth L.; Skowronski, Nicholas; Gallagher, Michael; Renninger, Heidi; Schaefer, Karina</t>
  </si>
  <si>
    <t>Effects of invasive insects and fire on forest energy exchange and evapotranspiration in the New Jersey pinelands</t>
  </si>
  <si>
    <t>Evapotranspiration; Leaf area index; Eddy covariance; Gypsy moth defoliation; Prescribed fire; Disturbance</t>
  </si>
  <si>
    <t>WATER FLUXES; PINE FORESTS; CARBON; CHRONOSEQUENCE; MATURE; VAPOR</t>
  </si>
  <si>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</si>
  <si>
    <t>[Clark, Kenneth L.; Skowronski, Nicholas; Gallagher, Michael] US Forest Serv, USDA, No Res Stn, New Lisbon, NJ 08064 USA; [Renninger, Heidi; Schaefer, Karina] Rutgers State Univ, Dept Biol Sci, Newark, NJ 07102 USA</t>
  </si>
  <si>
    <t>United States Department of Agriculture (USDA); United States Forest Service; Rutgers University System; Rutgers University New Brunswick; Rutgers University Newark</t>
  </si>
  <si>
    <t>Clark, KL (corresponding author), POB 232, New Lisbon, NJ 08064 USA.</t>
  </si>
  <si>
    <t>kennethclark@fs.fed.us</t>
  </si>
  <si>
    <t>Skowronski, Nicholas/N-4417-2013; Renninger, Heidi/E-5237-2015</t>
  </si>
  <si>
    <t>Skowronski, Nicholas/0000-0002-5801-5614; Renninger, Heidi/0000-0002-2485-9835</t>
  </si>
  <si>
    <t>DEC 15</t>
  </si>
  <si>
    <t>10.1016/j.agrformet.2012.07.007</t>
  </si>
  <si>
    <t>070AV</t>
  </si>
  <si>
    <t>WOS:000313479100007</t>
  </si>
  <si>
    <t>Bell, RJ; Collie, JS; Jamu, D; Banda, M</t>
  </si>
  <si>
    <t>Bell, Richard J.; Collie, Jeremy S.; Jamu, Daniel; Banda, Moses</t>
  </si>
  <si>
    <t>Changes in the biomass of chambo in the southeast arm of Lake Malawi: A stock assessment of Oreochromis spp.</t>
  </si>
  <si>
    <t>Lake Malawi; Oreochromis; Chambo; Cichlid; Lake height; Stock assessment</t>
  </si>
  <si>
    <t>TRAWL FISHERY; LAND-USE; FLUCTUATIONS; VARIABILITY; LIMNOLOGY; AFRICA; IMPACT; LEVEL</t>
  </si>
  <si>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</si>
  <si>
    <t>[Bell, Richard J.; Collie, Jeremy S.] Univ Rhode Isl, Grad Sch Oceanog, Narragansett, RI 02882 USA; [Jamu, Daniel] WorldFish Ctr, Zomba, Malawi; [Banda, Moses] Malawi Dept Fisheries, Fisheries Res Unit, Monkey Bay, Malawi</t>
  </si>
  <si>
    <t>University of Rhode Island; CGIAR; Worldfish</t>
  </si>
  <si>
    <t>Bell, RJ (corresponding author), Univ Rhode Isl, Grad Sch Oceanog, Narragansett, RI 02882 USA.</t>
  </si>
  <si>
    <t>rbell@gso.uri.edu</t>
  </si>
  <si>
    <t>USAid</t>
  </si>
  <si>
    <t>USAid(United States Agency for International Development (USAID))</t>
  </si>
  <si>
    <t>We would like to thanks the World Fish Center for initiating this work and facilitating the project. We would also like to thank all the members of the Malawi Fisheries Department for their assistance, advice and use of their data. In particular we would like to thank George Sodzapanja for working late nights sorting through thousands of files to retrieve all the catch and effort data. The original manuscript was improved by two anonymous reviewers. Thank you to the crew of the Ndunduma and to USAid for funding the project through the USAid CGIAR Linkage Fund.</t>
  </si>
  <si>
    <t>10.1016/j.jglr.2012.09.022</t>
  </si>
  <si>
    <t>052FM</t>
  </si>
  <si>
    <t>WOS:000312183100013</t>
  </si>
  <si>
    <t>Hanafiah, MM; Hendriks, AJ; Huijbregts, MAJ</t>
  </si>
  <si>
    <t>Hanafiah, Marlia M.; Hendriks, A. Jan; Huijbregts, Mark A. J.</t>
  </si>
  <si>
    <t>Comparing the ecological footprint with the biodiversity footprint of products</t>
  </si>
  <si>
    <t>Mean species abundance; Land use; Ecoinvent; Life cycle assessment</t>
  </si>
  <si>
    <t>LIFE-CYCLE ASSESSMENT; LAND-USE IMPACTS; DIVERSITY</t>
  </si>
  <si>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</si>
  <si>
    <t>[Hanafiah, Marlia M.; Hendriks, A. Jan; Huijbregts, Mark A. J.] Radboud Univ Nijmegen, Fac Sci, Dept Environm Sci, NL-6500 GL Nijmegen, Netherlands; [Hanafiah, Marlia M.] Natl Univ Malaysia, Dept Environm Sci, Fac Sci &amp; Technol, Sch Environm &amp; Nat Resource Sci, Ukm Bangi 43600, Selangor, Malaysia</t>
  </si>
  <si>
    <t>Radboud University Nijmegen; Universiti Kebangsaan Malaysia</t>
  </si>
  <si>
    <t>Huijbregts, MAJ (corresponding author), Radboud Univ Nijmegen, Fac Sci, Dept Environm Sci, NL-6500 GL Nijmegen, Netherlands.</t>
  </si>
  <si>
    <t>M.Huijbregts@science.ru.nl</t>
  </si>
  <si>
    <t>Huijbregts, Mark/B-8971-2011; Hendriks, Aalbert/C-6767-2013; Hanafiah, Marlia/AAN-4611-2020; Huijbregts, Mark/LSL-2248-2024</t>
  </si>
  <si>
    <t>Huijbregts, Mark/0000-0002-7037-680X;</t>
  </si>
  <si>
    <t>Ministry of Higher Education Malaysia; National University of Malaysia</t>
  </si>
  <si>
    <t>Ministry of Higher Education Malaysia(Ministry of Education, Malaysia); National University of Malaysia</t>
  </si>
  <si>
    <t>We thank the anonymous reviewers for their useful suggestions. Marlia Mohd Hanafiah was financed by the Ministry of Higher Education Malaysia and the National University of Malaysia.</t>
  </si>
  <si>
    <t>0959-6526</t>
  </si>
  <si>
    <t>1879-1786</t>
  </si>
  <si>
    <t>J CLEAN PROD</t>
  </si>
  <si>
    <t>J. Clean Prod.</t>
  </si>
  <si>
    <t>10.1016/j.jclepro.2012.06.016</t>
  </si>
  <si>
    <t>Science &amp; Technology - Other Topics; Engineering; Environmental Sciences &amp; Ecology</t>
  </si>
  <si>
    <t>014KS</t>
  </si>
  <si>
    <t>WOS:000309375200010</t>
  </si>
  <si>
    <t>Abraham, RK; Kelkar, N</t>
  </si>
  <si>
    <t>Abraham, Robin Kurian; Kelkar, Nachiket</t>
  </si>
  <si>
    <t>Do terrestrial protected areas conserve freshwater fish diversity? Results from the Western Ghats of India</t>
  </si>
  <si>
    <t>ORYX</t>
  </si>
  <si>
    <t>Diversity; fish; freshwater; India; Western Ghats</t>
  </si>
  <si>
    <t>RIVER-BASIN; SRI-LANKA; BIODIVERSITY; NETWORKS; LANDSCAPE; PATTERNS; FORESTS; RESERVE; THREATS; RANGE</t>
  </si>
  <si>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</si>
  <si>
    <t>Tata Inst Fundamental Res, Natl Ctr Biol Sci, Bangalore, Karnataka, India</t>
  </si>
  <si>
    <t>Tata Institute of Fundamental Research (TIFR); National Centre for Biological Sciences (NCBS)</t>
  </si>
  <si>
    <t>Kelkar, N (corresponding author), TC 11-1123,Kowdiar PO, Thiruvananthapuram 695003, Kerala, India.</t>
  </si>
  <si>
    <t>rainmaker.nsk@gmail.com</t>
  </si>
  <si>
    <t>Conservation Leadership Programme</t>
  </si>
  <si>
    <t>We thank the Conservation Leadership Programme for funding, and the Kerala Forest Department for research permits and logistic support, and two anonymous reviewers and Geoff Hyde of the National Centre for Biological Sciences (NCBS), Bangalore, for constructive comments that greatly enhanced this article. We are also grateful to Uma Ramakrishnan of NCBS, and Ajith Kumar and Jagdish Krishnaswamy of the Wildlife Conservation Society-India for their continuous support, R. Rajesh, Chacko, Chandrankutty, Francis, Sukumaran and Thomas Ammavan for field assistance and logistic support, and A. Bijukumar, C. P. Shaji and Kurian Mathew Abraham who shared vital information and provided logistic support.</t>
  </si>
  <si>
    <t>CAMBRIDGE UNIV PRESS</t>
  </si>
  <si>
    <t>CAMBRIDGE</t>
  </si>
  <si>
    <t>EDINBURGH BLDG, SHAFTESBURY RD, CB2 8RU CAMBRIDGE, ENGLAND</t>
  </si>
  <si>
    <t>0030-6053</t>
  </si>
  <si>
    <t>1365-3008</t>
  </si>
  <si>
    <t>10.1017/S0030605311000937</t>
  </si>
  <si>
    <t>015UT</t>
  </si>
  <si>
    <t>WOS:000309472600015</t>
  </si>
  <si>
    <t>Comeros-Raynal, MT; Choat, JH; Polidoro, BA; Clements, KD; Abesamis, R; Craig, MT; Lazuardi, ME; McIlwain, J; Muljadi, A; Myers, RF; Nañola, CL; Pardede, S; Rocha, LA; Russell, B; Sanciangco, JC; Stockwell, B; Harwell, H; Carpenter, KE</t>
  </si>
  <si>
    <t>Comeros-Raynal, Mia T.; Choat, John Howard; Polidoro, Beth A.; Clements, Kendall D.; Abesamis, Rene; Craig, Matthew T.; Lazuardi, Muhammad Erdi; McIlwain, Jennifer; Muljadi, Andreas; Myers, Robert F.; Nanola, Cleto L., Jr.; Pardede, Shinta; Rocha, Luiz A.; Russell, Barry; Sanciangco, Jonnell C.; Stockwell, Brian; Harwell, Heather; Carpenter, Kent E.</t>
  </si>
  <si>
    <t>The Likelihood of Extinction of Iconic and Dominant Herbivores and Detritivores of Coral Reefs: The Parrotfishes and Surgeonfishes</t>
  </si>
  <si>
    <t>IUCN RED LIST; CLIMATE-CHANGE; PHASE-SHIFTS; HABITAT DEGRADATION; MARINE RESERVE; BOLBOMETOPON-MURICATUM; STOPLIGHT PARROTFISH; EVOLUTIONARY HISTORY; CHEILINUS-UNDULATUS; NUTRITIONAL ECOLOGY</t>
  </si>
  <si>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</si>
  <si>
    <t>[Comeros-Raynal, Mia T.; Polidoro, Beth A.; Sanciangco, Jonnell C.; Harwell, Heather; Carpenter, Kent E.] Old Dominion Univ, IUCN Species Programme, SSC Marine Biodivers Unit Global Marine Species A, Norfolk, VA 23529 USA; [Choat, John Howard] James Cook Univ, Sch Marine Biol &amp; Aquaculture, Townsville, Qld 4811, Australia; [Clements, Kendall D.] Univ Auckland, Sch Biol Sci, Auckland 1, New Zealand; [Abesamis, Rene] Silliman Univ, Dumaguete, Negros Oriental, Philippines; [Craig, Matthew T.] Univ San Diego, Dept Marine Sci &amp; Environm Studies, San Diego, CA 92110 USA; [Lazuardi, Muhammad Erdi] Conservat Int, Denpasar, Bali, Indonesia; [McIlwain, Jennifer] Curtin Univ Technol, Dept Environm &amp; Agr, Perth, WA, Australia; [Muljadi, Andreas] Coral Triangle Ctr, Sanur, Bali, Indonesia; [Myers, Robert F.] Coral Graph, Wellington, FL USA; [Nanola, Cleto L., Jr.] Univ Philippines Mindanao, Coll Sci &amp; Math, Davao, Philippines; [Pardede, Shinta] Wildlife Conservat Soc, Indonesia Marine Program, Bogor, Jawa Barat, Indonesia; [Rocha, Luiz A.] Calif Acad Sci, San Francisco, CA 94118 USA; [Russell, Barry] Charles Darwin Univ, Arafura Timor Res Facil C, Sch Environm &amp; Life Sci, Brinkin, NT, Australia</t>
  </si>
  <si>
    <t>Old Dominion University; James Cook University; University of Auckland; Silliman University; University of San Diego; Conservation International - Indonesia; Curtin University; University of the Philippines System; University of the Philippines Mindanao; Wildlife Conservation Society - Indonesia; California Academy of Sciences; Charles Darwin University</t>
  </si>
  <si>
    <t>Comeros-Raynal, MT (corresponding author), Old Dominion Univ, IUCN Species Programme, SSC Marine Biodivers Unit Global Marine Species A, Norfolk, VA 23529 USA.</t>
  </si>
  <si>
    <t>mcome003@odu.edu</t>
  </si>
  <si>
    <t>Rocha, Luiz/T-6326-2019; Abesamis, Rene/AAE-1917-2022; McIlwain, Jennifer/J-9179-2012</t>
  </si>
  <si>
    <t>Lazuardi, Muhammad Erdi/0000-0001-8964-8898; Sanciangco, Jonnell Cueto/0000-0001-8268-3180; Abesamis, Rene/0000-0001-7456-1415; Stockwell, Brian/0000-0001-9983-4723; Rocha, Luiz/0000-0003-4011-569X; McIlwain, Jennifer/0000-0002-7790-5081; Muljadi, Aneas Hary/0000-0001-9239-9124; Clements, Kendall/0000-0001-8512-5977; Comeros-Raynal, Mia Theresa/0000-0002-5087-8984</t>
  </si>
  <si>
    <t>New Hampshire Charitable Foundation</t>
  </si>
  <si>
    <t>This research was supported by core funding from Tom Haas and the New Hampshire Charitable Foundation. The funders had no role in study design, data collection and analysis, decision to publish, or preparation of the manuscript.</t>
  </si>
  <si>
    <t>JUL 11</t>
  </si>
  <si>
    <t>e39825</t>
  </si>
  <si>
    <t>10.1371/journal.pone.0039825</t>
  </si>
  <si>
    <t>973LU</t>
  </si>
  <si>
    <t>WOS:000306362400022</t>
  </si>
  <si>
    <t>Béguer, M; Bergé, J; Gardia-Parège, C; Beaulaton, L; Castelnaud, G; Girardin, M; Boët, P</t>
  </si>
  <si>
    <t>Beguer, Melanie; Berge, Julien; Gardia-Parege, Caroline; Beaulaton, Laurent; Castelnaud, Gerard; Girardin, Michel; Boet, Philippe</t>
  </si>
  <si>
    <t>Long-Term Changes in Population Dynamics of the Shrimp Palaemon longirostris in the Gironde Estuary</t>
  </si>
  <si>
    <t>ESTUARIES AND COASTS</t>
  </si>
  <si>
    <t>Palaemon longirostris; Long term; Life history-traits; Gironde estuary; Global change; Indicator</t>
  </si>
  <si>
    <t>NORTH-ATLANTIC OSCILLATION; HIGHLY TURBID ESTUARY; CLIMATE-CHANGE; VARIABILITY; ENVIRONMENT; MARINE; RIVER; FISH; ABUNDANCE; PARADOX</t>
  </si>
  <si>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</si>
  <si>
    <t>[Beguer, Melanie; Berge, Julien; Gardia-Parege, Caroline; Castelnaud, Gerard; Girardin, Michel; Boet, Philippe] Irstea, F-33612 Cestas, France; [Beaulaton, Laurent] ONEMA, Direct Act Sci &amp; Tech, F-94300 Vincennes, France</t>
  </si>
  <si>
    <t>INRAE</t>
  </si>
  <si>
    <t>Béguer, M (corresponding author), Irstea, 50 Ave Verdun, F-33612 Cestas, France.</t>
  </si>
  <si>
    <t>melanie.beguer@gmail.com</t>
  </si>
  <si>
    <t>Boët, Philippe/A-2778-2013; Beaulaton, Laurent/B-6391-2013; Laurent, Beaulaton/B-6391-2013</t>
  </si>
  <si>
    <t>Boët, Philippe/0000-0002-9387-9071; Beaulaton, Laurent/0000-0002-9614-8602;</t>
  </si>
  <si>
    <t>CNPE of Blayais; Aquitaine Regional Council</t>
  </si>
  <si>
    <t>CNPE of Blayais; Aquitaine Regional Council(Region Nouvelle-Aquitaine)</t>
  </si>
  <si>
    <t>We would like to thank Bernard Ballion, Romaric Le Barh, Jean-Francois Bigot, Christine Gazeau, Aymeric Guibert, Philippe Jatteau, Mario Lepage and everyone who took part in sampling surveys. This study was partly funded by CNPE of Blayais and the Aquitaine Regional Council. We also wish to thank Jose D. Benchetrit for English corrections.</t>
  </si>
  <si>
    <t>1559-2723</t>
  </si>
  <si>
    <t>1559-2731</t>
  </si>
  <si>
    <t>ESTUAR COAST</t>
  </si>
  <si>
    <t>Estuaries Coasts</t>
  </si>
  <si>
    <t>10.1007/s12237-012-9506-y</t>
  </si>
  <si>
    <t>951CF</t>
  </si>
  <si>
    <t>WOS:000304697600014</t>
  </si>
  <si>
    <t>Olsson, J; Bergström, L; Gårdmark, A</t>
  </si>
  <si>
    <t>Olsson, Jens; Bergstrom, Lena; Gardmark, Anna</t>
  </si>
  <si>
    <t>Abiotic drivers of coastal fish community change during four decades in the Baltic Sea</t>
  </si>
  <si>
    <t>climate change; community structure; eutrophication; geographical scale; species composition; Kattegat; Baltic Proper; Bothnian Sea</t>
  </si>
  <si>
    <t>GENETIC POPULATION-STRUCTURE; REGIME SHIFTS; TROPHIC CASCADES; MARINE ECOSYSTEM; FISHERIES; CLIMATE; COD</t>
  </si>
  <si>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</si>
  <si>
    <t>[Olsson, Jens; Bergstrom, Lena; Gardmark, Anna] Swedish Univ Agr Sci, Dept Aquat Resources, Inst Coastal Res, S-74222 Oregrund, Sweden</t>
  </si>
  <si>
    <t>Swedish University of Agricultural Sciences</t>
  </si>
  <si>
    <t>Olsson, J (corresponding author), Swedish Univ Agr Sci, Dept Aquat Resources, Inst Coastal Res, Skolgatan 6, S-74222 Oregrund, Sweden.</t>
  </si>
  <si>
    <t>Jens.Olsson@slu.se</t>
  </si>
  <si>
    <t>Gårdmark, Anna/AAC-3909-2021</t>
  </si>
  <si>
    <t>Bergström, Lena/0000-0002-8059-8764</t>
  </si>
  <si>
    <t>Swedish Environmental Protection Agency; Swedish Board of Fisheries; Swedish University of Agricultural Sciences</t>
  </si>
  <si>
    <t>We thank Kerstin Soderberg, four anonymous reviewers, the editor Verena Trenkel, and the ICES/HELCOM Working Group on Integrated Assessments of the Baltic Sea (WGIAB) for help and inspiration during the construction of this manuscript. This study is part of the project Integrated analyses of Baltic Sea ecosystems, financially supported by the Swedish Environmental Protection Agency, the Swedish Board of Fisheries, and the Swedish University of Agricultural Sciences.</t>
  </si>
  <si>
    <t>10.1093/icesjms/fss072</t>
  </si>
  <si>
    <t>961JR</t>
  </si>
  <si>
    <t>WOS:000305461200004</t>
  </si>
  <si>
    <t>Vaughan, IP; Ormerod, SJ</t>
  </si>
  <si>
    <t>Vaughan, Ian P.; Ormerod, Steve J.</t>
  </si>
  <si>
    <t>Large-scale, long-term trends in British river macroinvertebrates</t>
  </si>
  <si>
    <t>biological recovery; climate; pollution; resilience; urbanization; water</t>
  </si>
  <si>
    <t>NORTH-ATLANTIC OSCILLATION; WATER-QUALITY; POPULATION TRENDS; BIODIVERSITY; RECOVERY; STREAMS; RESTORATION; ECOSYSTEMS; SECURITY; SERVICES</t>
  </si>
  <si>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</si>
  <si>
    <t>[Vaughan, Ian P.; Ormerod, Steve J.] Cardiff Univ, Catchment Res Grp, Cardiff Sch Biosci, Cardiff CF10 3AX, S Glam, Wales</t>
  </si>
  <si>
    <t>Cardiff University</t>
  </si>
  <si>
    <t>Vaughan, IP (corresponding author), Cardiff Univ, Catchment Res Grp, Cardiff Sch Biosci, Cardiff CF10 3AX, S Glam, Wales.</t>
  </si>
  <si>
    <t>vaughanip@cardiff.ac.uk</t>
  </si>
  <si>
    <t>Ormerod, Stephen J/A-4326-2010; Ormerod, Steve/A-4326-2010; Vaughan, Ian/A-4782-2010</t>
  </si>
  <si>
    <t>Ormerod, Stephen J/0000-0002-8174-302X; Vaughan, Ian/0000-0002-7263-3822</t>
  </si>
  <si>
    <t>Research Councils UK</t>
  </si>
  <si>
    <t>Research Councils UK(UK Research &amp; Innovation (UKRI))</t>
  </si>
  <si>
    <t>We wish to thank the Environment Agency for providing the data used in the analysis and in particular the assistance of Lucy Baker, Alice Hiley and Carol Langley in compiling the data. Two referees and the Editor made valuable comments on an earlier version of the manuscript. This work was funded by a Research Councils UK fellowship for IPV.</t>
  </si>
  <si>
    <t>10.1111/j.1365-2486.2012.02662.x</t>
  </si>
  <si>
    <t>952VD</t>
  </si>
  <si>
    <t>WOS:000304820300009</t>
  </si>
  <si>
    <t>Zhang, FM; Chen, JM; Pan, YD; Birdsey, RA; Shen, SH; Ju, WM; He, LM</t>
  </si>
  <si>
    <t>Zhang, Fangmin; Chen, Jing M.; Pan, Yude; Birdsey, Richard A.; Shen, Shuanghe; Ju, Weimin; He, Liming</t>
  </si>
  <si>
    <t>Attributing carbon changes in conterminous U.S. forests to disturbance and non-disturbance factors from 1901 to 2010</t>
  </si>
  <si>
    <t>JOURNAL OF GEOPHYSICAL RESEARCH-BIOGEOSCIENCES</t>
  </si>
  <si>
    <t>NET PRIMARY PRODUCTION; SOIL ORGANIC-MATTER; CLIMATE-CHANGE; UNITED-STATES; TERRESTRIAL BIOSPHERE; CO2 FERTILIZATION; ATMOSPHERIC CO2; TREE MORTALITY; CANADA FORESTS; BOREAL FOREST</t>
  </si>
  <si>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</si>
  <si>
    <t>[Zhang, Fangmin; Shen, Shuanghe] Nanjing Univ Informat Sci &amp; Technol, Jiangsu Key Lab Agr Meteorol, Coll Appl Meteorol, Nanjing 210044, Jiangsu, Peoples R China; [Zhang, Fangmin; Chen, Jing M.; He, Liming] Univ Toronto, Dept Geog, Toronto, ON M5S 1A1, Canada; [Pan, Yude; Birdsey, Richard A.] US Forest Serv, USDA, Newtown Sq, PA USA; [Ju, Weimin] Nanjing Univ, Int Inst Earth Syst Sci, Nanjing, Jiangsu, Peoples R China</t>
  </si>
  <si>
    <t>Nanjing University of Information Science &amp; Technology; University of Toronto; United States Department of Agriculture (USDA); United States Forest Service; Nanjing University</t>
  </si>
  <si>
    <t>Zhang, FM (corresponding author), Nanjing Univ Informat Sci &amp; Technol, Jiangsu Key Lab Agr Meteorol, Coll Appl Meteorol, Nanjing 210044, Jiangsu, Peoples R China.</t>
  </si>
  <si>
    <t>fmin.zhang@utoronto.ca</t>
  </si>
  <si>
    <t>Pan, Yude/F-6145-2015; Chen, Jing/AAD-4768-2020; He, Liming/E-1910-2015</t>
  </si>
  <si>
    <t>He, Liming/0000-0003-4010-6814;</t>
  </si>
  <si>
    <t>National Basic Research Program of China (973 Program) [2010CB950702]; Jiangsu Graduate Innovation Program [CX09B_223Z]; Canadian Foundation for Climate and Atmospheric Sciences; USDA Forest Service [07-JV-11242300-114]; Priority Academic Program Development of Jiangsu Higher Education Institutions (PARO); Canadian Carbon Program</t>
  </si>
  <si>
    <t>National Basic Research Program of China (973 Program)(National Basic Research Program of China); Jiangsu Graduate Innovation Program; Canadian Foundation for Climate and Atmospheric Sciences; USDA Forest Service(United States Department of Agriculture (USDA)United States Forest Service); Priority Academic Program Development of Jiangsu Higher Education Institutions (PARO); Canadian Carbon Program</t>
  </si>
  <si>
    <t>This research was supported by a grant from National Basic Research Program of China (973 Program) (2010CB950702), Jiangsu Graduate Innovation Program (CX09B_223Z), Canadian Carbon Program funded by the Canadian Foundation for Climate and Atmospheric Sciences, grant 07-JV-11242300-114 from the USDA Forest Service, and the Priority Academic Program Development of Jiangsu Higher Education Institutions (PARO).</t>
  </si>
  <si>
    <t>AMER GEOPHYSICAL UNION</t>
  </si>
  <si>
    <t>2000 FLORIDA AVE NW, WASHINGTON, DC 20009 USA</t>
  </si>
  <si>
    <t>2169-8953</t>
  </si>
  <si>
    <t>2169-8961</t>
  </si>
  <si>
    <t>J GEOPHYS RES-BIOGEO</t>
  </si>
  <si>
    <t>J. Geophys. Res.-Biogeosci.</t>
  </si>
  <si>
    <t>JUN 7</t>
  </si>
  <si>
    <t>G02021</t>
  </si>
  <si>
    <t>10.1029/2011JG001930</t>
  </si>
  <si>
    <t>957IF</t>
  </si>
  <si>
    <t>WOS:000305154000001</t>
  </si>
  <si>
    <t>Szabo, JK; Butchart, SHM; Possingham, HP; Garnett, ST</t>
  </si>
  <si>
    <t>Szabo, Judit K.; Butchart, Stuart H. M.; Possingham, Hugh P.; Garnett, Stephen T.</t>
  </si>
  <si>
    <t>Adapting global biodiversity indicators to the national scale: A Red List Index for Australian birds</t>
  </si>
  <si>
    <t>Australia; Birds; IUCN Red List; Biodiversity trends; State of the environment; Threatened taxa</t>
  </si>
  <si>
    <t>EXTINCTION RISK; WOODLAND BIRDS; CONSERVATION; PROGRESS; ERADICATION; TRENDS</t>
  </si>
  <si>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</si>
  <si>
    <t>[Szabo, Judit K.; Garnett, Stephen T.] Charles Darwin Univ, Res Inst Environm &amp; Livelihoods, Darwin, NT 0909, Australia; [Butchart, Stuart H. M.] BirdLife Int, Wellbrook Court, Cambridge CB3 0NA, England; [Possingham, Hugh P.] Univ Queensland, Ctr Excellence Environm Decis, St Lucia, Qld 4072, Australia</t>
  </si>
  <si>
    <t>Charles Darwin University; BirdLife International; University of Queensland</t>
  </si>
  <si>
    <t>Szabo, JK (corresponding author), Charles Darwin Univ, Res Inst Environm &amp; Livelihoods, Darwin, NT 0909, Australia.</t>
  </si>
  <si>
    <t>judit.szabo@cdu.edu.au</t>
  </si>
  <si>
    <t>Garnett, Stephen/M-3877-2013; Possingham, Hugh/B-1337-2008; Szabo, Judit/C-1247-2012; Butchart, Stuart/Y-2711-2018</t>
  </si>
  <si>
    <t>Garnett, Stephen/0000-0002-0724-7060; Possingham, Hugh/0000-0001-7755-996X; Szabo, Judit/0000-0002-8786-1887; Butchart, Stuart/0000-0002-1140-4049;</t>
  </si>
  <si>
    <t>Australian Research Council [LP0990395]; Birds Australia; Australian Wildlife Conservancy; Biosis and BirdLife International; Australian Research Council [LP0990395] Funding Source: Australian Research Council</t>
  </si>
  <si>
    <t>Australian Research Council(Australian Research Council); Birds Australia; Australian Wildlife Conservancy; Biosis and BirdLife International; Australian Research Council(Australian Research Council)</t>
  </si>
  <si>
    <t>The Red List assessments upon which these analyses are based would not have been possible without input from hundreds of experts. For the 2010 assessment we wish to thank particularly members of the Birds Australia threatened species committee: Barry Baker, Andrew Burbidge, Allan Burbidge, Graham Carpenter, Les Christidis, Guy Dutson, Hugh Ford, Tim Holmes, Sarah Legge, Richard Loyn, Peter Menkhorst, James O'Connor, Penny Olsen, Don Saunders, Andy Symes, David Watson and John Woinarski. The project was funded under Australian Research Council Linkage Grant LP0990395 with support from Birds Australia, the Australian Wildlife Conservancy, Biosis and BirdLife International.</t>
  </si>
  <si>
    <t>10.1016/j.biocon.2012.01.062</t>
  </si>
  <si>
    <t>926OG</t>
  </si>
  <si>
    <t>WOS:000302840100007</t>
  </si>
  <si>
    <t>Croxall, JP; Butchart, SHM; Lascelles, B; Stattersfield, AJ; Sullivan, B; Symes, A; Taylor, P</t>
  </si>
  <si>
    <t>Croxall, John P.; Butchart, Stuart H. M.; Lascelles, Ben; Stattersfield, Alison J.; Sullivan, Ben; Symes, Andy; Taylor, Phil</t>
  </si>
  <si>
    <t>Seabird conservation status, threats and priority actions: a global assessment</t>
  </si>
  <si>
    <t>BIRD CONSERVATION INTERNATIONAL</t>
  </si>
  <si>
    <t>BIODIVERSITY; ERADICATION; ALBATROSSES; INDICATORS; MORTALITY</t>
  </si>
  <si>
    <t>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t>
  </si>
  <si>
    <t>[Croxall, John P.; Butchart, Stuart H. M.; Lascelles, Ben; Stattersfield, Alison J.; Symes, Andy; Taylor, Phil] BirdLife Int, Wellbrook Court, Cambridge CB3 0NA, England; [Sullivan, Ben] Royal Soc Protect Birds, Sandy SG19 2DL, Beds, England</t>
  </si>
  <si>
    <t>BirdLife International; Royal Society for Protection of Birds</t>
  </si>
  <si>
    <t>Croxall, JP (corresponding author), BirdLife Int, Wellbrook Court, Girton Rd, Cambridge CB3 0NA, England.</t>
  </si>
  <si>
    <t>john.croxall@birdlife.org</t>
  </si>
  <si>
    <t>; Butchart, Stuart/Y-2711-2018</t>
  </si>
  <si>
    <t>Butchart, Stuart/0000-0002-1140-4049; Taylor, Philip/0000-0002-0751-6451;</t>
  </si>
  <si>
    <t>32 AVENUE OF THE AMERICAS, NEW YORK, NY 10013-2473 USA</t>
  </si>
  <si>
    <t>0959-2709</t>
  </si>
  <si>
    <t>1474-0001</t>
  </si>
  <si>
    <t>BIRD CONSERV INT</t>
  </si>
  <si>
    <t>Bird Conserv. Int.</t>
  </si>
  <si>
    <t>10.1017/S0959270912000020</t>
  </si>
  <si>
    <t>Biodiversity Conservation; Ornithology</t>
  </si>
  <si>
    <t>Biodiversity &amp; Conservation; Zoology</t>
  </si>
  <si>
    <t>905TW</t>
  </si>
  <si>
    <t>WOS:000301298900001</t>
  </si>
  <si>
    <t>Greig, HS; Kratina, P; Thompson, PL; Palen, WJ; Richardson, JS; Shurin, JB</t>
  </si>
  <si>
    <t>Greig, Hamish S.; Kratina, Pavel; Thompson, Patrick L.; Palen, Wendy J.; Richardson, John S.; Shurin, Jonathan B.</t>
  </si>
  <si>
    <t>Warming, eutrophication, and predator loss amplify subsidies between aquatic and terrestrial ecosystems</t>
  </si>
  <si>
    <t>allochthonous resources; amphibians; climate warming; detritus decomposition; global change; insect emergence; spatial subsidies; top-down control</t>
  </si>
  <si>
    <t>LENGTH-MASS RELATIONSHIPS; GLOBAL CARBON-CYCLE; ORGANIC-CARBON; CLIMATE-CHANGE; STREAM ECOSYSTEM; TROPHIC CASCADES; RIPARIAN SPIDER; FOOD; SUPPORT; LAKES</t>
  </si>
  <si>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</si>
  <si>
    <t>[Greig, Hamish S.; Kratina, Pavel; Thompson, Patrick L.; Richardson, John S.; Shurin, Jonathan B.] Univ British Columbia, Biodivers Res Ctr, Vancouver, BC V6T 1Z4, Canada; [Greig, Hamish S.; Kratina, Pavel; Thompson, Patrick L.; Richardson, John S.; Shurin, Jonathan B.] Univ British Columbia, Dept Zool, Vancouver, BC V6T 1Z4, Canada; [Greig, Hamish S.; Richardson, John S.] Univ British Columbia, Dept Forest Sci, Vancouver, BC V6T 1Z4, Canada; [Thompson, Patrick L.] McGill Univ, Dept Biol, Montreal, PQ H3A 1B1, Canada; [Palen, Wendy J.] Simon Fraser Univ, Dept Biol Sci, Burnaby, BC V5A 1S6, Canada; [Shurin, Jonathan B.] Univ Calif San Diego, Sect Ecol Behav &amp; Evolut, La Jolla, CA 92093 USA</t>
  </si>
  <si>
    <t>University of British Columbia; University of British Columbia; University of British Columbia; McGill University; Simon Fraser University; University of California System; University of California San Diego</t>
  </si>
  <si>
    <t>Greig, HS (corresponding author), Univ Canterbury, Sch Biol Sci, Christchurch 8140, New Zealand.</t>
  </si>
  <si>
    <t>hamish.greig@canterbury.ac.nz</t>
  </si>
  <si>
    <t>Richardson, John/G-1513-2012; Thompson, Patrick/B-6213-2012; Kratina, Pavel/O-5192-2019</t>
  </si>
  <si>
    <t>Richardson, John/0000-0001-8135-7447; Kratina, Pavel/0000-0002-9144-7937; Thompson, Patrick/0000-0002-5278-9045;</t>
  </si>
  <si>
    <t>Natural Sciences and Engineering Research Council of Canada; New Zealand Foundation for Research, Science Technology [UBX0901]</t>
  </si>
  <si>
    <t>Natural Sciences and Engineering Research Council of Canada(Natural Sciences and Engineering Research Council of Canada (NSERC)CGIAR); New Zealand Foundation for Research, Science Technology(New Zealand Foundation for Research, Science and Technology)</t>
  </si>
  <si>
    <t>We thank Annalise Barber, Ticiana Carvalho-Pereira, Amanda Klemmer, Sacha O'Regan, Dylan Rawlyk, Matt Robinson, and Anne Rutherford for laboratory and field assistance, and Laurie Marczak and members of the UBC Stream and Riparian Research Laboratory for valuable discussions. Comments from Seth Rudman, Takuya Sato and three anonymous reviewers greatly improved the manuscript. Funding was provided by the Natural Sciences and Engineering Research Council of Canada to PK and WJP and the New Zealand Foundation for Research, Science &amp; Technology (UBX0901) to HSG.</t>
  </si>
  <si>
    <t>10.1111/j.1365-2486.2011.02540.x</t>
  </si>
  <si>
    <t>875PB</t>
  </si>
  <si>
    <t>WOS:000299042500010</t>
  </si>
  <si>
    <t>Harris, PT; Baker, EK</t>
  </si>
  <si>
    <t>Harris, Peter T.; Baker, Elaine K.</t>
  </si>
  <si>
    <t>GeoHab Atlas of Seafloor Geomorphic Features and Benthic Habitats: Synthesis and Lessons Learned</t>
  </si>
  <si>
    <t>SEAFLOOR GEOMORPHOLOGY AS BENTHIC HABITAT: GEOHAB ATLAS OF SEAFLOOR GEOMORPHIC FEATURES AND BENTHIC HABITATS</t>
  </si>
  <si>
    <t>Elsevier Insights</t>
  </si>
  <si>
    <t>Naturalness; surrogates; spatial marine planning; habitat classification schemes; habitat mapping clients; environmental data</t>
  </si>
  <si>
    <t>CLASSIFICATION SCHEME; RED-SEA; CORAL; AUSTRALIA; REEFS</t>
  </si>
  <si>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</si>
  <si>
    <t>[Harris, Peter T.] Geosci Australia, Marine &amp; Coastal Environm Grp, Canberra, ACT, Australia; [Baker, Elaine K.] Univ Sydney, Arendal Sch Geosci, UNEP GRID, Sydney, NSW 2006, Australia</t>
  </si>
  <si>
    <t>Geoscience Australia; University of Sydney</t>
  </si>
  <si>
    <t>Harris, PT (corresponding author), Geosci Australia, Marine &amp; Coastal Environm Grp, Canberra, ACT, Australia.</t>
  </si>
  <si>
    <t>; Harris, Peter/AAI-7100-2020</t>
  </si>
  <si>
    <t>baker, elaine/0000-0001-9925-4403;</t>
  </si>
  <si>
    <t>SARA BURGERHARTSTRAAT 25, PO BOX 211, 1000 AE AMSTERDAM, NETHERLANDS</t>
  </si>
  <si>
    <t>978-0-12-385141-3</t>
  </si>
  <si>
    <t>ELSEV INSIGHT</t>
  </si>
  <si>
    <t>10.1016/B978-0-12-385140-6.00064-5</t>
  </si>
  <si>
    <t>BGC23</t>
  </si>
  <si>
    <t>WOS:000322237000066</t>
  </si>
  <si>
    <t>Zhang, CX; Wang, XM; Li, JC; Hua, T</t>
  </si>
  <si>
    <t>Zhang, Caixia; Wang, Xunming; Li, Jinchang; Hua, Ting</t>
  </si>
  <si>
    <t>Roles of climate changes and human interventions in land degradation: a case study by net primary productivity analysis in China's Shiyanghe Basin</t>
  </si>
  <si>
    <t>Land degradation; Climate changes; NPP; HANPP; Shiyanghe Basin</t>
  </si>
  <si>
    <t>HUMAN APPROPRIATION; RIVER-BASIN; DESERTIFICATION; TERRESTRIAL; IMPACTS; BIOSPHERE; DYNAMICS; PATTERNS; AFRICA; MINQIN</t>
  </si>
  <si>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</si>
  <si>
    <t>[Zhang, Caixia; Wang, Xunming; Hua, Ting] Chinese Acad Sci, Cold &amp; Arid Reg Environm &amp; Engn Res Inst, Key Lab Desert &amp; Desertificat, Lanzhou 730000, Peoples R China; [Wang, Xunming] Beijing Normal Univ, Coll Resources Sci &amp; Technol, Beijing 100875, Peoples R China; [Li, Jinchang] Shanxi Univ, Inst Loess Plateau, Taiyuan 030006, Peoples R China</t>
  </si>
  <si>
    <t>Chinese Academy of Sciences; Cold &amp; Arid Regions Environmental &amp; Engineering Research Institute, CAS; Beijing Normal University; Shanxi University</t>
  </si>
  <si>
    <t>Zhang, CX (corresponding author), Chinese Acad Sci, Cold &amp; Arid Reg Environm &amp; Engn Res Inst, Key Lab Desert &amp; Desertificat, 320 W Donggang Rd, Lanzhou 730000, Peoples R China.</t>
  </si>
  <si>
    <t>zhangcaixia@lzb.ac.cn</t>
  </si>
  <si>
    <t>National Natural Science Foundation of China [40871012]; National Key Project for Basic Research [2009CB421304]</t>
  </si>
  <si>
    <t>National Natural Science Foundation of China(National Natural Science Foundation of China (NSFC)); National Key Project for Basic Research(National Basic Research Program of China)</t>
  </si>
  <si>
    <t>This work was supported by the National Natural Science Foundation of China (No. 40871012), and the National Key Project for Basic Research (No. 2009CB421304). The land use and cover class types data were derived from data provided by the Environment and Ecological Science Data Center for West China. Our special thanks are due to Dr. Wenquan Zhu for helping with the model implementation.</t>
  </si>
  <si>
    <t>10.1007/s12665-011-1046-4</t>
  </si>
  <si>
    <t>850AD</t>
  </si>
  <si>
    <t>WOS:000297165900017</t>
  </si>
  <si>
    <t>Lotze, HK; Coll, M; Magera, AM; Ward-Paige, C; Airoldi, L</t>
  </si>
  <si>
    <t>Lotze, Heike K.; Coll, Marta; Magera, Anna M.; Ward-Paige, Christine; Airoldi, Laura</t>
  </si>
  <si>
    <t>Recovery of marine animal populations and ecosystems</t>
  </si>
  <si>
    <t>SEAGRASS RECOVERY; CLIMATE-CHANGE; SEA OTTERS; CONSERVATION; IMPACTS; EXTINCTION; DECLINE; WHALES; STOCK; BIODIVERSITY</t>
  </si>
  <si>
    <t>Many marine populations and ecosystems have experienced strong historical depletions, yet reports of recoveries are increasing. Here, we review the growing research on marine recoveries to reveal how common recovery is, its magnitude, timescale and major drivers. Overall, 10-50% of depleted populations and ecosystems show some recovery, but rarely to former levels of abundance. In addition, recovery can take many decades for long-lived species and complex ecosystems. Major drivers of recovery include the reduction of human impacts, especially exploitation, habitat loss and pollution, combined with favorable life-history and environmental conditions. Awareness, legal protection and enforcement of management plans are also crucial. Learning from historical recovery successes and failures is essential for implementing realistic conservation goals and promising management strategies.</t>
  </si>
  <si>
    <t>[Lotze, Heike K.; Coll, Marta; Magera, Anna M.; Ward-Paige, Christine] Dalhousie Univ, Dept Biol, Halifax, NS B3H 4R2, Canada; [Coll, Marta] CSIC, ICM, E-08003 Barcelona, Spain; [Airoldi, Laura] Univ Bologna, Dipartimento Biol Evoluzionist Sperimentale, I-48123 Ravenna, Italy; [Airoldi, Laura] Univ Bologna, CIRSA, I-48123 Ravenna, Italy</t>
  </si>
  <si>
    <t>Dalhousie University; Consejo Superior de Investigaciones Cientificas (CSIC); CSIC - Centro Mediterraneo de Investigaciones Marinas y Ambientales (CMIMA); CSIC - Instituto de Ciencias del Mar (ICM); University of Bologna; University of Bologna</t>
  </si>
  <si>
    <t>Lotze, HK (corresponding author), Dalhousie Univ, Dept Biol, Halifax, NS B3H 4R2, Canada.</t>
  </si>
  <si>
    <t>hlotze@dal.ca</t>
  </si>
  <si>
    <t>; Airoldi, Laura/I-3553-2019; Coll, Marta/A-9488-2012</t>
  </si>
  <si>
    <t>Ward-Paige, Christine A/0000-0002-2394-9898; Lotze, Heike/0000-0001-6258-1304; Airoldi, Laura/0000-0001-5046-0871; Coll, Marta/0000-0001-6235-5868</t>
  </si>
  <si>
    <t>Sloan Foundation; Natural Sciences and Engineering Research Council of Canada; Dalhousie University; European Community [FP7-PEOPLE-2007-4-1-IOF]; European Commission [FP7.2009-1, 244104-THESEUS]</t>
  </si>
  <si>
    <t>Sloan Foundation(Alfred P. Sloan Foundation); Natural Sciences and Engineering Research Council of Canada(Natural Sciences and Engineering Research Council of Canada (NSERC)CGIAR); Dalhousie University; European Community; European Commission(European Union (EU)European Commission Joint Research Centre)</t>
  </si>
  <si>
    <t>We are grateful to B. Worm, F. Ferretti, M.W. Beck and many colleagues for inspiring discussions and critical comments on this subject. Financial support was provided by the Sloan Foundation's Census of Marine Life FMAP Program, the Natural Sciences and Engineering Research Council of Canada and Dalhousie University. MC was funded by the European Community Marie-Curie Post-doctoral Fellowship through the International Outgoing Fellowships (IOF; Call: FP7-PEOPLE-2007-4-1-IOF) to ECOFUN and LA by the European Commission through FP7.2009-1, Contract 244104-THESEUS.</t>
  </si>
  <si>
    <t>10.1016/j.tree.2011.07.008</t>
  </si>
  <si>
    <t>843SM</t>
  </si>
  <si>
    <t>WOS:000296692900011</t>
  </si>
  <si>
    <t>Hoffmann, M; Belant, JL; Chanson, JS; Cox, NA; Lamoreux, J; Rodrigues, ASL; Schipper, J; Stuart, SN</t>
  </si>
  <si>
    <t>Hoffmann, Michael; Belant, Jerrold L.; Chanson, Janice S.; Cox, Neil A.; Lamoreux, John; Rodrigues, Ana S. L.; Schipper, Jan; Stuart, Simon N.</t>
  </si>
  <si>
    <t>The changing fates of the world's mammals</t>
  </si>
  <si>
    <t>IUCN Red List; extinction risk; threat category; conservation status; biodiversity indicators; conservation action</t>
  </si>
  <si>
    <t>RED LIST; AMPHIBIAN DECLINES; EMERGING DISEASE; EXTINCTION RISK; CONSERVATION; TRENDS; INDICATORS; CLASSIFICATIONS; WILDLIFE; IMPACT</t>
  </si>
  <si>
    <t>A recent complete assessment of the conservation status of 5487 mammal species demonstrated that at least one-fifth are at risk of extinction in the wild. We retrospectively identified genuine changes in extinction risk for mammals between 1996 and 2008 to calculate changes in the International Union for Conservation of Nature (IUCN) Red List Index (RLI). Species-level trends in the conservation status of mammalian diversity reveal that extinction risk in large-bodied species is increasing, and that the rate of deterioration has been most accelerated in the Indomalayan and Australasian realms. Expanding agriculture and hunting have been the main drivers of increased extinction risk in mammals. Site-based protection and management, legislation, and captive-breeding and reintroduction programmes have led to improvements in 24 species. We contextualize these changes, and explain why both deteriorations and improvements may be under-reported. Although this study highlights where conservation actions are leading to improvements, it fails to account for instances where conservation has prevented further deteriorations in the status of the world's mammals. The continued utility of the RLI is dependent on sustained investment to ensure repeated assessments of mammals over time and to facilitate future calculations of the RLI and measurement against global targets.</t>
  </si>
  <si>
    <t>[Hoffmann, Michael; Stuart, Simon N.] IUCN Species Survival Commiss, CH-1196 Gland, Switzerland; [Chanson, Janice S.; Cox, Neil A.; Lamoreux, John] IUCN Global Species Programme, CH-1196 Gland, Switzerland; [Hoffmann, Michael; Stuart, Simon N.] World Conservat Monitoring Ctr, United Nations Environm Programme, Cambridge CB3 0DL, England; [Hoffmann, Michael; Cox, Neil A.; Stuart, Simon N.] Conservat Int, Arlington, VA 22202 USA; [Belant, Jerrold L.] Mississippi State Univ, Carnivore Ecol Lab, Forest &amp; Wildlife Res Ctr, Mississippi State, MS 39762 USA; [Rodrigues, Ana S. L.] CNRS, Ctr Ecol Fonct &amp; Evolut, UMR5175, F-34293 Montpellier, France; [Schipper, Jan] Univ Hawaii, Big Isl Invas Species Comm, Pacific Cooperat Studies Unit, Hilo, HI 96720 USA; [Stuart, Simon N.] Univ Bath, Dept Biol &amp; Biochem, Bath BA2 7AY, Avon, England; [Stuart, Simon N.] Al Ain Wildlife Pk &amp; Resort, Abu Dhabi, U Arab Emirates</t>
  </si>
  <si>
    <t>Conservation International; Mississippi State University; 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University of Hawaii System; University Hawaii Hilo; University of Bath</t>
  </si>
  <si>
    <t>Hoffmann, M (corresponding author), IUCN Species Survival Commiss, Rue Mauverney 28, CH-1196 Gland, Switzerland.</t>
  </si>
  <si>
    <t>mike.hoffmann@iucn.org</t>
  </si>
  <si>
    <t>Belant, Jerrold/HDM-7749-2022; Hoffmann, Michael/E-6419-2010; Rodrigues, Ana/A-5914-2009; Schipper, Jan/N-5266-2015; Roigues, Ana/A-5914-2009</t>
  </si>
  <si>
    <t>Hoffmann, Michael/0000-0003-4785-2254; Schipper, Jan/0000-0002-8338-7874; Roigues, Ana/0000-0003-4775-0127</t>
  </si>
  <si>
    <t>Gordon and Betty Moore Foundation; Moore Family Foundation; Conservation International; Critical Ecosystem Partnership Fund; NatureServe; Sapienza Universita di Roma; Texas AM University; Arizona State University; Zoological Society of London; University of Virginia</t>
  </si>
  <si>
    <t>Gordon and Betty Moore Foundation(Gordon &amp; Betty Moore Foundation); Moore Family Foundation; Conservation International; Critical Ecosystem Partnership Fund; NatureServe; Sapienza Universita di Roma; Texas AM University(Texas A&amp;M University College Station); Arizona State University; Zoological Society of London; University of Virginia(University of Virginia)</t>
  </si>
  <si>
    <t>This paper draws on the contributions of more than 1700 experts (see Hoffmann et al. [47] for full acknowledgements); here we particularly thank: John Aguiar, Giovanni Amori, Ricardo Baldi, Patricia Black-Decima, Julian Blanc, James Burton, Gianluca Catullo, Federica Chiozza, Andrew Derocher, Will Duckworth, Richard Emslie, David Garshelis, Cormack Gates, Rich Harris, Larry Heaney, Simon Hedges, Syed Hussain, Nobuo Ishii, Richard Jenkins, Kit Kovacs, Kristin Leus, Rebecca Lewison, Gabriela Lichtenstein, David Mallon, Rodrigo Medellin, Patricia Moehlman, Sanjay Molur, Kristin Nowell, Wanda Olech, Bill Perrin, Paul Racey, Galen Rathbun, Carlo Rondinini, Anthony Rylands, Caryn Self-Sullivan, Alan Shoemaker, Claudio Sillero-Zubiri, Andrew Smith, Andrew Taber, Bibhab Talukdar, Rob Timmins, Katerina Tsytsulina, Liza Veiga and Liz Williamson. Thanks are also due to Jonathan Baillie, Luigi Boitani, Thomas Brooks, Claude Gascon, Kris Helgen, Thomas Lacher, Georgina Mace and Russell Mittermeier. We extend thanks to our many colleagues in the IUCN Global Species Programme, particularly Craig Hilton-Taylor, Caroline Pollock and Jean-Christophe Vie. This paper benefitted greatly from discussions with Stuart Butchart around the RLI. We are grateful to Jon Paul Rodriguez, Belinda Reyers and Stuart Butchart for their insightful comments that improved the scope and intent of the paper. We gratefully acknowledge the support of major donors and partners: the Gordon and Betty Moore Foundation and the Moore Family Foundation; Conservation International and its regional programmes; the Critical Ecosystem Partnership Fund; NatureServe; Sapienza Universita di Roma; Texas A&amp;M University; Arizona State University; the Zoological Society of London; and the University of Virginia.</t>
  </si>
  <si>
    <t>ROYAL SOC</t>
  </si>
  <si>
    <t>6-9 CARLTON HOUSE TERRACE, LONDON SW1Y 5AG, ENGLAND</t>
  </si>
  <si>
    <t>1471-2970</t>
  </si>
  <si>
    <t>PHILOS T R SOC B</t>
  </si>
  <si>
    <t>Philos. Trans. R. Soc. B-Biol. Sci.</t>
  </si>
  <si>
    <t>SEP 27</t>
  </si>
  <si>
    <t>10.1098/rstb.2011.0116</t>
  </si>
  <si>
    <t>806ZU</t>
  </si>
  <si>
    <t>WOS:000293858100002</t>
  </si>
  <si>
    <t>Liu, JX; Vogelmann, JE; Zhu, ZL; Key, CH; Sleeter, BM; Price, DT; Chen, JM; Cochrane, MA; Eidenshink, JC; Howard, SM; Bliss, NB; Jiang, H</t>
  </si>
  <si>
    <t>Liu, Jinxun; Vogelmann, James E.; Zhu, Zhiliang; Key, Carl H.; Sleeter, Benjamin M.; Price, David T.; Chen, Jing M.; Cochrane, Mark A.; Eidenshink, Jeffery C.; Howard, Stephen M.; Bliss, Norman B.; Jiang, Hong</t>
  </si>
  <si>
    <t>Estimating California ecosystem carbon change using process model and land cover disturbance data: 1951-2000</t>
  </si>
  <si>
    <t>Conference of the International-Society-for-Ecological-Modelling</t>
  </si>
  <si>
    <t>OCT 06-09, 2009</t>
  </si>
  <si>
    <t>Quebec City, CANADA</t>
  </si>
  <si>
    <t>Int Soc Ecolog Modelling</t>
  </si>
  <si>
    <t>Fire disturbance; Land cover change; CO2 fertilization; Climate change; IBIS</t>
  </si>
  <si>
    <t>INTEGRATED BIOSPHERE SIMULATOR; CO2 FERTILIZATION; BOREAL; CLIMATE; BALANCE; GROWTH</t>
  </si>
  <si>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</si>
  <si>
    <t>[Liu, Jinxun] SGT Inc, EROS Ctr, Sioux Falls, SD 57198 USA; [Vogelmann, James E.; Eidenshink, Jeffery C.; Howard, Stephen M.] US Geol Survey, EROS Ctr, Sioux Falls, SD 57198 USA; [Zhu, Zhiliang] US Geol Survey, Reston, VA 20192 USA; [Key, Carl H.] USGS No Rocky Mt Sci Ctr, Glacier Field Stn, W Glacier, MT 59936 USA; [Sleeter, Benjamin M.] US Geol Survey, Western Geog Sci Ctr, Pacific Geog Sci Team, Menlo Pk, CA 94025 USA; [Price, David T.] Nat Resources Canada, Canadian Forest Serv, No Forestry Ctr, Edmonton, AB T6H 3S5, Canada; [Chen, Jing M.] Univ Toronto, Dept Geog, Toronto, ON M5S 3G3, Canada; [Chen, Jing M.] Univ Toronto, Program Planning, Toronto, ON M5S 3G3, Canada; [Cochrane, Mark A.] S Dakota State Univ, GIScCE, Brookings, SD 57007 USA; [Bliss, Norman B.] ASRC Res &amp; Technol Solut, Sioux Falls, SD 57198 USA; [Jiang, Hong] Zhejiang Forestry Univ, Int Ctr Spatial Ecol &amp; Ecosyst Ecol, Hangzhou 311300, Zhejiang, Peoples R China; [Jiang, Hong] Nanjing Univ, Int Inst Earth Syst Sci, Nanjing 210093, Peoples R China</t>
  </si>
  <si>
    <t>Stinger Ghaffarian Technologies, Inc. (SGT); United States Department of the Interior; United States Geological Survey; United States Department of the Interior; United States Geological Survey; United States Department of the Interior; United States Geological Survey; United States Department of the Interior; United States Geological Survey; Natural Resources Canada; Canadian Forest Service; University of Toronto; University of Toronto; South Dakota State University; Zhejiang A&amp;F University; Nanjing University</t>
  </si>
  <si>
    <t>Liu, JX (corresponding author), SGT Inc, EROS Ctr, 47914 252nd St, Sioux Falls, SD 57198 USA.</t>
  </si>
  <si>
    <t>jxliu@usgs.gov</t>
  </si>
  <si>
    <t>; Zhu, Zhiliang/I-2686-2018; Liu, Jinxun/H-8604-2018; Chen, Jing/AAD-4768-2020; Cochrane, Mark/A-1735-2018</t>
  </si>
  <si>
    <t>Vogelmann, James/0000-0002-0804-5823; Zhu, Zhiliang/0000-0002-6860-6936; Liu, Jinxun/0000-0003-0561-8988;</t>
  </si>
  <si>
    <t>JUL 24</t>
  </si>
  <si>
    <t>10.1016/j.ecolmodel.2011.03.042</t>
  </si>
  <si>
    <t>Science Citation Index Expanded (SCI-EXPANDED); Conference Proceedings Citation Index - Science (CPCI-S)</t>
  </si>
  <si>
    <t>796GB</t>
  </si>
  <si>
    <t>WOS:000293038700014</t>
  </si>
  <si>
    <t>Tian, HQ; Melillo, J; Lu, CQ; Kicklighter, D; Liu, ML; Ren, W; Xu, XF; Chen, GS; Zhang, C; Pan, SF; Liu, JY; Running, S</t>
  </si>
  <si>
    <t>Tian, Hanqin; Melillo, Jerry; Lu, Chaoqun; Kicklighter, David; Liu, Mingliang; Ren, Wei; Xu, Xiaofeng; Chen, Guangsheng; Zhang, Chi; Pan, Shufen; Liu, Jiyuan; Running, Steven</t>
  </si>
  <si>
    <t>China's terrestrial carbon balance: Contributions from multiple global change factors</t>
  </si>
  <si>
    <t>GLOBAL BIOGEOCHEMICAL CYCLES</t>
  </si>
  <si>
    <t>NET PRIMARY PRODUCTION; LAND-USE HISTORY; CLIMATE-CHANGE; TEMPORAL PATTERNS; SOIL CARBON; NITROGEN INTERACTIONS; DIOXIDE EXCHANGE; OZONE POLLUTION; NORTH-AMERICA; ECOSYSTEMS</t>
  </si>
  <si>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</si>
  <si>
    <t>[Tian, Hanqin; Lu, Chaoqun; Liu, Mingliang; Ren, Wei; Xu, Xiaofeng; Chen, Guangsheng; Zhang, Chi; Pan, Shufen] Auburn Univ, Ecosyst Dynam &amp; Global Ecol Lab, Sch Forestry &amp; Wildlife Sci, Auburn, AL 36849 USA; [Tian, Hanqin; Lu, Chaoqun; Liu, Mingliang; Ren, Wei; Xu, Xiaofeng; Chen, Guangsheng; Zhang, Chi; Pan, Shufen] Auburn Univ, Int Ctr Climate &amp; Global Change Res, Auburn, AL 36849 USA; [Melillo, Jerry; Kicklighter, David] Marine Biol Lab, Ctr Ecosyst, Woods Hole, MA 02543 USA; [Liu, Jiyuan] Chinese Acad Sci, Inst Geog Sci &amp; Nat Resources Res, Beijing 100101, Peoples R China; [Running, Steven] Univ Montana, Coll Forestry &amp; Conservat, Missoula, MT 59812 USA</t>
  </si>
  <si>
    <t>Auburn University System; Auburn University; Auburn University System; Auburn University; Marine Biological Laboratory - Woods Hole; Chinese Academy of Sciences; Institute of Geographic Sciences &amp; Natural Resources Research, CAS; University of Montana System; University of Montana</t>
  </si>
  <si>
    <t>Tian, HQ (corresponding author), Auburn Univ, Ecosyst Dynam &amp; Global Ecol Lab, Sch Forestry &amp; Wildlife Sci, Auburn, AL 36849 USA.</t>
  </si>
  <si>
    <t>; Xu, Xiaofeng/B-2391-2008; Pan, Shufen/JJC-1864-2023; Ren, Wei/G-8317-2016; Tian, Hanqin/A-6484-2012; Lu, Chaoqun/HCH-9102-2022; Chen, Guangsheng/AAC-4462-2022; Liu, Mingliang/B-1361-2009; Zhang, Chi/ABB-1176-2021</t>
  </si>
  <si>
    <t>Lu, Chaoqun/0000-0002-1526-0513; Xu, Xiaofeng/0000-0002-6553-6514; Tian, Hanqin/0000-0002-1806-4091; Pan, Shufen/0000-0001-7920-1427; 张, 弛/0000-0003-4866-1441; Liu, Mingliang/0000-0002-1963-5933;</t>
  </si>
  <si>
    <t>NASA [NNG04GM39C, NNX08AL73G_S01]; China's Ministry of Science and Technology (MOST) [2002CB412500]; Div Of Information &amp; Intelligent Systems; Direct For Computer &amp; Info Scie &amp; Enginr [1027955] Funding Source: National Science Foundation</t>
  </si>
  <si>
    <t>NASA(National Aeronautics &amp; Space Administration (NASA)); China's Ministry of Science and Technology (MOST)(Ministry of Science and Technology, China); Div Of Information &amp; Intelligent Systems; Direct For Computer &amp; Info Scie &amp; Enginr(National Science Foundation (NSF)NSF - Directorate for Computer &amp; Information Science &amp; Engineering (CISE)NSF - Division of Information &amp; Intelligent Systems (IIS))</t>
  </si>
  <si>
    <t>This study has been supported by NASA IDS Program (NNG04GM39C), NASA LCLUC Program (NNX08AL73G_S01), and China's Ministry of Science and Technology (MOST) 973 Program (2002CB412500). We thank Maosheng Zhao at the University of Montana for processing the MODIS NPP data, Pieter Tans and his team at NOAA Earth System Science Laboratory for approving us to use the CarbonTracker 2008 results for model evaluation, and three anonymous reviewers for helpful comments on an earlier draft of the manuscript.</t>
  </si>
  <si>
    <t>0886-6236</t>
  </si>
  <si>
    <t>1944-9224</t>
  </si>
  <si>
    <t>GLOBAL BIOGEOCHEM CY</t>
  </si>
  <si>
    <t>Glob. Biogeochem. Cycle</t>
  </si>
  <si>
    <t>MAR 31</t>
  </si>
  <si>
    <t>GB1007</t>
  </si>
  <si>
    <t>10.1029/2010GB003838</t>
  </si>
  <si>
    <t>Environmental Sciences &amp; Ecology; Geology; Meteorology &amp; Atmospheric Sciences</t>
  </si>
  <si>
    <t>744HL</t>
  </si>
  <si>
    <t>WOS:000289085400001</t>
  </si>
  <si>
    <t>Guo, HL; He, XH; Chen, J; Zhao, YF</t>
  </si>
  <si>
    <t>Wu, Y</t>
  </si>
  <si>
    <t>Guo, Hengliang; He, Xiaohui; Chen, Jie; Zhao, Yanfeng</t>
  </si>
  <si>
    <t>Research of the Distribution of Natural Vegetation under Different Disturbances in Wetland of Lower Yellow River</t>
  </si>
  <si>
    <t>2011 3RD INTERNATIONAL CONFERENCE ON ENVIRONMENTAL SCIENCE AND INFORMATION APPLICATION TECHNOLOGY ESIAT 2011, VOL 10, PT C</t>
  </si>
  <si>
    <t>Procedia Environmental Sciences</t>
  </si>
  <si>
    <t>3rd International Conference on Environmental Science and Information Application Technology (ESIAT)</t>
  </si>
  <si>
    <t>AUG 20-21, 2011</t>
  </si>
  <si>
    <t>Xian, PEOPLES R CHINA</t>
  </si>
  <si>
    <t>Hong Kong Educ,Engn Technol Press,Asia Pacific Environm Sci Res Ctr,Wuhan Univ,Huazhong Normal Univ,China Univ Geosci,Wuhan Inst Technol</t>
  </si>
  <si>
    <t>Zhengzhou Yellow River Wetland; disturbance; natural vegetation; biological diversity</t>
  </si>
  <si>
    <t>Zhengzhou Yellow River Wetland Nature Reserve is not only one of the most important areas of central wetland biodiversity in our country, but also one of the most typical river wetland. In order to offer better protection to the ecological environment, natural vegetation change under different disturbance had been investigated analysis through the study. The results indicated that the factors affecting the ecological environment mainly include tourism, reclamation and large road &amp; bridge construction, Sand-excavating, firing, and grazing; and man-made disturbance effect of the wetland vegetation is basically negative. All sorts of disturbance, the harm of tourism is lighter. Sand-excavating, herding, influenced vegetation growth strongly. Besides, it will cause the serious degradation; and fire and vegetation will bring the original ecological landscape losses. The Yellow River water reduction pulled down wetland flooded area and frequency, forming the wetland degradation. (C) 2011 Published by Elsevier Ltd. Selection and/or peer-review under responsibility of Conference ESIAT2011 Organization Committee.</t>
  </si>
  <si>
    <t>[Guo, Hengliang; He, Xiaohui; Chen, Jie; Zhao, Yanfeng] Zhengzhou Univ, Sch Water Conservancy &amp; Environm, Zhengzhou 450001, Henan Province, Peoples R China</t>
  </si>
  <si>
    <t>Zhengzhou University</t>
  </si>
  <si>
    <t>Guo, HL (corresponding author), Zhengzhou Univ, Sch Water Conservancy &amp; Environm, Zhengzhou 450001, Henan Province, Peoples R China.</t>
  </si>
  <si>
    <t>guoyimin333@sina.cn</t>
  </si>
  <si>
    <t>Zhao, Yanfeng/GQQ-8053-2022; guo, hengliang/JDC-8381-2023</t>
  </si>
  <si>
    <t>1878-0296</t>
  </si>
  <si>
    <t>PROCEDIA ENVIRON SCI</t>
  </si>
  <si>
    <t>10.1016/j.proenv.2011.09.341</t>
  </si>
  <si>
    <t>Engineering, Multidisciplinary; Environmental Sciences</t>
  </si>
  <si>
    <t>Conference Proceedings Citation Index - Science (CPCI-S)</t>
  </si>
  <si>
    <t>BDA15</t>
  </si>
  <si>
    <t>WOS:000312275800049</t>
  </si>
  <si>
    <t>Last, PR; White, WT; Gledhill, DC; Hobday, AJ; Brown, R; Edgar, GJ; Pecl, G</t>
  </si>
  <si>
    <t>Last, Peter R.; White, William T.; Gledhill, Daniel C.; Hobday, Alistair J.; Brown, Rebecca; Edgar, Graham J.; Pecl, Gretta</t>
  </si>
  <si>
    <t>Long-term shifts in abundance and distribution of a temperate fish fauna: a response to climate change and fishing practices</t>
  </si>
  <si>
    <t>Climate change; fishing; south-eastern Australia; spatial shift; Tasmania; temperate fishes; temporal shift</t>
  </si>
  <si>
    <t>BENTHIC COMMUNITIES; MARINE FISHES; REEF FISHES; AUSTRALIA; ECOSYSTEMS; BRACHIONICHTHYIDAE; LOPHIIFORMES; DYNAMICS; PLANTS; CATCH</t>
  </si>
  <si>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</si>
  <si>
    <t>[Last, Peter R.; White, William T.; Gledhill, Daniel C.; Hobday, Alistair J.] CSIRO Marine &amp; Atmospher Res, Climate Adaptat Flagship, Hobart, Tas 7001, Australia; [Last, Peter R.; White, William T.; Gledhill, Daniel C.; Hobday, Alistair J.] CSIRO Marine &amp; Atmospher Res, Wealth Oceans Flagship, Hobart, Tas 7001, Australia; [Brown, Rebecca; Edgar, Graham J.; Pecl, Gretta] Tasmanian Aquaculture &amp; Fisheries Inst, Hobart, Tas 7001, Australia</t>
  </si>
  <si>
    <t>Commonwealth Scientific &amp; Industrial Research Organisation (CSIRO); Commonwealth Scientific &amp; Industrial Research Organisation (CSIRO); University of Tasmania</t>
  </si>
  <si>
    <t>Last, PR (corresponding author), CSIRO Marine &amp; Atmospher Res, Climate Adaptat Flagship, GPO Box 1538, Hobart, Tas 7001, Australia.</t>
  </si>
  <si>
    <t>peter.last@csiro.au</t>
  </si>
  <si>
    <t>Pecl, Gretta/D-7267-2011; Edgar, Graham/AAY-3797-2020; Hobday, Alistair/A-1460-2012; Edgar, Graham/C-8341-2013; White, William/B-9748-2009; Last, Peter/B-9740-2009</t>
  </si>
  <si>
    <t>Pecl, Gretta/0000-0003-0192-4339; Edgar, Graham/0000-0003-0833-9001; White, William/0000-0001-9705-2453;</t>
  </si>
  <si>
    <t>WILEY-BLACKWELL</t>
  </si>
  <si>
    <t>10.1111/j.1466-8238.2010.00575.x</t>
  </si>
  <si>
    <t>691VP</t>
  </si>
  <si>
    <t>WOS:000285109200005</t>
  </si>
  <si>
    <t>Perry, JJ; Kutt, AS; Garnett, ST; Crowley, GM; Vanderduys, EP; Perkins, GC</t>
  </si>
  <si>
    <t>Perry, J. J.; Kutt, A. S.; Garnett, S. T.; Crowley, G. M.; Vanderduys, E. P.; Perkins, G. C.</t>
  </si>
  <si>
    <t>Changes in the avifauna of Cape York Peninsula over a period of 9 years: the relative effects of fire, vegetation type and climate</t>
  </si>
  <si>
    <t>EMU-AUSTRAL ORNITHOLOGY</t>
  </si>
  <si>
    <t>conservation; fire frequency; MAXENT; niche modelling; northern Australia; species richness; temporal variation</t>
  </si>
  <si>
    <t>TROPICAL SAVANNA WOODLAND; NEOCHMIA-RUFICAUDA; BIRD ASSEMBLAGES; STAR FINCH; AUSTRALIA; PATTERNS; MIGRATION; IMPACT; LANDSCAPES; DECLINE</t>
  </si>
  <si>
    <t>An essential component of conservation science is repeated surveys over time to monitor species that might be responding to local factors, such as land management, or more broadly to global change. A systematic survey of the avifauna of Cape York Peninsula was conducted in the late 1990s and early 2000s providing an ideal basal dataset for measuring change in the avifauna. A subset (n&gt;600) of these sites, primarily within savanna landscapes, was selected for re-survey in 2008 to investigate changes in bird communities on Cape York Peninsula. Changes in mean species richness varied across the study area (decreases in 59 grid cells and increases in 43) with no apparent pattern. Significant change in reporting rates was recorded in 30 species. Four sedentary and highly detectable species declined (Bar-shouldered Dove, Brown Treecreeper, Sulphur-crested Cockatoo and Pale-headed Rosella) and five increased (Peaceful Dove, Pheasant Coucal, Weebill, White-throated Honeyeater and Yellow Oriole). Habitat preference for the species that showed change remained relatively stable between the two survey periods. Some species that were recorded in very low numbers in the original survey and are considered to be threatened (Brown Treecreeper, Black-faced Woodswallow) remained in very low numbers or decreased in our survey suggesting that there has been no regional recovery of these species. Long-term monitoring can describe important patterns of species change over time, though in the case of large, highly seasonal environments like the tropical savannas, signals of change may manifest over decades rather than annually.</t>
  </si>
  <si>
    <t>[Perry, J. J.; Kutt, A. S.; Vanderduys, E. P.; Perkins, G. C.] CSIRO Ecosyst Sci, Aitkenvale, Qld 4814, Australia; [Garnett, S. T.; Crowley, G. M.] Charles Darwin Univ, Casuarina, NT 0810, Australia</t>
  </si>
  <si>
    <t>Commonwealth Scientific &amp; Industrial Research Organisation (CSIRO); Charles Darwin University</t>
  </si>
  <si>
    <t>Perry, JJ (corresponding author), CSIRO Ecosyst Sci, ATSIP Bldg,PMB PO, Aitkenvale, Qld 4814, Australia.</t>
  </si>
  <si>
    <t>justin.perry@csiro.au</t>
  </si>
  <si>
    <t>Garnett, Stephen/M-3877-2013; Vanderduys, Eric/AAI-6259-2021; Crowley, Gabriel/GNP-5984-2022; Perry, Justin/AAX-4932-2020; Kutt, Alex/B-2020-2008; Perry, Justin/F-7740-2011; Perkins, Genevieve/D-3338-2011; Crowley, Gabriel M/GNP-5984-2022</t>
  </si>
  <si>
    <t>Garnett, Stephen/0000-0002-0724-7060; Kutt, Alexander Sulev/0000-0001-9679-2206; Perry, Justin/0000-0002-5823-7364; Crowley, Gabriel M/0000-0002-6171-3026</t>
  </si>
  <si>
    <t>Australian Government Natural Heritage Trust through Cape York Peninsula Sustainable Futures</t>
  </si>
  <si>
    <t>Australian Government Natural Heritage Trust through Cape York Peninsula Sustainable Futures(Australian Government)</t>
  </si>
  <si>
    <t>This project was funded by the Australian Government Natural Heritage Trust through Cape York Peninsula Sustainable Futures. This survey would not have been possible without the expertise of the following staff and volunteers in field data collection: Nick Colman (CSIRO Ecosystem Sciences), George Madani, Damien Farine (CSIRO Ecosystem Sciences), and April Reside (CSIRO Ecosystem Sciences), Inka Veltheim, Kath Shurcliffe, Dave Houghton and Lyle Greene (Birds Australia volunteers). Special thanks to Niilo Gobius from Cape York Peninsula Sustainable Futures for fantastic logistical, planning and GIS support. We thank two anonymous referees for their valuable comments on the original manuscript. Thanks to all of the Cape York Peninsula properties and land managers that allowed us access to their land and gave us advice on local wildlife, and in particular the traditional owners and rangers at Pormpuraaw, Kulla, Lama Lama, Mungkan Kandju, Aurukun and Injinoo. Also, many thanks to Jeremy VanDerWal and Stephen Phillips for providing invaluable advice and technical assistance on species distribution modelling. The first survey was undertaken by numerous volunteers from Birds Australia. The random points were created by H. Mills of the Queensland Government in consultation with one of the authors (S. T. Garnett), Graham Harrington and Alastair Freeman.</t>
  </si>
  <si>
    <t>TAYLOR &amp; FRANCIS AUSTRALIA</t>
  </si>
  <si>
    <t>MELBOURNE</t>
  </si>
  <si>
    <t>LEVEL 2, 11 QUEENS RD, MELBOURNE, VIC 3004, AUSTRALIA</t>
  </si>
  <si>
    <t>0158-4197</t>
  </si>
  <si>
    <t>1448-5540</t>
  </si>
  <si>
    <t>EMU</t>
  </si>
  <si>
    <t>Emu</t>
  </si>
  <si>
    <t>10.1071/MU10009</t>
  </si>
  <si>
    <t>769RM</t>
  </si>
  <si>
    <t>WOS:000291035900004</t>
  </si>
  <si>
    <t>Morris, RJ</t>
  </si>
  <si>
    <t>Morris, Rebecca J.</t>
  </si>
  <si>
    <t>Anthropogenic impacts on tropical forest biodiversity: a network structure and ecosystem functioning perspective</t>
  </si>
  <si>
    <t>anthropogenic impacts; biodiversity; deforestation; ecosystem functioning; interactions; network structure</t>
  </si>
  <si>
    <t>FOOD WEBS; HABITAT FRAGMENTATION; APPARENT COMPETITION; SPECIES INTERACTIONS; ECOLOGICAL NETWORKS; CLIMATE; EXTINCTION; RESPONSES; DRIVERS; FUTURE</t>
  </si>
  <si>
    <t>Huge areas of diverse tropical forest are lost or degraded every year with dramatic consequences for biodiversity. Deforestation and fragmentation, over-exploitation, invasive species and climate change are the main drivers of tropical forest biodiversity loss. Most studies investigating these threats have focused on changes in species richness or species diversity. However, if we are to understand the absolute and long-term effects of anthropogenic impacts on tropical forests, we should also consider the interactions between species, how those species are organized in networks, and the function that those species perform. I discuss our current knowledge of network structure and ecosystem functioning, highlighting empirical examples of their response to anthropogenic impacts. I consider the future prospects for tropical forest biodiversity, focusing on biodiversity and ecosystem functioning in secondary forest. Finally, I propose directions for future research to help us better understand the effects of anthropogenic impacts on tropical forest biodiversity.</t>
  </si>
  <si>
    <t>Univ Oxford, Dept Zool, Oxford OX1 3PS, England</t>
  </si>
  <si>
    <t>Morris, RJ (corresponding author), Univ Oxford, Dept Zool, S Parks Rd, Oxford OX1 3PS, England.</t>
  </si>
  <si>
    <t>rebecca.morris@zoo.ox.ac.uk</t>
  </si>
  <si>
    <t>Royal Society</t>
  </si>
  <si>
    <t>Royal Society(Royal Society UK)</t>
  </si>
  <si>
    <t>R.M. is funded by a Royal Society University Research Fellowship. I am grateful to Anne Magurran for the invitation to participate in the Royal Society Discussion Meeting and to Charles Godfray, Owen Lewis and two anonymous reviewers for helpful and insightful suggestions on earlier drafts of this manuscript.</t>
  </si>
  <si>
    <t>NOV 27</t>
  </si>
  <si>
    <t>10.1098/rstb.2010.0273</t>
  </si>
  <si>
    <t>673LU</t>
  </si>
  <si>
    <t>WOS:000283665200011</t>
  </si>
  <si>
    <t>Anadón, JD; Sánchez-Zapata, JA; Carrete, M; Donázar, JA; Hiraldo, F</t>
  </si>
  <si>
    <t>Anadon, J. D.; Sanchez-Zapata, J. A.; Carrete, M.; Donazar, J. A.; Hiraldo, F.</t>
  </si>
  <si>
    <t>Large-scale human effects on an arid African raptor community</t>
  </si>
  <si>
    <t>species richness; people; land uses; birds; Africa; conservation; harvesting</t>
  </si>
  <si>
    <t>LAND-USE CHANGES; SPECIES RICHNESS; HUMAN PRESSURE; SPATIAL SCALE; WEST-AFRICA; DECLINES; ENERGY; BIODIVERSITY; EXTINCTION; ABUNDANCE</t>
  </si>
  <si>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</si>
  <si>
    <t>[Anadon, J. D.] UFZ Helmholtz Ctr Environm Res, Dept Ecol Modelling, D-04318 Leipzig, Germany; [Anadon, J. D.; Sanchez-Zapata, J. A.] Univ Miguel Hernandez, Dept Biol Aplicada, Alicante, Spain; [Carrete, M.; Donazar, J. A.; Hiraldo, F.] CSIC, Dept Conservat Biol, Estac Biol Donana, E-41080 Seville, Spain</t>
  </si>
  <si>
    <t>Helmholtz Association; Helmholtz Center for Environmental Research (UFZ); Universidad Miguel Hernandez de Elche; Consejo Superior de Investigaciones Cientificas (CSIC); CSIC - Estacion Biologica de Donana (EBD)</t>
  </si>
  <si>
    <t>Anadón, JD (corresponding author), UFZ Helmholtz Ctr Environm Res, Dept Ecol Modelling, Permoserstr 14, D-04318 Leipzig, Germany.</t>
  </si>
  <si>
    <t>jdanadon@umh.es</t>
  </si>
  <si>
    <t>Sanchez-Zapata, Jose/H-1413-2015; Sanchez-Zapata, Jose Antonio/H-1413-2015; Anadon, Jose/H-6482-2015; Carrete, Martina/D-2618-2017; Carrete, Martina/A-6376-2009; Hiraldo, Fernando/AAA-8314-2019</t>
  </si>
  <si>
    <t>Sanchez-Zapata, Jose Antonio/0000-0001-8230-4953; Carrete, Martina/0000-0002-0491-2950; Donázar, José Antonio/0000-0002-9433-9755;</t>
  </si>
  <si>
    <t>Canal Sur Televison (J.M. Montero and the Dream Team); Egmasa Award; Ibersilva Award; BBVA 2004 Conservation Award</t>
  </si>
  <si>
    <t>Canal Sur Televison (J.M. Montero and the Dream Team); Egmasa Award; Ibersilva Award; BBVA 2004 Conservation Award(BBVA Foundation)</t>
  </si>
  <si>
    <t>M. de la Riva, J.R. Benitez, F. Hernandez, O. Ceballos and M. Barcell de Arizon helped with the field work. Pascal Shako and Nadia Loth provided logistic support. This study benefited from funding from Canal Sur Televison (J.M. Montero and the Dream Team), Egmasa, Ibersilva and BBVA 2004 Conservation Awards.</t>
  </si>
  <si>
    <t>1469-1795</t>
  </si>
  <si>
    <t>ANIM CONSERV</t>
  </si>
  <si>
    <t>Anim. Conserv.</t>
  </si>
  <si>
    <t>10.1111/j.1469-1795.2010.00369.x</t>
  </si>
  <si>
    <t>656VZ</t>
  </si>
  <si>
    <t>WOS:000282370500011</t>
  </si>
  <si>
    <t>Coleman, FC; Koenig, CC</t>
  </si>
  <si>
    <t>Coleman, Felicia C.; Koenig, Christopher C.</t>
  </si>
  <si>
    <t>The Effects of Fishing, Climate Change, and Other Anthropogenic Disturbances on Red Grouper and Other Reef Fishes in the Gulf of Mexico</t>
  </si>
  <si>
    <t>INTEGRATIVE AND COMPARATIVE BIOLOGY</t>
  </si>
  <si>
    <t>SEA-LEVEL RISE; LOPHOLATILUS-CHAMAELEONTICEPS; GOLIATH GROUPER; INTERACTION STRENGTH; EPINEPHELUS-ITAJARA; YELLOWEDGE GROUPER; MANGROVE FORESTS; MID-ATLANTIC; MARINE FISH; OIL-SPILL</t>
  </si>
  <si>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</si>
  <si>
    <t>[Coleman, Felicia C.] Florida State Univ, Coastal &amp; Marine Lab, St Teresa, FL 32358 USA; [Coleman, Felicia C.; Koenig, Christopher C.] Florida State Univ, Dept Biol Sci, Tallahassee, FL 32306 USA</t>
  </si>
  <si>
    <t>State University System of Florida; Florida State University; State University System of Florida; Florida State University</t>
  </si>
  <si>
    <t>Coleman, FC (corresponding author), Florida State Univ, Coastal &amp; Marine Lab, 3618 Coastal Highway, St Teresa, FL 32358 USA.</t>
  </si>
  <si>
    <t>coleman@bio.fsu.edu</t>
  </si>
  <si>
    <t>Coleman, Felicia/IAN-6791-2023</t>
  </si>
  <si>
    <t>Coleman, Felicia/0000-0001-6286-9471; Koenig, Christopher/0000-0002-2592-7975</t>
  </si>
  <si>
    <t>Marine Conservation Biology Institute; The Pew Fellows Program in Marine Conservation; The National Sea [R/LR-B-51]; The National Undersea Research Center, University of North Carolina, Wilmington (NOAA) [03OAR4300088]; The National Oceanic and Atmospheric Administration Fisheries Service Marine Fisheries Initiative [NA17FF2876]; Direct For Biological Sciences; Division Of Integrative Organismal Systems [0938257] Funding Source: National Science Foundation</t>
  </si>
  <si>
    <t>Marine Conservation Biology Institute; The Pew Fellows Program in Marine Conservation; The National Sea; The National Undersea Research Center, University of North Carolina, Wilmington (NOAA)(National Oceanic Atmospheric Admin (NOAA) - USA); The National Oceanic and Atmospheric Administration Fisheries Service Marine Fisheries Initiative; Direct For Biological Sciences; Division Of Integrative Organismal Systems(National Science Foundation (NSF)NSF - Directorate for Biological Sciences (BIO)NSF - Division of Integrative Organismal Systems (IOS))</t>
  </si>
  <si>
    <t>Marine Conservation Biology Institute; The Pew Fellows Program in Marine Conservation; The National Sea Grant (R/LR-B-51); The National Undersea Research Center, University of North Carolina, Wilmington (NOAA grant #03OAR4300088); and The National Oceanic and Atmospheric Administration Fisheries Service Marine Fisheries Initiative (NA17FF2876).</t>
  </si>
  <si>
    <t>OXFORD UNIV PRESS INC</t>
  </si>
  <si>
    <t>CARY</t>
  </si>
  <si>
    <t>JOURNALS DEPT, 2001 EVANS RD, CARY, NC 27513 USA</t>
  </si>
  <si>
    <t>1540-7063</t>
  </si>
  <si>
    <t>1557-7023</t>
  </si>
  <si>
    <t>INTEGR COMP BIOL</t>
  </si>
  <si>
    <t>Integr. Comp. Biol.</t>
  </si>
  <si>
    <t>10.1093/icb/icq072</t>
  </si>
  <si>
    <t>630NJ</t>
  </si>
  <si>
    <t>WOS:000280279800005</t>
  </si>
  <si>
    <t>Shackell, NL; Frank, KT; Fisher, JAD; Petrie, B; Leggett, WC</t>
  </si>
  <si>
    <t>Shackell, Nancy L.; Frank, Kenneth T.; Fisher, Jonathan A. D.; Petrie, Brian; Leggett, William C.</t>
  </si>
  <si>
    <t>Decline in top predator body size and changing climate alter trophic structure in an oceanic ecosystem</t>
  </si>
  <si>
    <t>PROCEEDINGS OF THE ROYAL SOCIETY B-BIOLOGICAL SCIENCES</t>
  </si>
  <si>
    <t>climate change; trophic interactions; body size; marine fisheries</t>
  </si>
  <si>
    <t>MARINE FISH COMMUNITIES; CASCADES; PREY; INDICATORS; STABILITY; DYNAMICS; SHELF</t>
  </si>
  <si>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</si>
  <si>
    <t>[Shackell, Nancy L.; Frank, Kenneth T.; Fisher, Jonathan A. D.; Petrie, Brian] Bedford Inst Oceanog, Ocean Sci Div, Dartmouth, NS B2Y 4A2, Canada; [Fisher, Jonathan A. D.; Leggett, William C.] Queens Univ, Dept Biol, Kingston, ON K7L 3N6, Canada</t>
  </si>
  <si>
    <t>Fisheries &amp; Oceans Canada; Bedford Institute of Oceanography; Queens University - Canada</t>
  </si>
  <si>
    <t>Shackell, NL (corresponding author), Bedford Inst Oceanog, Ocean Sci Div, POB 1006, Dartmouth, NS B2Y 4A2, Canada.</t>
  </si>
  <si>
    <t>nancy.shackell@dfo-mpo.gc.ca</t>
  </si>
  <si>
    <t>; Leggett, William/F-6009-2011; Shackell, Nancy/AAF-8209-2019</t>
  </si>
  <si>
    <t>Shackell, Nancy/0000-0001-5128-948X;</t>
  </si>
  <si>
    <t>Department of Fisheries and Oceans, Canada; Natural Sciences and Engineering Research Council of Canada</t>
  </si>
  <si>
    <t>Department of Fisheries and Oceans, Canada; Natural Sciences and Engineering Research Council of Canada(Natural Sciences and Engineering Research Council of Canada (NSERC)CGIAR)</t>
  </si>
  <si>
    <t>This research was supported by the Department of Fisheries and Oceans, Canada, and Natural Sciences and Engineering Research Council of Canada Discovery grants to K. T. F. and W. C. L. We thank the Editor and two anonymous reviewers, whose comments helped us clarify our ideas.</t>
  </si>
  <si>
    <t>1471-2954</t>
  </si>
  <si>
    <t>P ROY SOC B-BIOL SCI</t>
  </si>
  <si>
    <t>Proc. R. Soc. B-Biol. Sci.</t>
  </si>
  <si>
    <t>MAY 7</t>
  </si>
  <si>
    <t>10.1098/rspb.2009.1020</t>
  </si>
  <si>
    <t>Life Sciences &amp; Biomedicine - Other Topics; Environmental Sciences &amp; Ecology; Evolutionary Biology</t>
  </si>
  <si>
    <t>574PI</t>
  </si>
  <si>
    <t>WOS:000276003400008</t>
  </si>
  <si>
    <t>Edgar, GJ; Last, PR; Barrett, NS; Gowlett-Holmes, K; Driessen, M; Mooney, P</t>
  </si>
  <si>
    <t>Edgar, Graham J.; Last, Peter R.; Barrett, Neville S.; Gowlett-Holmes, Karen; Driessen, Michael; Mooney, Peter</t>
  </si>
  <si>
    <t>Conservation of natural wilderness values in the Port Davey marine and estuarine protected area, south-western Tasmania</t>
  </si>
  <si>
    <t>benthic invertebrates; climate change; diver impacts; fishes; introduced marine pests; World Heritage Area</t>
  </si>
  <si>
    <t>CLIMATE-CHANGE; IMPACTS; CORAL; COMMUNITIES; EXTINCTION; HABITAT; SCALE; VULNERABILITY; ENVIRONMENT; OIL</t>
  </si>
  <si>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</si>
  <si>
    <t>[Edgar, Graham J.; Barrett, Neville S.] Univ Tasmania, Tasmanian Aquaculture &amp; Fisheries Inst, Hobart, Tas 7001, Australia; [Edgar, Graham J.] Aquenal Pty Ltd, Hobart, Tas 7001, Australia; [Last, Peter R.; Gowlett-Holmes, Karen] CSIRO, Div Marine &amp; Atmospher Res, Hobart, Tas 7000, Australia; [Driessen, Michael] Dept Primary Ind &amp; Water, Hobart, Tas 7000, Australia; [Mooney, Peter] Pk &amp; Wildlife Serv, Hobart, Tas 7000, Australia</t>
  </si>
  <si>
    <t>University of Tasmania; Commonwealth Scientific &amp; Industrial Research Organisation (CSIRO)</t>
  </si>
  <si>
    <t>Edgar, GJ (corresponding author), Univ Tasmania, Tasmanian Aquaculture &amp; Fisheries Inst, GPO Box 252-49, Hobart, Tas 7001, Australia.</t>
  </si>
  <si>
    <t>g.edgar@utas.edu.au</t>
  </si>
  <si>
    <t>Barrett, Neville/J-7593-2014; Edgar, Graham/AAY-3797-2020; Last, Peter/B-9740-2009; Driessen, Michael/X-3642-2019; Edgar, Graham/C-8341-2013</t>
  </si>
  <si>
    <t>Barrett, Neville/0000-0002-6167-1356; Edgar, Graham/0000-0003-0833-9001</t>
  </si>
  <si>
    <t>Tasmanian government through the Wilderness Ecosystem Baseline Studies (WEBS); Australian government through the Wilderness Ecosystem Baseline Studies (WEBS); Tasmanian Aquaculture and Fisheries Institute; Australian Research Council; National Heritage Trust; Fisheries Research and Development Corporation; Commonwealth Environment Research Facilities programme</t>
  </si>
  <si>
    <t>Tasmanian government through the Wilderness Ecosystem Baseline Studies (WEBS); Australian government through the Wilderness Ecosystem Baseline Studies (WEBS)(Australian Government); Tasmanian Aquaculture and Fisheries Institute; Australian Research Council(Australian Research Council); National Heritage Trust; Fisheries Research and Development Corporation; Commonwealth Environment Research Facilities programme</t>
  </si>
  <si>
    <t>We would particularly like to thank support to the project from the Tasmanian and Australian governments through the Wilderness Ecosystem Baseline Studies (WEBS) and associated Tasmanian Wilderness World Heritage Area fauna programmes, and from the Tasmanian Aquaculture and Fisheries Institute. The Australian Research Council, National Heritage Trust, Fisheries Research and Development Corporation, and Commonwealth Environment Research Facilities programme provided additional funding. We thank Miles Lawler for drafting Figure 1.</t>
  </si>
  <si>
    <t>10.1002/aqc.1079</t>
  </si>
  <si>
    <t>598IW</t>
  </si>
  <si>
    <t>WOS:000277830200007</t>
  </si>
  <si>
    <t>Polidoro, BA; Carpenter, KE; Collins, L; Duke, NC; Ellison, AM; Ellison, JC; Farnsworth, EJ; Fernando, ES; Kathiresan, K; Koedam, NE; Livingstone, SR; Miyagi, T; Moore, GE; Vien, NN; Ong, JE; Primavera, JH; Salmo, SG; Sanciangco, JC; Sukardjo, S; Wang, YM; Yong, JWH</t>
  </si>
  <si>
    <t>Polidoro, Beth A.; Carpenter, Kent E.; Collins, Lorna; Duke, Norman C.; Ellison, Aaron M.; Ellison, Joanna C.; Farnsworth, Elizabeth J.; Fernando, Edwino S.; Kathiresan, Kandasamy; Koedam, Nico E.; Livingstone, Suzanne R.; Miyagi, Toyohiko; Moore, Gregg E.; Vien Ngoc Nam; Ong, Jin Eong; Primavera, Jurgenne H.; Salmo, Severino G., III; Sanciangco, Jonnell C.; Sukardjo, Sukristijono; Wang, Yamin; Yong, Jean Wan Hong</t>
  </si>
  <si>
    <t>The Loss of Species: Mangrove Extinction Risk and Geographic Areas of Global Concern</t>
  </si>
  <si>
    <t>RED LIST INDEXES; CONSERVATION; BIODIVERSITY; ECOSYSTEM; FORESTS; MANAGEMENT; DYNAMICS; TRENDS; FISH; SUSTAINABILITY</t>
  </si>
  <si>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</si>
  <si>
    <t>[Polidoro, Beth A.; Carpenter, Kent E.; Livingstone, Suzanne R.; Sanciangco, Jonnell C.] Old Dominion Univ, IUCN Species Programme, SSC, Norfolk, VA 23529 USA; [Collins, Lorna] Nature Conservancy, Ctr Global Trends, Arlington, VA USA; [Collins, Lorna] Univ Plymouth, Sch Biol Sci, Plymouth PL4 8AA, Devon, England; [Duke, Norman C.; Salmo, Severino G., III] Univ Queensland, Ctr Marine Studies, St Lucia, Qld, Australia; [Ellison, Aaron M.] Harvard Univ, Petersham, MA USA; [Ellison, Joanna C.] Univ Tasmania, Sch Geog &amp; Environm Studies, Launceston, Tas 7250, Australia; [Farnsworth, Elizabeth J.] New England Wild Flower Soc, Framingham, MA USA; [Fernando, Edwino S.] Univ Philippines, Los Banos Coll, Dept Forest Biol Sci, Laguna, Philippines; [Kathiresan, Kandasamy] Annamalai Univ, Ctr Adv Study Marine Biol, Parangipettai, India; [Koedam, Nico E.] Vrije Univ Brussel, Fac Sci &amp; Bioengn Sci, Brussels, Belgium; [Miyagi, Toyohiko] Tohoku Gakuin Univ, Fac Liberal Art, Dept Reg Management, Sendai, Miyagi 980, Japan; [Moore, Gregg E.] Univ New Hampshire, Dept Biol Sci, Durham, NH 03824 USA; [Moore, Gregg E.] Univ New Hampshire, Jackson Estuarine Lab, Durham, NH 03824 USA; [Vien Ngoc Nam] Nong Lam Univ, Fac Forestry, Ho Chi Minh City, Vietnam; [Ong, Jin Eong] Univ Sains Malaysia, Ctr Marine &amp; Coastal Studies, George Town, Malaysia; [Primavera, Jurgenne H.] SE Asian Fisheries Dev Ctr, Dept Aquaculture, Iloilo, Philippines; [Salmo, Severino G., III] Cent Luzon State Univ, Coll Agr, Sci City Of Munoz, Nueva Ecija, Philippines; [Sukardjo, Sukristijono] Indonesian Inst Sci, Ctr Oceanol Res &amp; Dev, Jakarta, Indonesia; [Wang, Yamin] Shandong Univ, Coll Ocean, Weihai, Peoples R China; [Yong, Jean Wan Hong] Nanyang Technol Univ, Natl Inst Educ, Nat Sci &amp; Sci Educ Acad Grp, Singapore, Singapore</t>
  </si>
  <si>
    <t>Old Dominion University; Nature Conservancy; University of Plymouth; University of Queensland; Harvard University; University of Tasmania; University of the Philippines System; University of the Philippines Los Banos; Annamalai University; Vrije Universiteit Brussel; Tohoku Gakuin University; University System Of New Hampshire; University of New Hampshire; University System Of New Hampshire; University of New Hampshire; Nong Lam University; Universiti Sains Malaysia; Southeast Asian Fisheries Development Center; Central Luzon State University; National Research &amp; Innovation Agency of Indonesia (BRIN); Shandong University; Nanyang Technological University; National Institute of Education (NIE) Singapore</t>
  </si>
  <si>
    <t>Polidoro, BA (corresponding author), Old Dominion Univ, IUCN Species Programme, SSC, Norfolk, VA 23529 USA.</t>
  </si>
  <si>
    <t>bpolidor@odu.edu</t>
  </si>
  <si>
    <t>Salmo, Severino/T-4794-2018; Duke, Norman/K-5729-2013; Ellison, Joanna/C-2372-2014; Wang, Yamin/JZT-3868-2024; Yong, Jean/B-9976-2019; Kandasamy, Kathiresan/X-7933-2019</t>
  </si>
  <si>
    <t>Salmo, Severino/0000-0001-6807-4397; Duke, Norman/0000-0003-2081-9120; Kandasamy, Kathiresan/0000-0003-1203-0023; Ellison, Joanna/0000-0003-0692-8347; Yong, Jean/0000-0003-3325-8254; Sanciangco, Jonnell Cueto/0000-0001-8268-3180; Ellison, Aaron/0000-0003-4151-6081; Fernando, Edwino/0000-0001-9422-5451</t>
  </si>
  <si>
    <t>Tom Haas; New Hampshire Charitable Foundation</t>
  </si>
  <si>
    <t>This research was generously supported by core funding from Tom Haas and the New Hampshire Charitable Foundation. The funders had no role in study design, data collection and analysis, decision to publish, or preparation of the manuscript.</t>
  </si>
  <si>
    <t>APR 8</t>
  </si>
  <si>
    <t>e10095</t>
  </si>
  <si>
    <t>10.1371/journal.pone.0010095</t>
  </si>
  <si>
    <t>580WT</t>
  </si>
  <si>
    <t>WOS:000276482000021</t>
  </si>
  <si>
    <t>Casini, M; Bartolino, V; Molinero, JC; Kornilovs, G</t>
  </si>
  <si>
    <t>Casini, Michele; Bartolino, Valerio; Molinero, Juan Carlos; Kornilovs, Georgs</t>
  </si>
  <si>
    <t>Linking fisheries, trophic interactions and climate: threshold dynamics drive herring Clupea harengus growth in the central Baltic Sea</t>
  </si>
  <si>
    <t>Condition; Weight-at-age; WAA; Ecological threshold; Inter-specific density-dependence; Hydro-climate; Herring; Sprat; Ecosystem-based fisheries management; Alternative dynamics</t>
  </si>
  <si>
    <t>SPRAT SPRATTUS-SPRATTUS; NORTH-SEA; POPULATION-DYNAMICS; MARINE ECOSYSTEM; REGIME SHIFTS; MEAN LENGTH; BOTTOM-UP; TOP-DOWN; AT-AGE; FISH</t>
  </si>
  <si>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</si>
  <si>
    <t>[Casini, Michele; Bartolino, Valerio] Inst Marine Res, Swedish Board Fisheries, S-45321 Lysekil, Sweden; [Molinero, Juan Carlos] Leibniz Inst Marine Sci IFM GEOMAR, D-24105 Kiel, Germany; [Kornilovs, Georgs] Latvian Fish Resources Agcy, LV-1048 Riga, Latvia</t>
  </si>
  <si>
    <t>Helmholtz Association; GEOMAR Helmholtz Center for Ocean Research Kiel</t>
  </si>
  <si>
    <t>Casini, M (corresponding author), Inst Marine Res, Swedish Board Fisheries, POB 4, S-45321 Lysekil, Sweden.</t>
  </si>
  <si>
    <t>michele.casini@fiskeriverket.se</t>
  </si>
  <si>
    <t>Bartolino, Valerio/0000-0002-4506-4329; Casini, Michele/0000-0003-4910-5236</t>
  </si>
  <si>
    <t>10.3354/meps08592</t>
  </si>
  <si>
    <t>646TW</t>
  </si>
  <si>
    <t>WOS:000281566900019</t>
  </si>
  <si>
    <t>McGeoch, MA; Butchart, SHM; Spear, D; Marais, E; Kleynhans, EJ; Symes, A; Chanson, J; Hoffmann, M</t>
  </si>
  <si>
    <t>McGeoch, Melodie A.; Butchart, Stuart H. M.; Spear, Dian; Marais, Elrike; Kleynhans, Elizabeth J.; Symes, Andy; Chanson, Janice; Hoffmann, Michael</t>
  </si>
  <si>
    <t>Global indicators of biological invasion: species numbers, biodiversity impact and policy responses</t>
  </si>
  <si>
    <t>Biological invasions; Convention on Biological Diversity 2010 Biodiversity Target; environmental legislation; invasive alien species; Red List Index; species richness</t>
  </si>
  <si>
    <t>RED LIST INDEXES; TEMPORAL TRENDS; PLANT INVASIONS; ALIEN FLORA; RICHNESS; GLOBALIZATION; DIVERSITY; PATHWAYS; PATTERNS; DECLINES</t>
  </si>
  <si>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</si>
  <si>
    <t>[McGeoch, Melodie A.] S African Natl Pk, Ctr Invas Biol, ZA-7947 Steenberg, South Africa; [McGeoch, Melodie A.] S African Natl Pk, Cape Res Ctr, ZA-7947 Steenberg, South Africa; [Butchart, Stuart H. M.; Symes, Andy] BirdLife Int, Cambridge CB3 0NA, England; [Spear, Dian; Marais, Elrike; Kleynhans, Elizabeth J.] Univ Stellenbosch, Ctr Invas Biol, ZA-7602 Matieland, South Africa; [Chanson, Janice] IUCN SSC CI CABS Biodivers Assessment Unit, Cheltenham, Vic 3192, Australia; [Hoffmann, Michael] Conservat Int, Ctr Appl Biodivers Sci, IUCN SSC CI CABS Biodivers Assessment Unit, Arlington, VA 22202 USA; [Hoffmann, Michael] IUCN, IUCN Species Programme, CH-1196 Gland, Switzerland</t>
  </si>
  <si>
    <t>BirdLife International; Stellenbosch University; Conservation International</t>
  </si>
  <si>
    <t>McGeoch, MA (corresponding author), S African Natl Pk, Ctr Invas Biol, POB 216, ZA-7947 Steenberg, South Africa.</t>
  </si>
  <si>
    <t>melodiem@sanparks.org</t>
  </si>
  <si>
    <t>Spear, Dian/B-2469-2009; Hoffmann, Michael/E-6419-2010; Butchart, Stuart/Y-2711-2018; McGeoch, Melodie/F-8353-2011</t>
  </si>
  <si>
    <t>Spear, Dian/0000-0002-2417-3980; Butchart, Stuart/0000-0002-1140-4049; Hoffmann, Michael/0000-0003-4785-2254; McGeoch, Melodie/0000-0003-3388-2241</t>
  </si>
  <si>
    <t>The Global Invasive Species Programme; Centre for Invasion Biology</t>
  </si>
  <si>
    <t>We thank Sarah Simons and The Global Invasive Species Programme, as well as Sarah Davies, Karla Coombe-Davis, Steven Chown and the Centre for Invasion Biology for discussion and supporting and funding this research. We are grateful to the members of GISP's Expert Working Group on IAS Indicators who provided advice: Georgina Mace, Tim Blackburn, Michael Browne, Richard Smith, Jean-Christophe Vie, Tristan Tyrrell, Martin Parr, Geoffrey Howard. We thank CABI, GISD and DAISIE for access to their databases and Piero Genovesi and Shyama Pagad (Invasive Species Specialist Group) for assistance with data collation. For the RLI, we thank all who have contributed to the Red List assessments upon which the indicator is based (for birds, see BirdLife International 2008). Simon Stuart kindly helped in determining the primary drivers for the RLI for mammals. We also thank Ben Collen and two anonymous referees for insightful comments on the manuscript.</t>
  </si>
  <si>
    <t>WILEY-BLACKWELL PUBLISHING, INC</t>
  </si>
  <si>
    <t>MALDEN</t>
  </si>
  <si>
    <t>COMMERCE PLACE, 350 MAIN ST, MALDEN 02148, MA USA</t>
  </si>
  <si>
    <t>10.1111/j.1472-4642.2009.00633.x</t>
  </si>
  <si>
    <t>545HM</t>
  </si>
  <si>
    <t>WOS:000273723100010</t>
  </si>
  <si>
    <t>Erb, KH; Krausmann, F; Gaube, V; Gingrich, S; Bondeau, A; Fischer-Kowalski, M; Haberl, H</t>
  </si>
  <si>
    <t>Erb, Karl-Heinz; Krausmann, Fridolin; Gaube, Veronika; Gingrich, Simone; Bondeau, Alberte; Fischer-Kowalski, Marina; Haberl, Helmut</t>
  </si>
  <si>
    <t>Analyzing the global human appropriation of net primary production - processes, trajectories, implications. An introduction</t>
  </si>
  <si>
    <t>Human appropriation of net primary production; Biophysical indicators; Land use; Biomass flows; Socioeconomic drivers; Strong sustainability</t>
  </si>
  <si>
    <t>LAND-USE CHANGE; SOCIOECONOMIC METABOLISM; ATMOSPHERIC CO2; PATTERNS; SUSTAINABILITY; AUSTRIA; CLIMATE; 20TH-CENTURY; ENVIRONMENT; ECOSYSTEMS</t>
  </si>
  <si>
    <t>Humanity's role in shaping patterns and processes in the terrestrial biosphere is large and growing. Most of the earth's fertile land is used more or less intensively by humans for resource extraction, production, transport, consumption and waste deposition or as living space. Biomass production on cropland, grazing areas and in managed forests dominates area requirements, but other processes such as soil degradation, human-induced fires and expansion of settlements and infrastructure play an increasingly important role as well. The growing human domination of terrestrial ecosystems contributes to biodiversity loss as well as to a reduced capability of ecosystems to deliver vital services such as buffering capacity. soil conservation or self-regulation. This special section is devoted to the presentation of recent research into the patterns, determinants and implications of the human appropriation of net primary production (HANPP), an integrated socio-ecological indicator of land use intensity. By measuring the combined effect of land conversion and biomass harvest on the availability of trophic energy (biomass) in ecosystems, HANPP explicitly links natural with socioeconomic processes and allows for integrated analyses of land systems. This introductory article explains the rationale that links current HANPP research to Ecological Economics and discusses issues of definition and methods shared by all articles included in the special section. Finally. it gives an overview of the individual papers, provides some general conclusions and presents an outlook for future research: a better understanding of long-term trajectories of HANPP, of the significance of trade patterns as well as of the future role of bioenergy are highlighted as important issues to be addressed in the coming years. (C) 2009 Elsevier B.V. All rights reserved.</t>
  </si>
  <si>
    <t>[Erb, Karl-Heinz; Krausmann, Fridolin; Gaube, Veronika; Gingrich, Simone; Fischer-Kowalski, Marina; Haberl, Helmut] Alpen Adria Univ Klagenfurt Graz Wien, Inst Social Ecol, A-1070 Vienna, Austria; [Bondeau, Alberte] Potsdam Inst Climate Impact Res, D-14412 Potsdam, Germany</t>
  </si>
  <si>
    <t>University of Klagenfurt; Potsdam Institut fur Klimafolgenforschung</t>
  </si>
  <si>
    <t>Erb, KH (corresponding author), Alpen Adria Univ Klagenfurt Graz Wien, Inst Social Ecol, Schottenfeldgasse 29, A-1070 Vienna, Austria.</t>
  </si>
  <si>
    <t>karlheinz.erb@uni-klu.ac.at</t>
  </si>
  <si>
    <t>Erb, Karlheinz/F-1282-2016; Gingrich, Simone/L-4862-2016; Haberl, Helmut/G-3679-2013; Erb, Karlheinz/F-1282-2016; Krausmann, Fridolin/N-1918-2015; Fischer-Kowalski, Marina/O-9646-2019; Bondeau, Alberte/E-9909-2012; Gaube, Veronika/AAB-3097-2020</t>
  </si>
  <si>
    <t>Erb, Karlheinz/0000-0002-8335-4159; Gingrich, Simone/0000-0001-7891-8688; Gaube, Veronika/0000-0002-1620-0408; Haberl, Helmut/0000-0003-2104-5446; Erb, Karlheinz/0000-0002-8335-4159; Fischer-Kowalski, Marina/0000-0003-3345-4538; Krausmann, Fridolin/0000-0002-9995-2372; Bondeau, Alberte/0000-0002-8729-5061;</t>
  </si>
  <si>
    <t>Austrian Science Fund (FWF) [P16692-GO5, P20812-GII]; Direct For Social, Behav &amp; Economic Scie; Division Of Behavioral and Cognitive Sci [0810837] Funding Source: National Science Foundation; Austrian Science Fund (FWF) [P 21012] Funding Source: researchfish; Austrian Science Fund (FWF) [P16692] Funding Source: Austrian Science Fund (FWF)</t>
  </si>
  <si>
    <t>Austrian Science Fund (FWF)(Austrian Science Fund (FWF)); Direct For Social, Behav &amp; Economic Scie; Division Of Behavioral and Cognitive Sci(National Science Foundation (NSF)NSF - Directorate for Social, Behavioral &amp; Economic Sciences (SBE)); Austrian Science Fund (FWF)(Austrian Science Fund (FWF)); Austrian Science Fund (FWF)(Austrian Science Fund (FWF))</t>
  </si>
  <si>
    <t>We thank Wolfgang Lucht, Joan Martinez-Alier, Christoph Plutzar, Anette Reenberg, and Helga Weisz for discussions and collaboration. This article draws from research funded by the Austrian Science Fund (FWF) within the projects P16692-GO5 and P20812-GII, which is gratefully acknowledged, and contributes to A Long-Term Biodiversity, Ecosystem and Awareness Research Network (ALTER-Net, http://www.alter-net.info), and the Global Land Project (httP://www.globallandproject.org).</t>
  </si>
  <si>
    <t>1873-6106</t>
  </si>
  <si>
    <t>ECOL ECON</t>
  </si>
  <si>
    <t>Ecol. Econ.</t>
  </si>
  <si>
    <t>10.1016/j.ecolecon.2009.07.001</t>
  </si>
  <si>
    <t>Ecology; Economics; Environmental Sciences; Environmental Studies</t>
  </si>
  <si>
    <t>Environmental Sciences &amp; Ecology; Business &amp; Economics</t>
  </si>
  <si>
    <t>534BX</t>
  </si>
  <si>
    <t>WOS:000272871600005</t>
  </si>
  <si>
    <t>Laurance, WF; Useche, DC</t>
  </si>
  <si>
    <t>Laurance, William F.; Useche, Diana C.</t>
  </si>
  <si>
    <t>Environmental Synergisms and Extinctions of Tropical Species</t>
  </si>
  <si>
    <t>climatic change; endangered species; environmental synergisms; extinction; fire; habitat fragmentation; hunting; IUCN Red Data Book; logging; species invasions; tropical forests</t>
  </si>
  <si>
    <t>RAIN-FOREST; CLIMATE-CHANGE; HABITAT FRAGMENTATION; AMPHIBIAN EXTINCTIONS; EPIDEMIC DISEASE; LOGGED FORESTS; UV-B; BIODIVERSITY; ECOLOGY; DYNAMICS</t>
  </si>
  <si>
    <t>Environmental synergisms may pose the greatest threat to tropical biodiversity. Using recently updated data sets from the International Union for Conservation of Nature (IUCN) Red List, we evaluated the incidence of perceived threats to all known mammal, bird, and amphibian species in tropical forests. Vulnerable, endangered, and extinct species were collectively far more likely to be imperiled by combinations of threats than expected by chance. Among 45 possible pairwise combinations of 10 different threats, 69%, 93%, and 71% were significantly more frequent than expected for threatened mammals, birds, and amphibians, respectively, even with a stringent Bonferroni-corrected probability value (p = 0.003). Based on this analysis, we identified five key environmental synergisms in the tropics and speculate on the existence of others. The most important involve interactions between habitat loss or alteration (from agriculture, urban sprawl, infrastructure, or logging) and other anthropogenic disturbances such as hunting, fire, exotic-species invasions, or pollution. Climatic change and emerging pathogens also can interact with other threats. We assert that environmental synergisms are more likely the norm than the exception for threatened species and ecosystems, can vary markedly in nature among geographic regions and taxa, and may be exceedingly difficult to predict in terms of their ultimate impacts. The perils posed by environmental synergisms highlight the need for a precautionary approach to tropical biodiversity conservation.</t>
  </si>
  <si>
    <t>[Laurance, William F.; Useche, Diana C.] Smithsonian Trop Res Inst, Balboa, Ancon, Panama; [Laurance, William F.] James Cook Univ, Sch Marine &amp; Trop Biol, Cairns, Qld 4870, Australia</t>
  </si>
  <si>
    <t>Smithsonian Institution; Smithsonian Tropical Research Institute; James Cook University</t>
  </si>
  <si>
    <t>Laurance, WF (corresponding author), Smithsonian Trop Res Inst, Apartado 0843-03092, Balboa, Ancon, Panama.</t>
  </si>
  <si>
    <t>bill.laurance@jcu.edu.au</t>
  </si>
  <si>
    <t>Laurance, William/B-2709-2012</t>
  </si>
  <si>
    <t>Smithsonian Institution; Science Committee of the Smithsonian National Board; Frank Levinson Family Foundation</t>
  </si>
  <si>
    <t>Smithsonian Institution(Smithsonian Institution); Science Committee of the Smithsonian National Board; Frank Levinson Family Foundation</t>
  </si>
  <si>
    <t>We thank J. Wright, R. Ewers, R. Butler, and two anonymous referees for many helpful comments, C. Vera for permission to use Fig. 5, and the Smithsonian Institution, Science Committee of the Smithsonian National Board, and Frank Levinson Family Foundation for support.</t>
  </si>
  <si>
    <t>10.1111/j.1523-1739.2009.01336.x</t>
  </si>
  <si>
    <t>524SL</t>
  </si>
  <si>
    <t>WOS:000272163100015</t>
  </si>
  <si>
    <t>Dodson, EK; Peterson, DW</t>
  </si>
  <si>
    <t>Dodson, Erich K.; Peterson, David W.</t>
  </si>
  <si>
    <t>Seeding and fertilization effects on plant cover and community recovery following wildfire in the Eastern Cascade Mountains, USA</t>
  </si>
  <si>
    <t>Erosion; Conservation; Diversity; Exotic; Invasion; Resilience</t>
  </si>
  <si>
    <t>INCREASED SOIL-NITROGEN; POSTFIRE REHABILITATION; STRAW MULCH; EROSION; VEGETATION; FOREST; FIRE; RESPONSES; COLORADO; RESTORATION</t>
  </si>
  <si>
    <t>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t>
  </si>
  <si>
    <t>[Dodson, Erich K.; Peterson, David W.] US Forest Serv, Pacific NW Res Stn, Wenatchee, WA 98801 USA</t>
  </si>
  <si>
    <t>United States Department of Agriculture (USDA); United States Forest Service</t>
  </si>
  <si>
    <t>Dodson, EK (corresponding author), US Forest Serv, Pacific NW Res Stn, 1133 N Western Ave, Wenatchee, WA 98801 USA.</t>
  </si>
  <si>
    <t>edodson@fs.fed.us</t>
  </si>
  <si>
    <t>Peterson, David/B-1105-2008</t>
  </si>
  <si>
    <t>Peterson, David/0000-0001-8333-7642</t>
  </si>
  <si>
    <t>10.1016/j.foreco.2009.07.013</t>
  </si>
  <si>
    <t>498OW</t>
  </si>
  <si>
    <t>WOS:000270152300065</t>
  </si>
  <si>
    <t>Eyre, TJ; Maron, M; Mathieson, MT; Haseler, M</t>
  </si>
  <si>
    <t>Eyre, Teresa J.; Maron, Martine; Mathieson, Michael T.; Haseler, Murray</t>
  </si>
  <si>
    <t>Impacts of grazing, selective logging and hyper-aggressors on diurnal bird fauna in intact forest landscapes of the Brigalow Belt, Queensland</t>
  </si>
  <si>
    <t>AUSTRAL ECOLOGY</t>
  </si>
  <si>
    <t>grazing; habitat selection; noisy miner; road; selective logging</t>
  </si>
  <si>
    <t>SPECIES COMPOSITION; NOISY MINERS; AUSTRALIA; WOODLANDS; FRAGMENTATION; COMMUNITIES; EUCALYPTUS; REMNANT; FIRE; EDGE</t>
  </si>
  <si>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</si>
  <si>
    <t>[Eyre, Teresa J.; Mathieson, Michael T.; Haseler, Murray] Queensland Environm Protect Agcy, Biodivers Sci Unit, Indooroopilly, Qld 4068, Australia; [Maron, Martine] Univ So Queensland, Australian Ctr Sustainable Catchments, Toowoomba, Qld 4350, Australia; [Maron, Martine] Univ So Queensland, Fac Sci, Toowoomba, Qld 4350, Australia; [Haseler, Murray] Bush Heritage Australia, Melbourne, Vic, Australia</t>
  </si>
  <si>
    <t>University of Southern Queensland; University of Southern Queensland; Bush Heritage Australia</t>
  </si>
  <si>
    <t>Eyre, TJ (corresponding author), Queensland Environm Protect Agcy, Biodivers Sci Unit, Forestry Bldg,80 Meiers Rd, Indooroopilly, Qld 4068, Australia.</t>
  </si>
  <si>
    <t>teresa.eyre@epa.qld.gov.au</t>
  </si>
  <si>
    <t>Maron, Martine/D-9699-2011</t>
  </si>
  <si>
    <t>Maron, Martine/0000-0002-5563-5789</t>
  </si>
  <si>
    <t>Western Hardwoods Biodiversity</t>
  </si>
  <si>
    <t>Many thanks to Annie Kelly, Don Butler, Sandy Pollock, Melanie Venz and Jian Wang for assistance in the field. Warm thanks also to Terri Sutcliffe, Alison Lawrence and James Thiessen for GIS support and the generation of spatial data, and Dan Ferguson and Tracy Bell for data entry and database maintenance. We are grateful to Brian Wright and Dick Clarkson for sharing their knowledge on management of grazing and fire in the western forests. This study was funded as a component of the Western Hardwoods Biodiversity project by the Queensland Department of Sustainable Development, under ethics permit Activity No. BRIBIE/6/99-1 issued by the Queensland Department of Primary Industries animal ethics committee.</t>
  </si>
  <si>
    <t>1442-9985</t>
  </si>
  <si>
    <t>1442-9993</t>
  </si>
  <si>
    <t>AUSTRAL ECOL</t>
  </si>
  <si>
    <t>Austral Ecol.</t>
  </si>
  <si>
    <t>10.1111/j.1442-9993.2009.01979.x</t>
  </si>
  <si>
    <t>492RA</t>
  </si>
  <si>
    <t>WOS:000269675600012</t>
  </si>
  <si>
    <t>Frolking, S; Palace, MW; Clark, DB; Chambers, JQ; Shugart, HH; Hurtt, GC</t>
  </si>
  <si>
    <t>Frolking, S.; Palace, M. W.; Clark, D. B.; Chambers, J. Q.; Shugart, H. H.; Hurtt, G. C.</t>
  </si>
  <si>
    <t>Forest disturbance and recovery: A general review in the context of spaceborne remote sensing of impacts on aboveground biomass and canopy structure</t>
  </si>
  <si>
    <t>TROPICAL RAIN-FOREST; NET PRIMARY PRODUCTION; SNOW AVALANCHE DISTURBANCE; RESOLUTION SATELLITE DATA; SURFACE SOIL-MOISTURE; COARSE WOODY DEBRIS; LANDSAT TM DATA; BOREAL FOREST; BURN SEVERITY; CARBON-CYCLE</t>
  </si>
  <si>
    <t>Abrupt forest disturbances generating gaps &gt;0.001 km(2) impact roughly 0.4-0.7 million km(2) a(-1). Fire, windstorms, logging, and shifting cultivation are dominant disturbances; minor contributors are land conversion, flooding, landslides, and avalanches. All can have substantial impacts on canopy biomass and structure. Quantifying disturbance location, extent, severity, and the fate of disturbed biomass will improve carbon budget estimates and lead to better initialization, parameterization, and/or testing of forest carbon c ycle models. Spaceborne remote sensing maps large-scale forest disturbance occurrence, location, and extent, particularly with moderate- and fine-scale resolution passive optical/near-infrared (NIR) instruments. High-resolution remote sensing (e. g., similar to 1 m passive optical/NIR, or small footprint lidar) can map crown geometry and gaps, but has rarely been systematically applied to study small-scale disturbance and natural mortality gap dynamics over large regions. Reducing uncertainty in disturbance and recovery impacts on global forest carbon balance requires quantification of (1) predisturbance forest biomass; (2) disturbance impact on standing biomass and its fate; and (3) rate of biomass accumulation during recovery. Active remote sensing data (e. g., lidar, radar) are more directly indicative of canopy biomass and many structural properties than passive instrument data; a new generation of instruments designed to generate global coverage/sampling of canopy biomass and structure can improve our ability to quantify the carbon balance of Earth's forests. Generating a high-quality quantitative assessment of disturbance impacts on canopy biomass and structure with spaceborne remote sensing requires comprehensive, well designed, and well coordinated field programs collecting high-quality ground-based data and linkages to dynamical models that can use this information.</t>
  </si>
  <si>
    <t>[Frolking, S.; Palace, M. W.; Hurtt, G. C.] Univ New Hampshire, Inst Study Earth Oceans &amp; Space, Complex Syst Res Ctr, Durham, NH 03824 USA; [Clark, D. B.] Univ Missouri, Dept Biol, St Louis, MO 63121 USA; [Chambers, J. Q.] Tulane Univ, Dept Ecol &amp; Evolutionary Biol, New Orleans, LA 70118 USA; [Shugart, H. H.] Univ Virginia, Dept Environm Sci, Charlottesville, VA 22904 USA; [Palace, M. W.] Univ Oxford, Sch Geog &amp; Environm, Environm Change Inst, Oxford, England; [Clark, D. B.] La Selva Biol Stn, Puerto Viejo de Sarapiqui, Costa Rica</t>
  </si>
  <si>
    <t>University System Of New Hampshire; University of New Hampshire; University of Missouri System; University of Missouri Saint Louis; Tulane University; University of Virginia; University of Oxford</t>
  </si>
  <si>
    <t>Frolking, S (corresponding author), Univ New Hampshire, Inst Study Earth Oceans &amp; Space, Complex Syst Res Ctr, 8 Coll Rd, Durham, NH 03824 USA.</t>
  </si>
  <si>
    <t>steve.frolking@unh.edu; dbclark@sloth.ots.ac.cr; chambers@tulane.edu; hhs@virginia.edu</t>
  </si>
  <si>
    <t>Chambers, Jeffrey/J-9021-2014; Hurtt, George/A-8450-2012; Frolking, Steve/ABF-9046-2021; Shugart, Herman/C-5156-2009; Chambers, Jeffrey/AAU-7097-2021; Shugart, Herman/C-5156-2009</t>
  </si>
  <si>
    <t>Chambers, Jeffrey/0000-0003-3983-7847; Shugart, Herman/0000-0002-1766-8379; Palace, Michael/0000-0002-3505-2906; Hurtt, George/0000-0001-7278-202X; Shugart, Herman/0000-0002-1766-8379</t>
  </si>
  <si>
    <t>NASA Interdisciplinary Science [NNX07AH32G]; NASA's Terrestrial Ecology Program [NNH07ZDA001N-TE]; National Science Foundation [NSF/SGER 0533575]; NASA LBA-ECO grant [CD-34]; NASA [NNG-05-GN69G, NNX-07-A063G, NNX07AF10G]</t>
  </si>
  <si>
    <t>NASA Interdisciplinary Science; NASA's Terrestrial Ecology Program(National Aeronautics &amp; Space Administration (NASA)); National Science Foundation(National Science Foundation (NSF)); NASA LBA-ECO grant; NASA(National Aeronautics &amp; Space Administration (NASA))</t>
  </si>
  <si>
    <t>We thank two anonymous reviewers for helpful comments on an earlier draft. We acknowledge support from NASA Interdisciplinary Science grant NNX07AH32G (S.F. and G.C.H.), NASA's Terrestrial Ecology Program grant NNH07ZDA001N-TE (M.W.P.), National Science Foundation grant NSF/SGER 0533575 (D.B.C.), NASA LBA-ECO grant CD-34 (J.Q.C.), and NASA grants NNG-05-GN69G, NNX-07-A063G, and NNX07AF10G (H.H.S.).</t>
  </si>
  <si>
    <t>JUL 22</t>
  </si>
  <si>
    <t>G00E02</t>
  </si>
  <si>
    <t>10.1029/2008JG000911</t>
  </si>
  <si>
    <t>475IS</t>
  </si>
  <si>
    <t>WOS:000268352400002</t>
  </si>
  <si>
    <t>Lotze, HK; Worm, B</t>
  </si>
  <si>
    <t>Lotze, Heike K.; Worm, Boris</t>
  </si>
  <si>
    <t>Historical baselines for large marine animals</t>
  </si>
  <si>
    <t>LONG-TERM FLUCTUATIONS; ATLANTIC BLUEFIN TUNA; WADDEN SEA; POPULATION-DYNAMICS; PREDATORY SHARKS; HUMAN IMPACTS; RESOURCE USE; CATCH RATES; FISH; FISHERIES</t>
  </si>
  <si>
    <t>Current trends in marine ecosystems need to be interpreted against a solid understanding of the magnitude and drivers of past changes. Over the last decade, marine scientists from different disciplines have engaged in the emerging field of marine historical ecology to reconstruct past changes in the sea. Here we review the diversity of approaches used and resulting patterns of historical changes in large marine mammals, birds, reptiles and fish. Across 256 reviewed records, exploited populations declined 89% from historical abundance levels (range: 11-100%). In many cases, long-term fluctuations are related to climate variation, rapid declines to overexploitation and recent recoveries to conservation measures. These emerging historical patterns offer new insights into past ecosystems, and provide important context for contemporary ocean management.</t>
  </si>
  <si>
    <t>[Lotze, Heike K.; Worm, Boris] Dalhousie Univ, Dept Biol, Halifax, NS B3H 4J1, Canada</t>
  </si>
  <si>
    <t>Dalhousie University</t>
  </si>
  <si>
    <t>Lotze, HK (corresponding author), Dalhousie Univ, Dept Biol, 1355 Oxford St, Halifax, NS B3H 4J1, Canada.</t>
  </si>
  <si>
    <t>; Worm, Boris/ADW-9659-2022</t>
  </si>
  <si>
    <t>Lotze, Heike/0000-0001-6258-1304; Worm, Boris/0000-0002-5742-8716;</t>
  </si>
  <si>
    <t>10.1016/j.tree.2008.12.004</t>
  </si>
  <si>
    <t>447JT</t>
  </si>
  <si>
    <t>WOS:000266188100006</t>
  </si>
  <si>
    <t>Tin, T; Fleming, ZL; Hughes, KA; Ainley, DG; Convey, P; Moreno, CA; Pfeiffer, S; Scott, J; Snape, I</t>
  </si>
  <si>
    <t>Tin, T.; Fleming, Z. L.; Hughes, K. A.; Ainley, D. G.; Convey, P.; Moreno, C. A.; Pfeiffer, S.; Scott, J.; Snape, I.</t>
  </si>
  <si>
    <t>Impacts of local human activities on the Antarctic environment</t>
  </si>
  <si>
    <t>ANTARCTIC SCIENCE</t>
  </si>
  <si>
    <t>Antarctic Treaty System; contamination; ecosystem based management; human impacts; non-indigenous species; tourism</t>
  </si>
  <si>
    <t>SOFT-SEDIMENT ASSEMBLAGES; HEAVY-METAL CONTAMINATION; ORGANIC POLLUTANTS POPS; KING GEORGE ISLAND; MCMURDO-STATION; SOUTHERN-OCEAN; MARINE-SEDIMENTS; ADELIE PENGUINS; CASEY-STATION; CLOSTRIDIUM-PERFRINGENS</t>
  </si>
  <si>
    <t>We review the scientific literature, especially from the past decade, on the impacts of human activities on the Antarctic environment. A range of impacts has been identified at a variety of spatial and temporal scales. Chemical contamination and sewage disposal on the continent have been found to be long-lived. Contemporary sewage management practices at many coastal stations are insufficient to prevent local contamination but no introduction of non-indigenous organisms through this route has yet been demonstrated. Human activities, particularly construction and transport, have led to disturbances of flora and fauna. A small number of non-indigenous plant and animal species has become established, mostly on the northern Antarctic Peninsula and southern archipelagos of the Scotia Arc. There is little indication of recovery of overexploited fish stocks, and ramifications of fishing activity oil bycatch species and the ecosystem could also be far-reaching. The Antarctic Treaty System and its instruments, in particular the Convention for the Conservation of Antarctic Marine Living Resources and the Environmental Protocol, provide a framework within which management of human activities take place. In the face of the continuing expansion of human activities in Antarctica, a more effective implementation of a wide range of measures is essential, in order to ensure comprehensive protection of the Antarctic environment, including its intrinsic, wilderness and scientific values which remains a fundamental principle of the Antarctic Treaty System. These measures include effective environmental impact assessments, long-term monitoring, mitigation measures for non-indigenous species, ecosystem-based management of living resources, and increased regulation of National Antarctic Programmes and tourism activities.</t>
  </si>
  <si>
    <t>[Tin, T.] ASOC, F-45163 Olivet 3, France; [Fleming, Z. L.] Univ Leicester, Dept Chem, Leicester LE1 7RH, Leics, England; [Hughes, K. A.; Convey, P.] British Antarctic Survey, NERC, Cambridge CB3 0ET, England; [Ainley, D. G.] HT Harvey &amp; Associates, Los Gatos, CA 95032 USA; [Moreno, C. A.] Univ Austral Chile, Inst Ecol &amp; Evoluc, Valdivia, Chile; [Pfeiffer, S.] Univ Jena, D-07743 Jena, Germany; [Scott, J.] Univ Tasmania, Sch Geog &amp; Environm Studies, Hobart, Tas 7001, Australia; [Snape, I.] Australian Antarctic Div, Kingston, Tas 7050, Australia</t>
  </si>
  <si>
    <t>University of Leicester; UK Research &amp; Innovation (UKRI); Natural Environment Research Council (NERC); NERC British Antarctic Survey; Universidad Austral de Chile; Friedrich Schiller University of Jena; University of Tasmania; Australian Antarctic Division</t>
  </si>
  <si>
    <t>Tin, T (corresponding author), ASOC, BP 80358, F-45163 Olivet 3, France.</t>
  </si>
  <si>
    <t>tinatink@gmail.com</t>
  </si>
  <si>
    <t>Fleming, Zoe/AHB-1124-2022; Convey, Peter/AAV-5728-2020; Hughes, Kevin/JVZ-0793-2024; Fleming, Zoë/G-4796-2018</t>
  </si>
  <si>
    <t>Fleming, Zoë/0000-0001-5732-1479</t>
  </si>
  <si>
    <t>National Science Foundation [OPP-0440463]; NERC [bas010011, ncas10006, bas010015] Funding Source: UKRI; Natural Environment Research Council [ncas10006, bas010011, bas010015] Funding Source: researchfish</t>
  </si>
  <si>
    <t>National Science Foundation(National Science Foundation (NSF)); NERC(UK Research &amp; Innovation (UKRI)Natural Environment Research Council (NERC)); Natural Environment Research Council(UK Research &amp; Innovation (UKRI)Natural Environment Research Council (NERC))</t>
  </si>
  <si>
    <t>The authors would like to thank Mark Belchier, Roberto Bargagli, Yan Ropert-Coudert, Marienne de Villiers, Virginia Gascon, Katja Heinke, Alan Hemmings, Nick Holmes, Hans-Ulrich Peter, Richard Philips, Ricardo Roura, Rupert Summerson, Claire Waluda, Barry Weeber, Rodolfo Werner Kinkelin, the librarians at the Scott Polar Research Institute, David Walton and three anonymous reviewers for their helpful comments and in the research of literature. This paper is part of ASOC's endorsed IPY project Enhancing the environmental legacy of the IPY. It also forms an output of the British Antarctic Survey's BIOPEARL, LTMS-B and Environment and Information Division LTMS projects, and the SCAR Evolution and Biodiversity in Antarctica programme. DGA's time in contributing to this project was funded by the National Science Foundation (OPP-0440463), although the views expressed herein may not be those of NSF.</t>
  </si>
  <si>
    <t>0954-1020</t>
  </si>
  <si>
    <t>1365-2079</t>
  </si>
  <si>
    <t>ANTARCT SCI</t>
  </si>
  <si>
    <t>Antarct. Sci.</t>
  </si>
  <si>
    <t>10.1017/S0954102009001722</t>
  </si>
  <si>
    <t>Environmental Sciences; Geography, Physical; Geosciences, Multidisciplinary</t>
  </si>
  <si>
    <t>Environmental Sciences &amp; Ecology; Physical Geography; Geology</t>
  </si>
  <si>
    <t>407UF</t>
  </si>
  <si>
    <t>WOS:000263389100002</t>
  </si>
  <si>
    <t>Wolf, N; Mangel, M</t>
  </si>
  <si>
    <t>Wolf, Nicholas; Mangel, Marc</t>
  </si>
  <si>
    <t>MULTIPLE HYPOTHESIS TESTING AND THE DECLINING-POPULATION PARADIGM IN STELLER SEA LIONS</t>
  </si>
  <si>
    <t>aerial survey; beta-binomial observation error; declining-population paradigm; Eumetopias jubatus; killer whales; multiple-hypothesis testing; optimal foraging; Steller sea lions; stochastic dynamic programming; walleye pollock</t>
  </si>
  <si>
    <t>SEQUENTIAL MEGAFAUNAL COLLAPSE; PHOCA-VITULINA-RICHARDSI; EUMETOPIAS-JUBATUS; HARBOR SEALS; ATTENDANCE PATTERNS; TUGIDAK ISLAND; ALASKA; GULF; FEMALE; YOUNG</t>
  </si>
  <si>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</si>
  <si>
    <t>[Wolf, Nicholas; Mangel, Marc] MRAG Amer, Santa Cruz, CA 95062 USA; [Wolf, Nicholas; Mangel, Marc] Univ Calif Santa Cruz, Ctr Stock Assessment Res, Santa Cruz, CA 95064 USA; [Mangel, Marc] Univ Calif Santa Cruz, Dept Appl Math &amp; Stat, Santa Cruz, CA 95064 USA</t>
  </si>
  <si>
    <t>University of California System; University of California Santa Cruz; University of California System; University of California Santa Cruz</t>
  </si>
  <si>
    <t>Wolf, N (corresponding author), MRAG Amer, 303 Potrero St 42-201, Santa Cruz, CA 95062 USA.</t>
  </si>
  <si>
    <t>nwolf@alumni.sfu.ca</t>
  </si>
  <si>
    <t>Alaska Fisheries Science Center [AB133F-02-CN-0085]; NSF [DMS 03-10542]</t>
  </si>
  <si>
    <t>Alaska Fisheries Science Center; NSF(National Science Foundation (NSF))</t>
  </si>
  <si>
    <t>Funding in the early stages was provided by the Alaska Fisheries Science Center via contract number AB133F-02-CN-0085, administered through MRAG Americas. The work was also partially supported by NSF grant DMS 03-10542 to Marc Mangel and by the Center for Stock Assessment Research, a partnership between the Santa Cruz Laboratory of the National Marine Fisheries Service and UCSC.</t>
  </si>
  <si>
    <t>10.1890/07-1254.1</t>
  </si>
  <si>
    <t>396QF</t>
  </si>
  <si>
    <t>WOS:000262605500010</t>
  </si>
  <si>
    <t>Kirby, JS; Stattersfield, AJ; Butchart, SHM; Evans, MI; Grimmett, RFA; Jones, VR; O'Sullivan, J; Tucker, GM; Newton, I</t>
  </si>
  <si>
    <t>Kirby, Jeff S.; Stattersfield, Alison J.; Butchart, Stuart H. M.; Evans, Michael I.; Grimmett, Richard F. A.; Jones, Victoria R.; O'Sullivan, John; Tucker, Graham M.; Newton, Ian</t>
  </si>
  <si>
    <t>Key conservation issues for migratory land- and waterbird species on the world's major flyways</t>
  </si>
  <si>
    <t>HUNTING DISTURBANCE; POPULATION DECLINES; IMPACTS; H5N1; TRENDS; GEESE; RATES; BIRDS</t>
  </si>
  <si>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</si>
  <si>
    <t>[Kirby, Jeff S.] JUST ECOLOGY Environm Consultancy, Wotton Under Edge GL12 8AA, Glos, England; [Stattersfield, Alison J.; Butchart, Stuart H. M.; Evans, Michael I.; Grimmett, Richard F. A.; Jones, Victoria R.] BirdLife Int, Wellbrook Court, Cambridge CB3 0NA, England; [O'Sullivan, John] Royal Soc Protect Birds, Sandy SG19 2DL, Beds, England; [Tucker, Graham M.] Ecol Solut Environm Consultancy, Huntingdon PE28 9BL, England; [Newton, Ian] Abbots Ripton, Ctr Ecol &amp; Hydrol, Huntingdon PE28 2LS, Cambs, England</t>
  </si>
  <si>
    <t>BirdLife International; Royal Society for Protection of Birds; UK Centre for Ecology &amp; Hydrology (UKCEH)</t>
  </si>
  <si>
    <t>Kirby, JS (corresponding author), JUST ECOLOGY Environm Consultancy, Woodend House, Wotton Under Edge GL12 8AA, Glos, England.</t>
  </si>
  <si>
    <t>jeff.kirby@justecology.co.uk; alison.stattersfield@birdlife.org</t>
  </si>
  <si>
    <t>Butchart, Stuart/Y-2711-2018; Newton, Ian/AAV-5830-2021</t>
  </si>
  <si>
    <t>Butchart, Stuart/0000-0002-1140-4049;</t>
  </si>
  <si>
    <t>Vogelbescherming Nederlands (BirdLife in the Netherlands); Natural England; UK Department for Environment, Food and Rural Affairs; Natural Environment Research Council [CEH010021] Funding Source: researchfish</t>
  </si>
  <si>
    <t>Vogelbescherming Nederlands (BirdLife in the Netherlands); Natural England; UK Department for Environment, Food and Rural Affairs(Department for Environment, Food &amp; Rural Affairs (DEFRA)); Natural Environment Research Council(UK Research &amp; Innovation (UKRI)Natural Environment Research Council (NERC))</t>
  </si>
  <si>
    <t>We thank Leon Bennun, Rob Clay, Nigel Collar and Lincoln Fishpool of BirdLife International for helping to shape this paper and for commenting on earlier drafts; also Jez Bird, James Gilroy, Simon Mahood, Lucy Malpas, Andy Symes and Joe Taylor for their work on evaluating the status of the world's birds and checking various attributes in BirdLife's World Bird Database, including migratory Status. We acknowledge the generous input of thousands of contributors and collaborating organisations who provide BirdLife with information on the status, distribution and threats to the world's birds and the conservation actions needed and underway for them. We thank Debbie Pain and Steven Ewing of the Royal Society for the Protection of Birds for their valuable input, including giving us access to an unpublished review of declines of Nearctic-Neotropical migrants, work that has been funded by Natural England under the Action for Birds in England Programme. We thank David Stroud of the UK joint Nature Conservation Committee and Ward Hagemeijer of Wetlands international for their very useful comments and suggestions. The review of the Status of raptors in Africa and Eurasia was funded by the UK Department for Environment, Food and Rural Affairs as a contribution to the development of a proposed regional conservation instrument for migratory birds of prey under the Convention on Migratory Species. We are grateful to the staff of JUST ECOLOGYfor discussions and support. The compilation of this review has been partly funded by Vogelbescherming Nederlands (BirdLife in the Netherlands) as a contribution towards the development of a global BirdLife flyways initiative.</t>
  </si>
  <si>
    <t>S49</t>
  </si>
  <si>
    <t>S73</t>
  </si>
  <si>
    <t>10.1017/S0959270908000439</t>
  </si>
  <si>
    <t>351VD</t>
  </si>
  <si>
    <t>WOS:000259453100005</t>
  </si>
  <si>
    <t>Graham, NAJ; McClanahan, TR; MacNeil, MA; Wilson, SK; Polunin, NVC; Jennings, S; Chabanet, P; Clark, S; Spalding, MD; Letourneur, Y; Bigot, L; Galzin, R; Öhman, MC; Garpe, KC; Edwards, AJ; Sheppard, CRC</t>
  </si>
  <si>
    <t>Graham, Nicholas A. J.; McClanahan, Tim R.; MacNeil, M. Aaron; Wilson, Shaun K.; Polunin, Nicholas V. C.; Jennings, Simon; Chabanet, Pascale; Clark, Susan; Spalding, Mark D.; Letourneur, Yves; Bigot, Lionel; Galzin, Rene; Ohman, Marcus C.; Garpe, Kajsa C.; Edwards, Alasdair J.; Sheppard, Charles R. C.</t>
  </si>
  <si>
    <t>Climate Warming, Marine Protected Areas and the Ocean-Scale Integrity of Coral Reef Ecosystems</t>
  </si>
  <si>
    <t>PHASE-SHIFTS; FISH; RESILIENCE; DEGRADATION; HERBIVORY; RECOVERY; IMPACTS; DECLINE; CONSERVATION; BIODIVERSITY</t>
  </si>
  <si>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</si>
  <si>
    <t>[Graham, Nicholas A. J.; MacNeil, M. Aaron; Wilson, Shaun K.; Polunin, Nicholas V. C.] Newcastle Univ, Sch Marine Sci &amp; Technol, Newcastle Upon Tyne, Tyne &amp; Wear, England; [McClanahan, Tim R.] Wildlife Conservat Soc, Marine Programs, Bronx, NY USA; [MacNeil, M. Aaron] NOAA, Panama City Lab, Natl Res Council, Panama City, FL USA; [Wilson, Shaun K.] James Cook Univ, ARC Ctr Excellence Coral Reef Stud, Townsville, Qld, Australia; [Jennings, Simon] Ctr Environm Fisheries &amp; Aquaculture Sci, Lowestoft Lab, Lowestoft, Suffolk, England; [Jennings, Simon] Univ E Anglia, Sch Environm Sci, Norwich, Norfolk, England; [Chabanet, Pascale] Inst Rech Dev, Noumea, New Caledonia; [Chabanet, Pascale; Bigot, Lionel] Univ La Reunion, Lab Ecol Marine ECOMAR, St Denis, France; [Clark, Susan] Bridgewater House, Manchester, Lancs, England; [Spalding, Mark D.] Nature Conservancy, Newmarket, Suffolk, England; [Letourneur, Yves] Univ Mediterranee, Ctr Oceanol Marseille, UMR CNRS, 6540 DIMAR, Marseille, France; [Galzin, Rene] Univ Perpignan, CNRS EPHE UPVD, UMR 5244, Perpignan, France; [Ohman, Marcus C.; Garpe, Kajsa C.] Stockholm Univ, Dept Zool, Stockholm, Sweden; [Edwards, Alasdair J.] Newcastle Univ, Sch Biol, Newcastle Upon Tyne, Tyne &amp; Wear, England; [Sheppard, Charles R. C.] Univ Warwick, Dept Biol Sci, Coventry CV4 7AL, W Midlands, England</t>
  </si>
  <si>
    <t>Newcastle University - UK; Wildlife Conservation Society; National Academies of Sciences, Engineering &amp; Medicine; National Oceanic Atmospheric Admin (NOAA) - USA; James Cook University; Centre for Environment Fisheries &amp; Aquaculture Science; University of East Anglia; Institut de Recherche pour le Developpement (IRD); University of La Reunion; Aix-Marseille Universite; Centre National de la Recherche Scientifique (CNRS); Universite de Montpellier; Centre National de la Recherche Scientifique (CNRS); CNRS - Institute of Ecology &amp; Environment (INEE); Universite Perpignan Via Domitia; Stockholm University; Newcastle University - UK; University of Warwick</t>
  </si>
  <si>
    <t>Graham, NAJ (corresponding author), Newcastle Univ, Sch Marine Sci &amp; Technol, Newcastle Upon Tyne, Tyne &amp; Wear, England.</t>
  </si>
  <si>
    <t>a.j.graham@ncl.ac.uk</t>
  </si>
  <si>
    <t>MacNeil, M Aaron/E-8196-2017; LETOURNEUR, Yves/B-4387-2012; Chabanet, Pascale/L-9470-2017; McClanahan, Tim/K-4998-2019; MacNeil, Aaron/E-8196-2017; Edwards, Alasdair/C-9558-2009; Graham, Nicholas/C-8360-2014; Wilson, Shaun/K-8597-2019; Jennings, Simon/F-5085-2012; Spalding, Mark/GVU-0739-2022</t>
  </si>
  <si>
    <t>MacNeil, M Aaron/0000-0001-8406-325X; sheppard, charles/0000-0002-2579-5124; Chabanet, Pascale/0000-0001-7600-943X; Polunin, Nick/0000-0002-1480-8794; Spalding, Mark/0000-0001-9456-4533; Graham, Nicholas/0000-0002-0304-7467; Wilson, Shaun/0000-0002-4590-0948; LETOURNEUR, Yves/0000-0003-3157-1976; McClanahan, Timothy/0000-0001-5821-3584; Öhman, Marcus C/0009-0003-6452-7012; Jennings, Simon/0000-0002-2390-7225;</t>
  </si>
  <si>
    <t>Leverhulme Trust; Western Indian Ocean Marine Science Association; World Bank Targeted Research Group on Coral Bleaching; Fisheries Society of the British Isles; Eppley and Tiffany Foundations; National Science and Engineering Research Council of Canada; British Overseas Development Administration (now DFID); British Foreign and Commonwealth Office</t>
  </si>
  <si>
    <t>Leverhulme Trust(Leverhulme Trust); Western Indian Ocean Marine Science Association; World Bank Targeted Research Group on Coral Bleaching; Fisheries Society of the British Isles; Eppley and Tiffany Foundations; National Science and Engineering Research Council of Canada(Natural Sciences and Engineering Research Council of Canada (NSERC)); British Overseas Development Administration (now DFID); British Foreign and Commonwealth Office</t>
  </si>
  <si>
    <t>This research was funded through grants from the Leverhulme Trust, Western Indian Ocean Marine Science Association, World Bank Targeted Research Group on Coral Bleaching, the Fisheries Society of the British Isles, the Eppley and Tiffany Foundations, the National Science and Engineering Research Council of Canada, the British Overseas Development Administration (now DFID) and the British Foreign and Commonwealth Office.</t>
  </si>
  <si>
    <t>AUG 27</t>
  </si>
  <si>
    <t>e3039</t>
  </si>
  <si>
    <t>10.1371/journal.pone.0003039</t>
  </si>
  <si>
    <t>427RM</t>
  </si>
  <si>
    <t>WOS:000264796400003</t>
  </si>
  <si>
    <t>Broadbent, EN; Asner, GP; Keller, M; Knapp, DE; Oliveira, PJC; Silva, JN</t>
  </si>
  <si>
    <t>Broadbent, Eben N.; Asner, Gregory P.; Keller, Michael; Knapp, David E.; Oliveira, Paulo J. C.; Silva, Jose N.</t>
  </si>
  <si>
    <t>Forest fragmentation and edge effects from deforestation and selective logging in the Brazilian Amazon</t>
  </si>
  <si>
    <t>forest core; forest texture; landscape ecology; rainforest; remote sensing; sustainability</t>
  </si>
  <si>
    <t>PLANT-SPECIES RICHNESS; HABITAT FRAGMENTATION; RAIN-FOREST; VEGETATION; MICROCLIMATE; DYNAMICS; IMPACT; FIRE; MICROENVIRONMENT; CONSEQUENCES</t>
  </si>
  <si>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</si>
  <si>
    <t>[Broadbent, Eben N.; Asner, Gregory P.; Knapp, David E.; Oliveira, Paulo J. C.] Carnegie Inst Sci, Dept Global Ecol, Stanford, CA 94305 USA; [Broadbent, Eben N.] Stanford Univ, Dept Biol Sci, Stanford, CA 94305 USA; [Keller, Michael] USDA, Forest Serv, Int Inst Trop Forestry, Rio Piedras, PR USA; [Keller, Michael] Univ New Hampshire, Complex Syst Res Ctr, Durham, NH 03824 USA; [Silva, Jose N.] EMBRAPA Amazonia Oriental, BR-66095100 Belem, Para, Brazil</t>
  </si>
  <si>
    <t>Carnegie Institution for Science; Stanford University; United States Department of Agriculture (USDA); United States Forest Service; University System Of New Hampshire; University of New Hampshire; Empresa Brasileira de Pesquisa Agropecuaria (EMBRAPA); EMBRAPA Amazonia Oriental</t>
  </si>
  <si>
    <t>Broadbent, EN (corresponding author), Carnegie Inst Sci, Dept Global Ecol, Stanford, CA 94305 USA.</t>
  </si>
  <si>
    <t>eben@stanford.edu; gpa@stanford.edu; michael@kaos.sr.unh.edu; dknapp@globalecology.stanford.edu; poliveira@globalecology.stanford.edu; natalino@cpatu.embrapa.br</t>
  </si>
  <si>
    <t>; Keller, Michael/A-8976-2012; Asner, Gregory/G-9268-2013; Broadbent, Eben/AFL-1770-2022; Asner, Gregory/G-9268-2013; Broadbent, Eben/H-2965-2013</t>
  </si>
  <si>
    <t>Oliveira, Paulo/0000-0002-4071-3924; Keller, Michael/0000-0002-0253-3359; Asner, Gregory/0000-0001-7893-6421; Silva, José/0000-0003-4068-2432; Asner, Gregory/0000-0001-7893-6421; Broadbent, Eben/0000-0002-4488-4237</t>
  </si>
  <si>
    <t>Emerging Frontiers; Direct For Biological Sciences [0752017] Funding Source: National Science Foundation</t>
  </si>
  <si>
    <t>Emerging Frontiers; Direct For Biological Sciences(National Science Foundation (NSF)NSF - Directorate for Biological Sciences (BIO))</t>
  </si>
  <si>
    <t>10.1016/j.biocon.2008.04.024</t>
  </si>
  <si>
    <t>335QY</t>
  </si>
  <si>
    <t>WOS:000258306300002</t>
  </si>
  <si>
    <t>Westphal, MI; Browne, M; MacKinnon, K; Noble, I</t>
  </si>
  <si>
    <t>Westphal, Michael I.; Browne, Michael; MacKinnon, Kathy; Noble, Ian</t>
  </si>
  <si>
    <t>The link between international trade and the global distribution of invasive alien species</t>
  </si>
  <si>
    <t>BIOLOGICAL INVASIONS</t>
  </si>
  <si>
    <t>environmental externality; exotic species; regression tree; species richness; trade and environment</t>
  </si>
  <si>
    <t>BIOLOGICAL INVASIONS; PLANT INVASIONS; RESISTANCE; DIVERSITY; PATTERNS; AREA</t>
  </si>
  <si>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</si>
  <si>
    <t>[Westphal, Michael I.] US EPA, Off Int Affairs, Washington, DC 20460 USA; [Westphal, Michael I.; MacKinnon, Kathy; Noble, Ian] World Bank, Dept Environm, Washington, DC 20433 USA; [Browne, Michael] Univ Auckland, Invas Species Specialist Grp, World Conservat Union IUCN, Auckland, New Zealand</t>
  </si>
  <si>
    <t>United States Environmental Protection Agency; The World Bank; University of Auckland</t>
  </si>
  <si>
    <t>Westphal, MI (corresponding author), US EPA, Off Int Affairs, Washington, DC 20460 USA.</t>
  </si>
  <si>
    <t>mwestphal@worldbank.org</t>
  </si>
  <si>
    <t>Browne, Michael/0000-0003-3718-0087; Noble, Ian/0000-0002-6300-7395</t>
  </si>
  <si>
    <t>1387-3547</t>
  </si>
  <si>
    <t>1573-1464</t>
  </si>
  <si>
    <t>BIOL INVASIONS</t>
  </si>
  <si>
    <t>Biol. Invasions</t>
  </si>
  <si>
    <t>10.1007/s10530-007-9138-5</t>
  </si>
  <si>
    <t>275QO</t>
  </si>
  <si>
    <t>WOS:000254086900002</t>
  </si>
  <si>
    <t>Winemiller, KO; Agostinho, AA; Caramaschi, ÉP</t>
  </si>
  <si>
    <t>Dudgeon, D</t>
  </si>
  <si>
    <t>Winemiller, Kirk O.; Agostinho, Angelo A.; Caramaschi, Erica Pellegrini</t>
  </si>
  <si>
    <t>Fish Ecology in Tropical Streams</t>
  </si>
  <si>
    <t>TROPICAL STREAM ECOLOGY</t>
  </si>
  <si>
    <t>Aquatic Ecology Series</t>
  </si>
  <si>
    <t>RAIN-FOREST STREAMS; FRESH-WATER FISHES; ONTOGENIC DIET SHIFTS; 2 SMALL TRIBUTARIES; SOUTH-AMERICA; LIFE-HISTORY; PARANA RIVER; ARMORED CATFISH; SRI-LANKA; ECOMORPHOLOGICAL DIVERSIFICATION</t>
  </si>
  <si>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</si>
  <si>
    <t>[Winemiller, Kirk O.] Texas A&amp;M Univ, Dept Wildlife &amp; Fisheries Sci, College Stn, TX 77843 USA; [Agostinho, Angelo A.] Univ Estadual Maringa, Nucleo Pesquisas Limnol Ictiol &amp; Aquicultura NUPE, BR-87020900 Maringa, Parana, Brazil; [Caramaschi, Erica Pellegrini] Univ Fed Rio de Janeiro, Dept Ecol, IB, CCS, BR-21941970 Rio De Janeiro, RJ, Brazil</t>
  </si>
  <si>
    <t>Texas A&amp;M University System; Texas A&amp;M University College Station; Universidade Estadual de Maringa; Universidade Federal do Rio de Janeiro</t>
  </si>
  <si>
    <t>Winemiller, KO (corresponding author), Texas A&amp;M Univ, Dept Wildlife &amp; Fisheries Sci, College Stn, TX 77843 USA.</t>
  </si>
  <si>
    <t>; Agostinho, Angelo Antonio/D-5888-2013; Caramaschi, Erica/D-5406-2013; Agostinho, Angelo/S-1538-2019</t>
  </si>
  <si>
    <t>Winemiller, Kirk/0000-0003-0236-5129; Agostinho, Angelo Antonio/0000-0002-4707-9444;</t>
  </si>
  <si>
    <t>ELSEVIER ACADEMIC PRESS INC</t>
  </si>
  <si>
    <t>525 B STREET, SUITE 1900, SAN DIEGO, CA 92101-4495 USA</t>
  </si>
  <si>
    <t>1573-4595</t>
  </si>
  <si>
    <t>978-0-08-055717-5; 978-0-12-088449-0</t>
  </si>
  <si>
    <t>AQUAT ECOL SER</t>
  </si>
  <si>
    <t>Aquat. Ecol. Ser.</t>
  </si>
  <si>
    <t>10.1016/B978-012088449-0.50007-8</t>
  </si>
  <si>
    <t>BEY19</t>
  </si>
  <si>
    <t>WOS:000318618900006</t>
  </si>
  <si>
    <t>Jenkins, RKB; Andriafidison, D; Razafimanahaka, HJ; Rabearivelo, A; Razafindrakoto, N; Ratsimandresy, Z; Andrianandrasana, RH; Razafimahatratra, E; Racey, PA</t>
  </si>
  <si>
    <t>Jenkins, Richard K. B.; Andriafidison, Daudet; Razafimanahaka, H. Julie; Rabearivelo, Andriamanana; Razafindrakoto, Noromampiandra; Ratsimandresy, Zo; Andrianandrasana, Rabe H.; Razafimahatratra, Emilienne; Racey, Paul A.</t>
  </si>
  <si>
    <t>Not rare, but threatened:: the endemic Madagascar flying fox Pteropus rufus in a fragmented landscape</t>
  </si>
  <si>
    <t>diet; flying fox; fragmentation; hunting; plantations; Pteropus rufus; Madagascar</t>
  </si>
  <si>
    <t>LITTORAL FOREST; SAINTE-LUCE; PTEROPODIDAE; CONSERVATION; CHIROPTERA; DIET</t>
  </si>
  <si>
    <t>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t>
  </si>
  <si>
    <t>Univ Aberdeen, Sch Biol Sci, Aberdeen AB24 2TZ, Scotland; Univ Antananarivo, Fac Sci, Dept Biol Anim, Antananarivo, Madagascar; Univ Antananarivo, Ecole Super Sci Agron, Dept Eaux &amp; Foret, Antananarivo 101, Madagascar</t>
  </si>
  <si>
    <t>University of Aberdeen; University Antananarivo; University Antananarivo</t>
  </si>
  <si>
    <t>Jenkins, RKB (corresponding author), Univ Aberdeen, Sch Biol Sci, Aberdeen AB24 2TZ, Scotland.</t>
  </si>
  <si>
    <t>jenkins@wanadoo.mg</t>
  </si>
  <si>
    <t>Jenkins, Richard/A-4567-2012; Racey, Paul/I-4541-2019</t>
  </si>
  <si>
    <t>10.1017/S0030605307001883</t>
  </si>
  <si>
    <t>181ML</t>
  </si>
  <si>
    <t>WOS:000247440700024</t>
  </si>
  <si>
    <t>Rodríguez, MA; Winemiller, KO; Lewis, WM; Baechle, DCT</t>
  </si>
  <si>
    <t>Rodriguez, Marco A.; Winemiller, Kirk O.; Lewis, William M., Jr.; Baechle, Donald C. Taphorn</t>
  </si>
  <si>
    <t>The freshwater habitats, fishes, and fisheries of the Orinoco River basin</t>
  </si>
  <si>
    <t>AQUATIC ECOSYSTEM HEALTH &amp; MANAGEMENT</t>
  </si>
  <si>
    <t>aquatic resources; conservation; ecology; management; neotropical; floodplain; Venezuela</t>
  </si>
  <si>
    <t>NEOTROPICAL FLOODPLAIN RIVER; TROPICAL RIVER; FOOD WEBS; ASSEMBLAGES; VENEZUELA; LAKES; DIVERSITY; REGIONS; APURE</t>
  </si>
  <si>
    <t>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t>
  </si>
  <si>
    <t>Univ Quebec, Dept Chim Biol, Trois Rivieres, PQ G9A 5H7, Canada; Texas A&amp;M Univ, Dept Wildlife &amp; Fisheries Sci, College Stn, TX 77894 USA; Univ Colorado, Ctr Limnol, Cooperat Inst Res Environm Sci, Boulder, CO 80309 USA; UNELLEZ, Bioctr, Guanare 3310, Portuguesa, Venezuela</t>
  </si>
  <si>
    <t>University of Quebec; University of Quebec Trois Rivieres; Texas A&amp;M University System; Texas A&amp;M University College Station; University of Colorado System; University of Colorado Boulder</t>
  </si>
  <si>
    <t>Rodríguez, MA (corresponding author), Univ Quebec, Dept Chim Biol, 3351 Boul Forges, Trois Rivieres, PQ G9A 5H7, Canada.</t>
  </si>
  <si>
    <t>marco.rodriguez@uqtr.ca</t>
  </si>
  <si>
    <t>Roiguez, Marco A/J-6492-2012; Rodríguez, Marco/J-6492-2012</t>
  </si>
  <si>
    <t>Roiguez, Marco A/0000-0003-0391-9170; Winemiller, Kirk/0000-0003-0236-5129</t>
  </si>
  <si>
    <t>325 CHESTNUT ST, SUITE 800, PHILADELPHIA, PA 19106 USA</t>
  </si>
  <si>
    <t>1463-4988</t>
  </si>
  <si>
    <t>AQUAT ECOSYST HEALTH</t>
  </si>
  <si>
    <t>Aquat. Ecosyst. Health Manag.</t>
  </si>
  <si>
    <t>10.1080/14634980701350686</t>
  </si>
  <si>
    <t>Ecology; Environmental Sciences; Marine &amp; Freshwater Biology; Water Resources</t>
  </si>
  <si>
    <t>187SY</t>
  </si>
  <si>
    <t>WOS:000247870000003</t>
  </si>
  <si>
    <t>Daufresne, M; Bady, P; Fruget, JF</t>
  </si>
  <si>
    <t>Daufresne, Martin; Bady, Pierre; Fruget, Jean-Francois</t>
  </si>
  <si>
    <t>Impacts of global changes and extreme hydroclimatic events on macroinvertebrate community structures in the French Rhone River</t>
  </si>
  <si>
    <t>OECOLOGIA</t>
  </si>
  <si>
    <t>climate change; disturbances; heatwave; regime shift; ordination techniques</t>
  </si>
  <si>
    <t>ACUTE TOXICITY; CLIMATE-CHANGE; CORAL-REEFS; DISTURBANCE; FISH; AMMONIA; DIVERSITY; RECOVERY; SHIFTS; INVERTEBRATE</t>
  </si>
  <si>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</si>
  <si>
    <t>GEOMAR, IFM, Leibniz Inst Meereswissensch, FB3, D-24105 Kiel, Germany; Univ Lyon 1, CNRS, UMR 5023, F-69622 Villeurbanne, France; ARALEP, Ecole Eaux Douces, Domaine Sci Doua, F-69603 Villeurbanne, France</t>
  </si>
  <si>
    <t>Helmholtz Association; GEOMAR Helmholtz Center for Ocean Research Kiel; Centre National de la Recherche Scientifique (CNRS); CNRS - Institute of Ecology &amp; Environment (INEE); Universite Claude Bernard Lyon 1</t>
  </si>
  <si>
    <t>Daufresne, M (corresponding author), GEOMAR, IFM, Leibniz Inst Meereswissensch, FB3, Dusternbrooker Weg 20, D-24105 Kiel, Germany.</t>
  </si>
  <si>
    <t>mdaufresne@ifm-geomar.de</t>
  </si>
  <si>
    <t>Bady, Pierre/N-1231-2015; Daufresne, Martin/JGE-5174-2023</t>
  </si>
  <si>
    <t>Bady, Pierre/0000-0003-1398-4689; DAUFRESNE, MARTIN/0009-0004-4604-4903</t>
  </si>
  <si>
    <t>ONE NEW YORK PLAZA, SUITE 4600, NEW YORK, NY, UNITED STATES</t>
  </si>
  <si>
    <t>0029-8549</t>
  </si>
  <si>
    <t>1432-1939</t>
  </si>
  <si>
    <t>Oecologia</t>
  </si>
  <si>
    <t>10.1007/s00442-006-0655-1</t>
  </si>
  <si>
    <t>143AP</t>
  </si>
  <si>
    <t>WOS:000244692700016</t>
  </si>
  <si>
    <t>David, V; Sautour, B; Chardy, P</t>
  </si>
  <si>
    <t>David, Valerie; Sautour, Benoit; Chardy, Pierre</t>
  </si>
  <si>
    <t>Successful colonization of the calanoid copepod Acartia tonsa in the oligo-mesohaline area of the Gironde estuary (SW France) -: Natural or anthropogenic forcing?</t>
  </si>
  <si>
    <t>Acartia tonsa; non-indigenous species; successful establishment; long-term trends; environmental parameters; NAO</t>
  </si>
  <si>
    <t>NORTH-ATLANTIC OSCILLATION; EGG-PRODUCTION; NARRAGANSETT BAY; ENGLISH-CHANNEL; ZOOPLANKTON; TEMPERATURE; MARINE; PHYTOPLANKTON; VARIABILITY; ENVIRONMENT</t>
  </si>
  <si>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</si>
  <si>
    <t>Univ Bordeaux 1, UMR 5805, CNRS, Lab Oceanog Biol, F-33120 Arcachon, France</t>
  </si>
  <si>
    <t>Centre National de la Recherche Scientifique (CNRS); CNRS - National Institute for Earth Sciences &amp; Astronomy (INSU); Universite de Bordeaux</t>
  </si>
  <si>
    <t>David, V (corresponding author), Univ Bordeaux 1, UMR 5805, CNRS, Lab Oceanog Biol, 2 Rue Professeur Jolyet, F-33120 Arcachon, France.</t>
  </si>
  <si>
    <t>v.david@epoc.u-bordeaux1.fr; b.sautour@epoc.u-bordeaux1.fr; p.chardy@epoc.u-bordeaux1.fr</t>
  </si>
  <si>
    <t>David, Valerie/A-8770-2017</t>
  </si>
  <si>
    <t>David, Valerie/0000-0001-6950-9604</t>
  </si>
  <si>
    <t>0272-7714</t>
  </si>
  <si>
    <t>1096-0015</t>
  </si>
  <si>
    <t>ESTUAR COAST SHELF S</t>
  </si>
  <si>
    <t>Estuar. Coast. Shelf Sci.</t>
  </si>
  <si>
    <t>10.1016/j.ecss.2006.08.018</t>
  </si>
  <si>
    <t>135TT</t>
  </si>
  <si>
    <t>WOS:000244177300008</t>
  </si>
  <si>
    <t>Haberle, SG; Tibby, J; Dimitriadis, S; Heijnis, H</t>
  </si>
  <si>
    <t>Haberle, Simon G.; Tibby, John; Dimitriadis, Sophia; Heijnis, Henk</t>
  </si>
  <si>
    <t>The impact of European occupation on terrestrial and aquatic ecosystem dynamics in an Australian tropical rain forest</t>
  </si>
  <si>
    <t>JOURNAL OF ECOLOGY</t>
  </si>
  <si>
    <t>alternate states; Atherton Tableland; Australia; charcoal; chironomids; diatoms; disturbance; historic range of variability; pollen; tropical rain forest</t>
  </si>
  <si>
    <t>WET TROPICS; POLLEN DIAGRAM; SEDIMENT ACCUMULATION; NORTHEAST QUEENSLAND; DIATOM ASSEMBLAGES; VEGETATION CHANGE; NATIONAL-PARK; LAKE BARRINE; FIRE; VARIABILITY</t>
  </si>
  <si>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</si>
  <si>
    <t>Australian Natl Univ, Res Sch Pacific &amp; Asian Studies, Resource Management Asia Pacific Program, Canberra, ACT 0200, Australia; Univ Adelaide, Adelaide, SA 5005, Australia; Australian Natl Univ, Sch Bot &amp; Zool, Canberra, ACT 0200, Australia; Australian Nucl Sci &amp; Technol Org, Menai, NSW 2234, Australia</t>
  </si>
  <si>
    <t>Australian National University; Adelaide University; University of Adelaide; Australian National University; Australian Nuclear Science &amp; Technology Organisation</t>
  </si>
  <si>
    <t>Haberle, SG (corresponding author), Australian Natl Univ, Res Sch Pacific &amp; Asian Studies, Resource Management Asia Pacific Program, Canberra, ACT 0200, Australia.</t>
  </si>
  <si>
    <t>simon.haberle@anu.edu.au</t>
  </si>
  <si>
    <t>; Heijnis, Hendrik/A-6673-2010; Haberle, Simon/MZQ-3551-2025</t>
  </si>
  <si>
    <t>Heijnis, Henik/0000-0002-7601-3452; Haberle, Simon/0000-0001-5802-6535; Tibby, John/0000-0002-5897-2932;</t>
  </si>
  <si>
    <t>0022-0477</t>
  </si>
  <si>
    <t>1365-2745</t>
  </si>
  <si>
    <t>J ECOL</t>
  </si>
  <si>
    <t>J. Ecol.</t>
  </si>
  <si>
    <t>10.1111/j.1365-2745.2006.01140.x</t>
  </si>
  <si>
    <t>070GY</t>
  </si>
  <si>
    <t>WOS:000239510400011</t>
  </si>
  <si>
    <t>Braimoh, AK</t>
  </si>
  <si>
    <t>Random and systematic land-cover transitions in northern Ghana</t>
  </si>
  <si>
    <t>AGRICULTURE ECOSYSTEMS &amp; ENVIRONMENT</t>
  </si>
  <si>
    <t>land-cover change; systematic processes; random processes; persistence; Ghana</t>
  </si>
  <si>
    <t>TROPICAL REGIONS; CAMEROON</t>
  </si>
  <si>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</si>
  <si>
    <t>Univ Bonn, Ctr Dev Res, D-53113 Bonn, Germany</t>
  </si>
  <si>
    <t>University of Bonn</t>
  </si>
  <si>
    <t>Braimoh, AK (corresponding author), Univ Bonn, Ctr Dev Res, Walter Flex Str 3, D-53113 Bonn, Germany.</t>
  </si>
  <si>
    <t>braimoh@ias.unu.edu</t>
  </si>
  <si>
    <t>; Braimoh, Ademola/AAE-4330-2020</t>
  </si>
  <si>
    <t>Braimoh, Ademola/0000-0001-6606-1293;</t>
  </si>
  <si>
    <t>0167-8809</t>
  </si>
  <si>
    <t>AGR ECOSYST ENVIRON</t>
  </si>
  <si>
    <t>Agric. Ecosyst. Environ.</t>
  </si>
  <si>
    <t>10.1016/j.agee.2005.10.019</t>
  </si>
  <si>
    <t>Agriculture, Multidisciplinary; Ecology; Environmental Sciences</t>
  </si>
  <si>
    <t>Agriculture; Environmental Sciences &amp; Ecology</t>
  </si>
  <si>
    <t>018LF</t>
  </si>
  <si>
    <t>WOS:000235765100023</t>
  </si>
  <si>
    <t>Lewis, JB</t>
  </si>
  <si>
    <t>Southward, AJ; Young, CM; Fuiman, LA</t>
  </si>
  <si>
    <t>Lewis, John B.</t>
  </si>
  <si>
    <t>Biology and ecology of the hydrocoral Millepora on coral reefs</t>
  </si>
  <si>
    <t>ADVANCES IN MARINE BIOLOGY, VOL 50</t>
  </si>
  <si>
    <t>Advances in Marine Biology</t>
  </si>
  <si>
    <t>MEGABALANUS-STULTUS DARWIN; SPIROBRANCHUS-POLYCERUS SCHMARDA; HYDROZOAN-MILLEPORA; SYMBIOTIC RELATIONSHIP; HERMODICE-CARUNCULATA; COMMUNITY STRUCTURE; GENERIC REVISION; SPECIES HYDROZOA; 1854 CIRRIPEDIA; CLIMATE-CHANGE</t>
  </si>
  <si>
    <t>Millepores are colonial polypoidal hydrozoans secreting an internal calcareous skeleton of an encrusting or upright form, often of considerable size. Defensive polyps protruding from the skeleton are numerous and highly toxic and for this reason millepores are popularly known as stinging corals or 'fire corals.  In shallow tropical seas millepore colonies are conspicuous on coral reefs and may be locally abundant and important reef-framework builders. The history of systematic research on the Milleporidae and the sister family Stylasteridae is rich and full with the works of early naturalists beginning with Linnaeus. Seventeen living millepore species are recognised. Marked phenotypic variation inform and structure of colonies is characteristic of the genus Millepora. The first published descriptions of the anatomy and histology of millepores were by H. N. Moseley in one of the Challenger Expedition reports. These original, detailed accounts by Moseley remain valid and, except for recent descriptions of the ultrastructure of the skeleton and skeletogenic tissues, have not needed much modification. Millepores occur worldwide on coral reefs at depths of between I and 40 m and their distribution on reefs is generally zoned in response to physical factors. Colonies may be abundant locally on coral reefs but usually comprise &lt; 10% of the overall surface cover. Growth rates of colonies are similar to the measured rates of branching and platelike scleractinian corals. Millepores are voracious zooplankton feeders and they obtain part of their nutrition from autotrophic sources, photosynthetic production by symbiotic zooxanthellae. Reproduction in millepores is characterised by alternation of generations with a well-developed polypoid stage that buds off planktonic medusae. Sexual reproduction is seasonal for known species and the medusae have a brief planktonic life. Asexual production is achieved by sympodial growth, the production of new skeleton and soft tissue along a growing edge or branch tip, and by the reattachment, regeneration and repair of damaged or broken colony fragments. The physiological and ecological responses of species of millepores are similar to those of the species of scleractinian corals over a broad range of natural and anthropogenic disturbances. Severe damage to colonies may occur during major storms. Delicately branching species are more susceptible than massive and bladed species. The ability of broken fragments to regenerate can ameliorate the extent of damage. Widespread bleaching and mortality of millepores has been reported during mass bleaching events that have affected many coral reefs. Millepores are often the first to recover after short-term bleaching events. Harmful effects of oil spills, chronic oil pollution and oil-spill detergents have been widely reported for millepores. Although the hydrozoan coenosarc, with its fiercely stinging zooids, does not appear to be an attractive substratum for attachment and settlement Of epizooans, a number of sessile and errant forms commonly occur on millepores. These include barnacles, amphipods, tanaid and alpheid crustaceans, polychaetes and gastropods. Burrowing molluscs, polychaetes and crustacea also abound. Many of these species or their close relatives also occur on scleractinian corals. A variety of predators, grazers and fouling organisms occur on millepores. These include errant polychaetes, several coral-feeding fish and a gastropod mollusc. Various invasive green, red and brown algae are widespread, growing on dead branches of millepores and overgrowing live coral tissue. Various band diseases associated with microorganisms that appear to cause lesions on millepores and loss of tissue have been documented but are not of widespread occurrence. Infestations of endolithic algae and fungi growing within the skeletons have been reported in a number of millepore species.</t>
  </si>
  <si>
    <t>McGill Univ, Dept Biol, Montreal, PQ H3A 1B1, Canada</t>
  </si>
  <si>
    <t>McGill University</t>
  </si>
  <si>
    <t>Lewis, JB (corresponding author), McGill Univ, Dept Biol, Montreal, PQ H3A 1B1, Canada.</t>
  </si>
  <si>
    <t>Perry, Chris/0000-0001-9398-2418</t>
  </si>
  <si>
    <t>ACADEMIC PRESS LTD-ELSEVIER SCIENCE LTD</t>
  </si>
  <si>
    <t>125 LONDON WALL, LONDON EC2Y 5AS, ENGLAND</t>
  </si>
  <si>
    <t>0065-2881</t>
  </si>
  <si>
    <t>2162-5875</t>
  </si>
  <si>
    <t>0-12-026151-0</t>
  </si>
  <si>
    <t>ADV MAR BIOL</t>
  </si>
  <si>
    <t>Adv. Mar. Biol.</t>
  </si>
  <si>
    <t>10.1016/S0065-2881(05)50001-4</t>
  </si>
  <si>
    <t>Marine &amp; Freshwater Biology</t>
  </si>
  <si>
    <t>Book Citation Index – Science (BKCI-S); Science Citation Index Expanded (SCI-EXPANDED)</t>
  </si>
  <si>
    <t>BEN09</t>
  </si>
  <si>
    <t>WOS:000238223900001</t>
  </si>
  <si>
    <t>Dobiesz, NE; McLeish, DA; Eshenroder, RL; Bence, JR; Mohr, LC; Ebener, MP; Nalepa, TF; Woldt, AP; Johnson, JE; Argyle, RL; Makarewicz, JC</t>
  </si>
  <si>
    <t>Ecology of the Lake Huron fish community, 1970-1999</t>
  </si>
  <si>
    <t>CANADIAN JOURNAL OF FISHERIES AND AQUATIC SCIENCES</t>
  </si>
  <si>
    <t>DOUBLE-CRESTED CORMORANTS; LAURENTIAN GREAT-LAKES; FOOD-WEB; ZEBRA MUSSEL; SEA LAMPREY; CRUSTACEAN ZOOPLANKTON; MYSIS-RELICTA; SAGINAW BAY; MICHIGAN; TROUT</t>
  </si>
  <si>
    <t>We review the status of the Lake Huron fish community between 1970 and 1999 and explore the effects of key stressors. Offshore waters changed little in terms of nutrient enrichment, while phosphorus levels declined in inner Saginaw Bay. Introduced mussels (Dreissena spp.) proliferated and may have caused a decline in Diporeia spp. This introduction could have caused a decline in lake whitefish (Coregonus clupeaformis) growth and condition, with serious repercussions for commercial fisheries. Bythotrephes, an exotic predatory cladoceran, and other new exotics may be influencing the fish community. Sea lampreys (Petromyzon marinus) remained prevalent, but intensive control efforts on the St. Mary's River may reduce their predation on salmonines. Overfishing was less of a problem than in the past, although fishing continued to reduce the amount of lake trout (Salvelinus namaycush) spawning biomass resulting from hatchery-reared fish planted to rehabilitate this species. Massive stocking programs have increased the abundance of top predators, but lake trout were rehabilitated in only one area. Successful lake trout rehabilitation may require lower densities of introduced pelagic prey fish than were seen in the 1990s, along with continued stocking of hatchery-reared lake trout and control of sea lamprey. Such reductions in prey fish could limit Pacific salmon (Oncorhynchus spp.) fisheries.</t>
  </si>
  <si>
    <t>Michigan State Univ, Dept Fisheries &amp; Wildlife, E Lansing, MI 48824 USA; Ontario Minist Nat Resources, Upper Great Lakes Management Unit, Owen Sound, ON N4K 2Z1, Canada; Great Lakes Fishery Commiss, Ann Arbor, MI 48105 USA; Chippewa Ottawa Resource Author, Intertribal Fisheries &amp; Assessment Program, Sault Sainte Marie, MI 49783 USA; NOAA, Great Lakes Environm Res Lab, Ann Arbor, MI 48105 USA; US Fish &amp; Wildlife Serv, Alpena, MI 49707 USA; Michigan Dept Nat Resources, Alpena Great Lakes Fisheries Res Stn, Alpena, MI 49707 USA; US Geol Survey, Great Lakes Sci Ctr, Ann Arbor, MI 48105 USA; SUNY Coll Brockport, Dept Biol Sci, Brockport, NY 14420 USA</t>
  </si>
  <si>
    <t>Michigan State University; Ministry of Natural Resources &amp; Forestry; National Oceanic Atmospheric Admin (NOAA) - USA; United States Department of the Interior; US Fish &amp; Wildlife Service; United States Department of the Interior; United States Geological Survey; State University of New York (SUNY) System; State University of New York (SUNY) Brockport</t>
  </si>
  <si>
    <t>Dobiesz, NE (corresponding author), Ontario Minist Nat Resources, Lake Huron Management Unit, 1450 7th Ave E, Owen Sound, ON N4K 2Z1, Canada.</t>
  </si>
  <si>
    <t>dobieszn@zoo.utoronto.ca</t>
  </si>
  <si>
    <t>Bence, James/E-5057-2017</t>
  </si>
  <si>
    <t>123 Slater Street, Suite 610, OTTAWA, ON K1P 5H2, CANADA</t>
  </si>
  <si>
    <t>0706-652X</t>
  </si>
  <si>
    <t>1205-7533</t>
  </si>
  <si>
    <t>CAN J FISH AQUAT SCI</t>
  </si>
  <si>
    <t>Can. J. Fish. Aquat. Sci.</t>
  </si>
  <si>
    <t>10.1139/F05-061</t>
  </si>
  <si>
    <t>Fisheries; Marine &amp; Freshwater Biology</t>
  </si>
  <si>
    <t>945KC</t>
  </si>
  <si>
    <t>WOS:000230500400020</t>
  </si>
  <si>
    <t>Scheffler, PY</t>
  </si>
  <si>
    <t>Dung beetle (Coleoptera: Scarabaeidae) diversity and community structure across three disturbance regimes in eastern Amazonia</t>
  </si>
  <si>
    <t>JOURNAL OF TROPICAL ECOLOGY</t>
  </si>
  <si>
    <t>anthropogenic disturbance; biodiversity; Brazil; clear-cutting; dung beetles; pasture; pitfall traps; Scarabaeidae; selective logging</t>
  </si>
  <si>
    <t>TROPICAL RAIN-FOREST; MONKEYS ALOUATTA-PALLIATA; LOS-TUXTLAS; SEED DISPERSAL; FRAGMENTATION; INDICATORS; ABUNDANCE; DEFORESTATION; MANAGEMENT; QUALITY</t>
  </si>
  <si>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</si>
  <si>
    <t>Penn State Univ, University Pk, PA 16802 USA</t>
  </si>
  <si>
    <t>Pennsylvania Commonwealth System of Higher Education (PCSHE); Pennsylvania State University; Pennsylvania State University - University Park</t>
  </si>
  <si>
    <t>Scheffler, PY (corresponding author), POB 69, Volcano, HI 96785 USA.</t>
  </si>
  <si>
    <t>pyl1@psualum.com</t>
  </si>
  <si>
    <t>0266-4674</t>
  </si>
  <si>
    <t>1469-7831</t>
  </si>
  <si>
    <t>J TROP ECOL</t>
  </si>
  <si>
    <t>J. Trop. Ecol.</t>
  </si>
  <si>
    <t>10.1017/S0266467404001683</t>
  </si>
  <si>
    <t>898NL</t>
  </si>
  <si>
    <t>WOS:000227083400002</t>
  </si>
  <si>
    <t>Beja, P; Alcazar, R</t>
  </si>
  <si>
    <t>Conservation of Mediterranean temporary ponds under agricultural intensification: an evaluation using amphibians</t>
  </si>
  <si>
    <t>agroecosystems; habitat modelling; hydroperiod; tadpoles; wetlands</t>
  </si>
  <si>
    <t>SPECIES RICHNESS; HABITAT; COMMUNITY; WETLANDS</t>
  </si>
  <si>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</si>
  <si>
    <t>ERENA, P-1000289 Lisbon, Portugal; Univ Algarve, CCMAR, P-8000117 Faro, Portugal; Liga Proteccao Nat, P-1500124 Lisbon, Portugal</t>
  </si>
  <si>
    <t>Universidade do Algarve</t>
  </si>
  <si>
    <t>Beja, P (corresponding author), ERENA, Av Visconde Valmor 11-3, P-1000289 Lisbon, Portugal.</t>
  </si>
  <si>
    <t>pbeja@erena.pt</t>
  </si>
  <si>
    <t>Beja, Pedro/A-7851-2008; Alcåzar, Rafael/R-4920-2018</t>
  </si>
  <si>
    <t>Beja, Peo/0000-0001-8164-0760;</t>
  </si>
  <si>
    <t>10.1016/S0006-3207(03)00051-X</t>
  </si>
  <si>
    <t>722JD</t>
  </si>
  <si>
    <t>WOS:000185371200002</t>
  </si>
  <si>
    <t>Woltmann, S</t>
  </si>
  <si>
    <t>Bird community responses to disturbance in a forestry concession in lowland Bolivia</t>
  </si>
  <si>
    <t>birds; Bolivia; community ecology; habitat disturbance; tropical bird community; tropical forestry</t>
  </si>
  <si>
    <t>RAIN-FOREST; TEMPORAL VARIATION; COSTA-RICA; SPECIES-DIVERSITY; UNDERSTORY BIRDS; TROPICAL FOREST; POINT COUNTS; WET FOREST; BRAZIL; CONSERVATION</t>
  </si>
  <si>
    <t>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t>
  </si>
  <si>
    <t>Univ So Mississippi, Dept Biol Sci, Hattiesburg, MS 39406 USA</t>
  </si>
  <si>
    <t>University of Southern Mississippi</t>
  </si>
  <si>
    <t>Woltmann, S (corresponding author), Tulane Univ, Dept Ecol &amp; Evolutionary Biol, New Orleans, LA 70118 USA.</t>
  </si>
  <si>
    <t>Woltmann, Stefan/W-2666-2019</t>
  </si>
  <si>
    <t>KLUWER ACADEMIC PUBL</t>
  </si>
  <si>
    <t>10.1023/A:1024147529295</t>
  </si>
  <si>
    <t>688PK</t>
  </si>
  <si>
    <t>WOS:000183444300010</t>
  </si>
  <si>
    <t>Ollinger, SV; Aber, JD; Reich, PB; Freuder, RJ</t>
  </si>
  <si>
    <t>Interactive effects of nitrogen deposition, tropospheric ozone, elevated CO2 and land use history on the carbon dynamics of northern hardwood forests</t>
  </si>
  <si>
    <t>carbon balance; climate variation; CO2; forest productivity; land use history; nitrogen deposition; ozone</t>
  </si>
  <si>
    <t>ATMOSPHERIC DEPOSITION; STOMATAL CONDUCTANCE; DECIDUOUS FOREST; AMBIENT OZONE; PINE FOREST; WATER YIELD; PHOTOSYNTHESIS; PLANT; GROWTH; DIOXIDE</t>
  </si>
  <si>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</si>
  <si>
    <t>Univ New Hampshire, Inst Study Earth Oceans &amp; Space, Complex Syst Res Ctr, Durham, NH 03824 USA; Univ Minnesota, Dept Forest Resources, St Paul, MN 55108 USA</t>
  </si>
  <si>
    <t>University System Of New Hampshire; University of New Hampshire; University of Minnesota System; University of Minnesota Twin Cities</t>
  </si>
  <si>
    <t>Ollinger, SV (corresponding author), Univ New Hampshire, Inst Study Earth Oceans &amp; Space, Complex Syst Res Ctr, Morse Hall, Durham, NH 03824 USA.</t>
  </si>
  <si>
    <t>scott.ollinger@unh.edu</t>
  </si>
  <si>
    <t>Ollinger, Scott/N-3380-2014; Reich, Peter/AFQ-0566-2022</t>
  </si>
  <si>
    <t>Ollinger, Scott/0000-0001-6226-1431; Reich, Peter/0000-0003-4424-662X</t>
  </si>
  <si>
    <t>10.1046/j.1365-2486.2002.00482.x</t>
  </si>
  <si>
    <t>554QQ</t>
  </si>
  <si>
    <t>WOS:000175749000004</t>
  </si>
  <si>
    <t>McGarigal, K; Romme, WH; Crist, M; Roworth, E</t>
  </si>
  <si>
    <t>Cumulative effects of roads and logging on landscape structure in the San Juan Mountains, Colorado (USA)</t>
  </si>
  <si>
    <t>LANDSCAPE ECOLOGY</t>
  </si>
  <si>
    <t>cumulative effects; forest management; fragmentation; landscape change; landscape pattern; landscape structure; logging; roads</t>
  </si>
  <si>
    <t>SUB-ALPINE FORESTS; ROCKY-MOUNTAINS; STAND DEVELOPMENT; BREEDING BIRDS; FIR FOREST; CLEAR-CUT; FRAGMENTATION; RESPONSES; DYNAMICS; OREGON</t>
  </si>
  <si>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</si>
  <si>
    <t>Univ Massachusetts, Dept Nat Resources Conservat, Amherst, MA 01003 USA</t>
  </si>
  <si>
    <t>University of Massachusetts System; University of Massachusetts Amherst</t>
  </si>
  <si>
    <t>McGarigal, K (corresponding author), Univ Massachusetts, Dept Nat Resources Conservat, Amherst, MA 01003 USA.</t>
  </si>
  <si>
    <t>mcgarigalk@forwild.umass.edu</t>
  </si>
  <si>
    <t>Romme, William/C-7317-2016</t>
  </si>
  <si>
    <t>Crist, Michele/0000-0002-3506-3402</t>
  </si>
  <si>
    <t>0921-2973</t>
  </si>
  <si>
    <t>LANDSCAPE ECOL</t>
  </si>
  <si>
    <t>Landsc. Ecol.</t>
  </si>
  <si>
    <t>10.1023/A:1011185409347</t>
  </si>
  <si>
    <t>Ecology; Geography, Physical; Geosciences, Multidisciplinary</t>
  </si>
  <si>
    <t>446MD</t>
  </si>
  <si>
    <t>WOS:000169516300004</t>
  </si>
  <si>
    <t>OgutuOhwayo, R; Hecky, RE; Cohen, AS; Kaufman, L</t>
  </si>
  <si>
    <t>Human impacts on the African Great Lakes</t>
  </si>
  <si>
    <t>ENVIRONMENTAL BIOLOGY OF FISHES</t>
  </si>
  <si>
    <t>threats; population growth; over-exploitation; introductions; eutrophication; pollution; fishes</t>
  </si>
  <si>
    <t>NILE PERCH; LATES-NILOTICUS; EAST-AFRICA; VICTORIA; KENYA; FISH; CONSERVATION; CICHLIDS; DECLINE; WATERS</t>
  </si>
  <si>
    <t>The African Great Lakes are important sources of fishes and water for domestic use, are used as avenues of transport, and receive agricultural, domestic and industrial effluents and atmospheric residues. Some of these lakes have speciose fish faunas of great interest to science. The catchment areas of some of the lakes are highly populated and user conflicts have increased the demands on the lakes' resources. There have been drastic reductions in fish stocks in most of the lakes due to overfishing. Introductions of new fish species, though followed by increases in fish catches, have been accompanied by a decline and in some cases extinction of native fish species. Some of the lakes have been invaded by the water hyacinth, Eichhornia crassipes. Agricultural activities, deforestation and devegetation of the catchment areas have increased siltation, and led to loss of suitable habitats and biodiversity. There are increased nutrient inputs from agriculture, sewage and industrial discharges and combustion processes which can cause eutrophication. There are also increased threats of toxic pollution from industrial waste discharge, mining, pesticides, and oil residues and spills. Climatic changes may also affect thermal stability of the lakes. These factors threaten availability of dietary protein, clean water and biodiversity. National and international efforts are required to manage the fisheries, guide the introduction of exotics, conserve biodiversity, control the water hyacinth, control eutrophication, reduce input of contaminants and manage climate change.</t>
  </si>
  <si>
    <t>UNIV ARIZONA, TUCSON, AZ 85721 USA; FISHERIES &amp; OCEANS CANADA, INST FRESHWATER, WINNIPEG, MB R3T 2N6, CANADA; NEW ENGLAND AQUARIUM, BOSTON, MA 02110 USA</t>
  </si>
  <si>
    <t>University of Arizona; Fisheries &amp; Oceans Canada</t>
  </si>
  <si>
    <t>OgutuOhwayo, R (corresponding author), FISHERIES RES INST, POB 343, JINJA, UGANDA.</t>
  </si>
  <si>
    <t>0378-1909</t>
  </si>
  <si>
    <t>1573-5133</t>
  </si>
  <si>
    <t>ENVIRON BIOL FISH</t>
  </si>
  <si>
    <t>Environ. Biol. Fishes</t>
  </si>
  <si>
    <t>10.1023/A:1007320932349</t>
  </si>
  <si>
    <t>XW489</t>
  </si>
  <si>
    <t>WOS:A1997XW48900001</t>
  </si>
  <si>
    <t>Nemani, RR; Running, SW; Pielke, RA; CHase, TN</t>
  </si>
  <si>
    <t>Global vegetation cover changes from coarse resolution satellite data</t>
  </si>
  <si>
    <t>JOURNAL OF GEOPHYSICAL RESEARCH-ATMOSPHERES</t>
  </si>
  <si>
    <t>LEAF-AREA INDEX; LAND-COVER; TROPICAL DEFORESTATION; AMAZON DEFORESTATION; SURFACE-TEMPERATURE; CLIMATE; CLASSIFICATION; SIMULATION; FORESTS; LANDSCAPE</t>
  </si>
  <si>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</si>
  <si>
    <t>UNIV MONTANA, MONTANA FOREST &amp; CONSERVAT EXPT STN, SCH FORESTRY, MISSOULA, MT 59812 USA</t>
  </si>
  <si>
    <t>University of Montana System; University of Montana</t>
  </si>
  <si>
    <t>Nemani, RR (corresponding author), COLORADO STATE UNIV, DEPT ATMOSPHER SCI, FT COLLINS, CO 80523 USA.</t>
  </si>
  <si>
    <t>Pielke, Roger/A-5015-2009</t>
  </si>
  <si>
    <t>2169-897X</t>
  </si>
  <si>
    <t>J GEOPHYS RES-ATMOS</t>
  </si>
  <si>
    <t>J. Geophys. Res.-Atmos.</t>
  </si>
  <si>
    <t>MAR 20</t>
  </si>
  <si>
    <t>D3</t>
  </si>
  <si>
    <t>10.1029/95JD02138</t>
  </si>
  <si>
    <t>UB986</t>
  </si>
  <si>
    <t>WOS:A1996UB98600039</t>
  </si>
  <si>
    <t>Is Direct Driver Reference</t>
  </si>
  <si>
    <t>2.1.12-
Direct Drivers</t>
  </si>
  <si>
    <t>2.1.13
Land/Sea Use Change</t>
  </si>
  <si>
    <t>2.1.14
Resource Extraction</t>
  </si>
  <si>
    <t>2.1.15
Pollution</t>
  </si>
  <si>
    <t>2.1.16
IAS</t>
  </si>
  <si>
    <t>2.1.17
Climate</t>
  </si>
  <si>
    <t>Is Grey Literature</t>
  </si>
  <si>
    <t>DOI Is Imputed</t>
  </si>
  <si>
    <t>Is present in WOS</t>
  </si>
  <si>
    <t>Y</t>
  </si>
  <si>
    <t>10.1007/3-540-32202-7_2</t>
  </si>
  <si>
    <t>y</t>
  </si>
  <si>
    <t>10.1007/978-1-4613-8486-1_10</t>
  </si>
  <si>
    <t>10.1038/ngeo779</t>
  </si>
  <si>
    <t>10.1079/9781845933876.0107</t>
  </si>
  <si>
    <t>10.1109/ICMSS.2010.5577555</t>
  </si>
  <si>
    <t>10.4324/9780203846032</t>
  </si>
  <si>
    <t>UPPER-OCEAN RESPONSE; SUMMER MONSOON; ARABIAN SEA; SURFACE; REANALYSIS; FLUXES</t>
  </si>
  <si>
    <t>OCEANOGRAPHY SOC</t>
  </si>
  <si>
    <t>ROCKVILLE</t>
  </si>
  <si>
    <t>CLIMATE-CHANGE; CORAL-REEFS; IMPACTS; SCIENCES; COMMUNITIES; ADAPTATION; ECOSYSTEM; OYSTER; WATERS; TOP</t>
  </si>
  <si>
    <t>FOOTPRINT; NITROGEN</t>
  </si>
  <si>
    <t>SUSTAINABILITY-BASEL</t>
  </si>
  <si>
    <t>Science &amp; Technology - Other Topics; Environmental Sciences &amp; Ecology</t>
  </si>
  <si>
    <t>corals; climate change; ecosystems goods and services; decline; warming ocean; ocean acidification</t>
  </si>
  <si>
    <t>GREAT-BARRIER-REEF; DEEP-SEA CORALS; RANGE SHIFTS; SCLERACTINIAN CORALS; ANTHROPOGENIC CARBON; THERMAL TOLERANCE; LOPHELIA-PERTUSA; MARINE ORGANISMS; PHASE-SHIFTS; GLOBAL OCEAN</t>
  </si>
  <si>
    <t>FRONTIERS MEDIA SA</t>
  </si>
  <si>
    <t>LAUSANNE</t>
  </si>
  <si>
    <t>FRONT MAR SCI</t>
  </si>
  <si>
    <t>Front. Mar. Sci.</t>
  </si>
  <si>
    <t>dimethylsulfide (DMS); eutrophication; ocean acidification; coastal waters; Phaeocystis; modeling</t>
  </si>
  <si>
    <t>SOUTHERN NORTH-SEA; DRAINAGE NETWORK; CLIMATE-CHANGE; CO2; SULFUR; PHYTOPLANKTON; LIMITATION; NITROGEN; CARBON; DIMETHYLSULFONIOPROPIONATE</t>
  </si>
  <si>
    <t>J ENVIRON QUAL</t>
  </si>
  <si>
    <t>J. Environ. Qual.</t>
  </si>
  <si>
    <t>NORTHEASTERN UNITED-STATES; CRITICAL LOADS; ACIDIC DEPOSITION; NUTRIENT ENRICHMENT; ADIRONDACK REGION; SURFACE WATERS; FOREST SOILS; ACIDIFICATION; MERCURY; LIMITATION</t>
  </si>
  <si>
    <t>FRONT ECOL ENVIRON</t>
  </si>
  <si>
    <t>Front. Ecol. Environ.</t>
  </si>
  <si>
    <t>BIOLOGICAL INVASIONS; PLANT; COSTS; INTRODUCTIONS; PERCEPTIONS; MANAGEMENT; BLACK</t>
  </si>
  <si>
    <t>CLIMATE-CHANGE; BIOLOGICAL INVASIONS; WILD MEAT; LAND-USE; CONSERVATION; DEFORESTATION; SUSTAINABILITY; FORESTS; TERRESTRIAL; EXTINCTION</t>
  </si>
  <si>
    <t>biomass accumulation; carbon sequestration; cultivation history; deforestation; life-history turnover; phosphorus; shafting cultivation; tropical secondary rain forest; West Kalimantan; Indonesian borneo</t>
  </si>
  <si>
    <t>LAND-USE; TROPICAL FORESTS; PHOSPHORUS LIMITATION; NUTRIENT LIMITATION; SECONDARY FORESTS; SOIL-PHOSPHORUS; DYNAMICS; CARBON; SUCCESSION; AGRICULTURE</t>
  </si>
  <si>
    <t>shorebirds; intertidal habitat; climate change; sea-level rise</t>
  </si>
  <si>
    <t>COAST</t>
  </si>
  <si>
    <t>WATERBIRD SOC</t>
  </si>
  <si>
    <t>LAND-COVER CHANGE; POPULATION; PATTERNS</t>
  </si>
  <si>
    <t>AIR ACT AMENDMENTS; FORESTED WATERSHEDS; ATMOSPHERIC DEPOSITION; NITROGEN SATURATION; SULFATE DEPOSITION; SURFACE WATERS; DRY DEPOSITION; CLIMATE-CHANGE; NORTH-AMERICA; HUBBARD-BROOK</t>
  </si>
  <si>
    <t>invasive pests; forest insects; forest pathogens; feeding guild; detection rates</t>
  </si>
  <si>
    <t>NORTH-AMERICA; BIOLOGICAL INVASIONS; PHYTOPHAGOUS INSECTS; INTERNATIONAL-TRADE; TEMPORAL TRENDS; WOODY-PLANTS; ARTHROPODS; ECOSYSTEMS; COLEOPTERA; MANAGEMENT</t>
  </si>
  <si>
    <t>AMER INST BIOLOGICAL SCI</t>
  </si>
  <si>
    <t>FORAGE FISH; AQUACULTURE; ANTHROPOCENE; EMERGENCE; IMPACTS; RESILIENCE; SYSTEMS; COMMONS; FOOD</t>
  </si>
  <si>
    <t>MAY 27</t>
  </si>
  <si>
    <t>DENSITY POLYETHYLENE; MARINE DEBRIS; MICROPLASTICS; INGESTION; ACCUMULATION; TRANSPORT; CHEMICALS; ENVIRONMENT; BACTERIA; LIFE</t>
  </si>
  <si>
    <t>DEC 10</t>
  </si>
  <si>
    <t>ACUTE TOXICITY; NEONICOTINOID INSECTICIDES; SYSTEMIC INSECTICIDE; RISK-ASSESSMENT; HONEY-BEES; PESTICIDES; EXPOSURE; FIPRONIL; ECOSYSTEMS</t>
  </si>
  <si>
    <t>MAY 1</t>
  </si>
  <si>
    <t>URBAN FUTURES MODEL; COVER CHANGE; AVOIDED DEFORESTATION; ALTERNATIVE FUTURES; PROTECTED AREAS; AGRICULTURE; DYNAMICS; CONSERVATION; 2ND-GENERATION; URBANIZATION</t>
  </si>
  <si>
    <t>aerosol; aerosol optical depth; AOD; particulate matter; PM2.5</t>
  </si>
  <si>
    <t>IMAGING SPECTRORADIOMETER MISR; GROUND-LEVEL PM2.5; AIR-POLLUTION; UNITED-STATES; MORTALITY; THICKNESS; NETWORK; AERONET</t>
  </si>
  <si>
    <t>US DEPT HEALTH HUMAN SCIENCES PUBLIC HEALTH SCIENCE</t>
  </si>
  <si>
    <t>RES TRIANGLE PK</t>
  </si>
  <si>
    <t>ENVIRON HEALTH PERSP</t>
  </si>
  <si>
    <t>Environ. Health Perspect.</t>
  </si>
  <si>
    <t>Environmental Sciences &amp; Ecology; Public, Environmental &amp; Occupational Health; Toxicology</t>
  </si>
  <si>
    <t>PACIFIC-OCEAN</t>
  </si>
  <si>
    <t>AMER METEOROLOGICAL SOC</t>
  </si>
  <si>
    <t>BOSTON</t>
  </si>
  <si>
    <t>B AM METEOROL SOC</t>
  </si>
  <si>
    <t>Bull. Amer. Meteorol. Soc.</t>
  </si>
  <si>
    <t>TO-INTERANNUAL PREDICTION; SEA-SURFACE TEMPERATURE; ATMOSPHERIC CIRCULATION; CLIMATE-CHANGE; PRECIPITATION; VARIABILITY; SST; RAINFALL; IMPACTS; SKILL</t>
  </si>
  <si>
    <t>INTERNATIONAL-TRADE; POLLUTION; AGREEMENTS; POLICY</t>
  </si>
  <si>
    <t>MIT PRESS</t>
  </si>
  <si>
    <t>REV ECON STAT</t>
  </si>
  <si>
    <t>Rev. Econ. Stat.</t>
  </si>
  <si>
    <t>Business &amp; Economics; Mathematical Methods In Social Sciences</t>
  </si>
  <si>
    <t>consumption; industrial ecology; materials flow analysis (MFA); natural resources; resource extraction; sustainable resource use</t>
  </si>
  <si>
    <t>J IND ECOL</t>
  </si>
  <si>
    <t>J. Ind. Ecol.</t>
  </si>
  <si>
    <t>FAL</t>
  </si>
  <si>
    <t>biogeochemistry; calcification; carbon dioxide; climate change; coral; ecosystem</t>
  </si>
  <si>
    <t>ACID-BASE-BALANCE; COCCOLITHOPHORID EMILIANIA-HUXLEYI; CALCIUM-CARBONATE SATURATION; EELGRASS ZOSTERA-MARINA; GREAT-BARRIER-REEF; INORGANIC CARBON; CLIMATE-CHANGE; CORAL-REEF; PARTIAL-PRESSURE; MASSIVE PORITES</t>
  </si>
  <si>
    <t>ANNUAL REVIEWS</t>
  </si>
  <si>
    <t>PALO ALTO</t>
  </si>
  <si>
    <t>ANNU REV MAR SCI</t>
  </si>
  <si>
    <t>Annu. Rev. Mar. Sci.</t>
  </si>
  <si>
    <t>ocean heat content; polar ice sheets; climate change; isostatic adjustment</t>
  </si>
  <si>
    <t>MASS-BALANCE; SATELLITE ALTIMETRY; DECADAL VARIABILITY; ICE CAPS; RISE; PATTERNS; GLACIERS; TRENDS; SUBSIDENCE; COASTAL</t>
  </si>
  <si>
    <t>sea level rise; climate change; land ice melt; ocean warming</t>
  </si>
  <si>
    <t>ICE MASS-LOSS; SATELLITE ALTIMETRY; WATER STORAGE; GREENLAND; BALANCE; GRACE; IMPACT; SHEETS; TEMPERATURE; BUDGET</t>
  </si>
  <si>
    <t>biological invasions; early detection; ecological and economic impacts; novel ecosystems; pathway and vector management; rapid response; risk assessment</t>
  </si>
  <si>
    <t>ALIEN PLANT INVASIONS; RISK-ASSESSMENT; BIOLOGICAL INVASIONS; ECOSYSTEM SERVICES; SOUTH-AFRICA; RIPARIAN RESTORATION; IMPACT; ERADICATION; DIVERSITY; FISHES</t>
  </si>
  <si>
    <t>ANNU REV ENV RESOUR</t>
  </si>
  <si>
    <t>Annu. Rev. Environ. Resour</t>
  </si>
  <si>
    <t>aquatic invasive species; climate change; ecosystem services; freshwater biogeochemistry; land-use change; natural capital</t>
  </si>
  <si>
    <t>ORGANIC-CARBON; ENVIRONMENTAL-CHANGE; GLOBAL CONSEQUENCES; SIZE-DISTRIBUTION; GREENHOUSE GASES; SURFACE WATERS; SOIL-EROSION; FISH HABITAT; RIVER; LAKE</t>
  </si>
  <si>
    <t>CLIMATE-CHANGE IMPACTS; CORAL-REEFS; ELEVATED-TEMPERATURE; CARBONATE CHEMISTRY; INFECTIOUS-DISEASES; COASTAL PROTECTION; ACIDIFICATION; FISHERIES; RESPONSES; SEA</t>
  </si>
  <si>
    <t>AMER ASSOC ADVANCEMENT SCIENCE</t>
  </si>
  <si>
    <t>JUL 3</t>
  </si>
  <si>
    <t>BIOTIC HOMOGENIZATION; BIODIVERSITY CHANGE; INTRODUCTIONS; DISTRIBUTIONS; SIMILARITY; EXTINCTION; PATTERNS; REGIONS</t>
  </si>
  <si>
    <t>JUN 12</t>
  </si>
  <si>
    <t>SUBTROPICAL GYRE; DEBRIS; ACCUMULATION</t>
  </si>
  <si>
    <t>FEB 13</t>
  </si>
  <si>
    <t>LAND-USE; BRAZILIAN AMAZON; CONSERVATION; FRONTIER; FORESTS; CLIMATE; FIRE</t>
  </si>
  <si>
    <t>JUN 6</t>
  </si>
  <si>
    <t>MARINE-ENVIRONMENT; PACIFIC-OCEAN; DEBRIS; TRANSPORT; SURFACE; SEA; TAR; INVASIONS; CHEMICALS; WATERS</t>
  </si>
  <si>
    <t>SEP 3</t>
  </si>
  <si>
    <t>OCEAN ACIDIFICATION; HYDROGEN-SULFIDE; ERUPTIONS; RESPONSES</t>
  </si>
  <si>
    <t>JUN 18</t>
  </si>
  <si>
    <t>CONSERVATION; FOREST; IMPACT; BIRDS</t>
  </si>
  <si>
    <t>MAY 28</t>
  </si>
  <si>
    <t>CLIMATE-CHANGE; MASS-BALANCE; ICE; FUTURE</t>
  </si>
  <si>
    <t>TROPICAL CYCLONE ACTIVITY; NORTH-ATLANTIC; CLIMATE-CHANGE; VARIABILITY; SIMULATIONS</t>
  </si>
  <si>
    <t>JAN 22</t>
  </si>
  <si>
    <t>BIODIVERSITY LOSS; FISH; MANAGEMENT; RECOVERY; ESTUARIES; OCEAN</t>
  </si>
  <si>
    <t>JUL 31</t>
  </si>
  <si>
    <t>COASTAL; FISHERIES; BIODIVERSITY; CONSERVATION; OCEAN; WORLD; AQUACULTURE; DEPLETION; HOTSPOTS; THREATS</t>
  </si>
  <si>
    <t>AGRICULTURAL INTENSIFICATION; HUMAN APPROPRIATION; CLIMATE; CARBON; WATER; NITROGEN; IMPACT; DEFORESTATION; VULNERABILITY; URBANIZATION</t>
  </si>
  <si>
    <t>CALCIUM-CARBONATE; INORGANIC CARBON; ATLANTIC-OCEAN; PACIFIC-OCEAN; CALCIFICATION; FLUXES; DISSOLUTION; DIOXIDE; PARTICLES; CHEMISTRY</t>
  </si>
  <si>
    <t>JUL 16</t>
  </si>
  <si>
    <t>MOUNT-PINATUBO; LAND; INDEX; CO2</t>
  </si>
  <si>
    <t>MAY 31</t>
  </si>
  <si>
    <t>FLOW-ANALYSIS; LIFE-SPAN; MICROPLASTICS; ENVIRONMENTS; ECOSYSTEMS; FIBERS; STEEL; LAND</t>
  </si>
  <si>
    <t>SCI ADV</t>
  </si>
  <si>
    <t>SPATIAL-PATTERNS; FIRE; DEFORESTATION; CONSEQUENCES; ALASKA</t>
  </si>
  <si>
    <t>SEA-SURFACE TEMPERATURES; CENTRAL EQUATORIAL PACIFIC; EARTH SYSTEM MODEL; SOUTH CHINA SEA; WESTERN PACIFIC; CARBON-DIOXIDE; CALIFORNIA CURRENT; STATE DEPENDENCY; NORTH-ATLANTIC; MG/CA RATIOS</t>
  </si>
  <si>
    <t>TRANSITIONS; SUSTAINABILITY; DEFORESTATION; PREDICTION; ACCURACY; BIOMASS; IMAGERY; AREA</t>
  </si>
  <si>
    <t>FOREST FRAGMENTATION; BIODIVERSITY CONSERVATION; GENETIC CONSEQUENCES; PLANT-COMMUNITIES; SPECIES RICHNESS; EXTINCTION DEBT; LANDSCAPE; DYNAMICS; DISPERSAL; CONNECTIVITY</t>
  </si>
  <si>
    <t>oil palm; peatland carbon emissions; peatland conversion; plantation development; pulp wood production; tropical peatland</t>
  </si>
  <si>
    <t>PEAT SWAMP FOREST; KALIMANTAN; EMISSIONS; SUMATRA</t>
  </si>
  <si>
    <t>GCB BIOENERGY</t>
  </si>
  <si>
    <t>GCB Bioenergy</t>
  </si>
  <si>
    <t>Agriculture; Biotechnology &amp; Applied Microbiology; Energy &amp; Fuels</t>
  </si>
  <si>
    <t>POPUL DEV REV</t>
  </si>
  <si>
    <t>Popul. Dev. Rev.</t>
  </si>
  <si>
    <t>Calcification; carbonate chemistry; climate change; CO2; growth; meta-analysis; ocean acidification; ontogeny; pH; photosynthesis; reproduction</t>
  </si>
  <si>
    <t>AMORPHOUS CALCIUM-CARBONATE; CLIMATE-CHANGE; CORAL-REEFS; SEA-URCHIN; EMILIANIA-HUXLEYI; CO2 CONCENTRATION; INORGANIC CARBON; CALCIFICATION; TEMPERATURE; PHOTOSYNTHESIS</t>
  </si>
  <si>
    <t>ECOL LETT</t>
  </si>
  <si>
    <t>Ecol. Lett.</t>
  </si>
  <si>
    <t>conservation; extraction; harvest; matrix models; non-timber forest products; resource management; review; sustainable development</t>
  </si>
  <si>
    <t>BILIGIRI RANGAN HILLS; GEONOMA-MACROSTACHYS; POPULATION-STRUCTURE; COMMERCIAL PICKING; BANKSIA-HOOKERIANA; TROPICAL TREES; PALM; IMPACT; GROWTH; EXTRACTION</t>
  </si>
  <si>
    <t>carbon; carbon pool; peat; peat area; peat thickness; peat volume; tropical peatland</t>
  </si>
  <si>
    <t>FIRE EMISSIONS; SWAMP FOREST; HOLOCENE; KALIMANTAN; INDONESIA; BALANCE; RECORD; VEGETATION; DIOXIDE; FLUXES</t>
  </si>
  <si>
    <t>breakdown; ecosystem services; metabolism; nutrient cycling; water diversion</t>
  </si>
  <si>
    <t>EXTRACELLULAR ENZYME-ACTIVITY; NUTRIENT-UPTAKE; CLIMATE-CHANGE; MACROINVERTEBRATE COMMUNITIES; MEDITERRANEAN STREAM; FISH ASSEMBLAGES; FLOW REGULATION; ORGANIC-MATTER; RIVER; RETENTION</t>
  </si>
  <si>
    <t>acoustics; noise pollution,human disturbance; vocal communication; acoustic metrics; masking; physiology; behaviour; mitigation; fitness; conservation</t>
  </si>
  <si>
    <t>BOTTLE-NOSED DOLPHINS; PORPOISES PHOCOENA-PHOCOENA; CHICKADEES POECILE-ATRICAPILLUS; UNDERWATER DATA-TRANSMISSION; CHRONIC ANTHROPOGENIC NOISE; HERRING CLUPEA-HARENGUS; EVOKED VOCAL RESPONSES; ROAD TRAFFIC NOISE; URBAN NOISE; BEHAVIORAL-RESPONSES</t>
  </si>
  <si>
    <t>BIOL REV</t>
  </si>
  <si>
    <t>Biol. Rev.</t>
  </si>
  <si>
    <t>benzodiazepines; bioconcentration; contaminants; behaviour; ecological effects; Perca fluviatilis</t>
  </si>
  <si>
    <t>GENE-EXPRESSION; ENVIRONMENTAL RISK; FATHEAD MINNOW; FISH; FLUOXETINE; SEROTONIN; WATER; EXPOSURE; AGGRESSION; RESPONSES</t>
  </si>
  <si>
    <t>NOV 19</t>
  </si>
  <si>
    <t>persistent organic pollutants; marine debris; plastic production; landfill; microplastic</t>
  </si>
  <si>
    <t>SOUTHERN NORTH-SEA; MARINE DEBRIS; CONTINENTAL-SHELF; ISLAND SHORES; RESIN PELLETS; LITTER; TRANSPORT; ABUNDANCE; FLOOR; CHEMICALS</t>
  </si>
  <si>
    <t>JUL 27</t>
  </si>
  <si>
    <t>climate change; extreme events; sea-level rise; storms; flooding; greenhouse gases</t>
  </si>
  <si>
    <t>ATLANTIC THERMOHALINE CIRCULATION; GREENLAND ICE-SHEET; HURRICANE INTENSITY; MODEL; TEMPERATURE; PREDICTIONS; CYCLONES; IMPACT; CO2; UNCERTAINTIES</t>
  </si>
  <si>
    <t>PHILOS T R SOC A</t>
  </si>
  <si>
    <t>Philos. Trans. R. Soc. A-Math. Phys. Eng. Sci.</t>
  </si>
  <si>
    <t>Emiliania huxleyi; Gephyrocapsa oceanica; Chaetoceros affinis; ocean acidification; plasticity; reaction norm</t>
  </si>
  <si>
    <t>ADAPTATION; EVOLUTION</t>
  </si>
  <si>
    <t>BIOL LETTERS</t>
  </si>
  <si>
    <t>Biol. Lett.</t>
  </si>
  <si>
    <t>sulfur dioxide; global emissions; RCP; anthropogenic</t>
  </si>
  <si>
    <t>BIOMASS BURNING EMISSIONS; AEROSOL OPTICAL DEPTH; AIR-QUALITY; CHINA; PROJECTIONS; POLLUTANTS; SCENARIOS; GASES</t>
  </si>
  <si>
    <t>JAN-MAR</t>
  </si>
  <si>
    <t>deforestation; forest degradation; tropics; drivers; proximate causes; REDD; developing countries; forest transition model</t>
  </si>
  <si>
    <t>LAND</t>
  </si>
  <si>
    <t>IOP PUBLISHING LTD</t>
  </si>
  <si>
    <t>coupled human-natural systems; socio-economic disturbance; Chernobyl nuclear disaster; post-socialist land use change; transition economies; Soviet Union</t>
  </si>
  <si>
    <t>SUPPORT VECTOR MACHINES; FOREST COVER CHANGE; FARMLAND ABANDONMENT; CARBON; CLASSIFICATION; GLOBALIZATION; CONSEQUENCES; TRANSITION; ECOLOGY; SYSTEMS</t>
  </si>
  <si>
    <t>CMIP5; attribution; temperature; precipitation; Central England temperature</t>
  </si>
  <si>
    <t>TEMPERATURE EXTREMES; PRECIPITATION; INDEXES; CMIP5; UNCERTAINTIES; 20TH-CENTURY; TIME; 20TH</t>
  </si>
  <si>
    <t>epigenetic toxicity; Emerging contaminant (EC); pharmaceutical and personal care product (PPCP); environmental toxicology; prenatal toxicity; non-monotonicity</t>
  </si>
  <si>
    <t>ENDOCRINE-DISRUPTING CHEMICALS; BISPHENOL-A CONCENTRATIONS; ZEBRAFISH DANIO-RERIO; WASTE-WATER; PERFLUORINATED COMPOUNDS; ANTIBIOTIC-RESISTANCE; BREAST-MILK; HUMAN URINE; IN-VITRO; TRANSGENERATIONAL INHERITANCE</t>
  </si>
  <si>
    <t>CRIT REV ENV SCI TEC</t>
  </si>
  <si>
    <t>Crit. Rev. Environ. Sci. Technol.</t>
  </si>
  <si>
    <t>FEB 16</t>
  </si>
  <si>
    <t>BIOLOGICAL INVASIONS; PLANT INVASIONS; LAND-USE; ACCUMULATION; FRAMEWORK; PATHWAYS; PATTERNS; TRADE</t>
  </si>
  <si>
    <t>MAR 6</t>
  </si>
  <si>
    <t>hurricanes; climate change; floods</t>
  </si>
  <si>
    <t>CLIMATE-CHANGE</t>
  </si>
  <si>
    <t>NOV 28</t>
  </si>
  <si>
    <t>biodiversity; coral bleaching; dissolved oxygen; hypoxia; water quality</t>
  </si>
  <si>
    <t>BOCAS DEL TORO; OCEAN ACIDIFICATION; MARINE COMMUNITIES; CLIMATE-CHANGE; WATER-QUALITY; PHASE-SHIFTS; FISH KILL; HYPOXIA; PANAMA; LAGOONS</t>
  </si>
  <si>
    <t>APR 4</t>
  </si>
  <si>
    <t>virtual water; food trade; trade policy; sustainable agriculture; water saving</t>
  </si>
  <si>
    <t>CLIMATE-CHANGE; INTEGRATED MODEL; NORTHERN CHINA; TRADE; SUSTAINABILITY; TRANSFERS; STRESS</t>
  </si>
  <si>
    <t>APR 14</t>
  </si>
  <si>
    <t>global surface waters; insecticide contamination; agriculture; regulatory risk assessment; biodiversity</t>
  </si>
  <si>
    <t>PYRETHROID INSECTICIDES; RISK MITIGATION; PESTICIDES; FIELD; INVERTEBRATES; BIODIVERSITY; COMMUNITIES; ECOSYSTEMS; POLLUTION; TOXICITY</t>
  </si>
  <si>
    <t>MAY 5</t>
  </si>
  <si>
    <t>toxicity; effect thresholds; streams; river basins; ecological data</t>
  </si>
  <si>
    <t>INVERTEBRATE COMMUNITIES; RISK-ASSESSMENT; SURFACE-WATER; FISH; BIODIVERSITY; PESTICIDES; POLLUTANTS; TOXICITY; DEGRADATION; ENVIRONMENT</t>
  </si>
  <si>
    <t>environmental impacts; environmental risk assessment; plant protection products; macroinvertebrates; spatial scale</t>
  </si>
  <si>
    <t>ECOSYSTEM FUNCTIONS; MACROINVERTEBRATES; COMMUNITIES; SALINITY</t>
  </si>
  <si>
    <t>JUL 2</t>
  </si>
  <si>
    <t>ISI-MIP; WaterMIP</t>
  </si>
  <si>
    <t>INTEGRATED MODEL; BIAS CORRECTION; SURFACE-WATER; AVAILABILITY; IMPACT</t>
  </si>
  <si>
    <t>MAR 4</t>
  </si>
  <si>
    <t>agriculture; food; land use intensity; resource use; global carbon cycle</t>
  </si>
  <si>
    <t>LAND-USE; PLANETARY BOUNDARIES; TRANSFORMATION; CONSUMPTION; ECOSYSTEMS; BIOSPHERE; PATTERNS; FLOWS</t>
  </si>
  <si>
    <t>agriculture; land sparing; extensification; Brazilian Amazon</t>
  </si>
  <si>
    <t>LAND-USE CHANGE; BRAZILIAN AMAZON; AGRICULTURAL INTENSIFICATION; FORESTS; CONSEQUENCES; CONSERVATION; EXPANSION; REDD</t>
  </si>
  <si>
    <t>JAN 24</t>
  </si>
  <si>
    <t>land change; forest transition</t>
  </si>
  <si>
    <t>AGRICULTURAL INTENSIFICATION; FOOD SECURITY; SMALLHOLDER AGRICULTURE; FOREST TRANSITIONS; POPULATION GROWTH; PROTECTED AREAS; BILLION PEOPLE; UNITED-STATES; DEFORESTATION; CONSERVATION</t>
  </si>
  <si>
    <t>MAR 1</t>
  </si>
  <si>
    <t>biodiversity conservation; carbon emissions; reducing emissions from deforestation and forest degradation sustainability; tropical forest degradation</t>
  </si>
  <si>
    <t>GREENHOUSE-GAS EMISSIONS; LAND-USE; DEFORESTATION; MANAGEMENT; ECONOMICS; IMPACTS; BANDITS; ROADS; WOOD</t>
  </si>
  <si>
    <t>AUG 17</t>
  </si>
  <si>
    <t>deforestation; expansion pathways; cropland; biofuels; carbon emissions</t>
  </si>
  <si>
    <t>OIL PALM; DEFORESTATION; EMISSIONS; CROPLANDS; REGROWTH; BIOFUELS</t>
  </si>
  <si>
    <t>SEP 21</t>
  </si>
  <si>
    <t>endocrine disrupters; fathead minnow; municipal wastewaters; population-level effects; whole-lake experiment</t>
  </si>
  <si>
    <t>MINNOW PIMEPHALES-PROMELAS; EXPERIMENTAL ACIDIFICATION; WASTE-WATER; FATHEAD MINNOWS; LIFE-CYCLE; WILD; LAKE; ETHINYLESTRADIOL; ETHYNYLESTRADIOL; IDENTIFICATION</t>
  </si>
  <si>
    <t>MAY 22</t>
  </si>
  <si>
    <t>land-cover change; forest degradation; remote sensing; landscape; monitoring; tropical forest; deforestation; Africa</t>
  </si>
  <si>
    <t>LANDSAT MSS IMAGERY; COVER CHANGE; BIDIRECTIONAL REFLECTANCE; VEGETATION STRUCTURE; SURFACE-TEMPERATURE; SATELLITE DATA; AVHRR DATA; DEFORESTATION; MODELS; PHENOLOGY</t>
  </si>
  <si>
    <t>MAY-JUL</t>
  </si>
  <si>
    <t>SEA-SURFACE TEMPERATURE; CLIMATE-CHANGE; FUTURE; SUSCEPTIBILITY; VARIABILITY; RESISTANCE; IMPACTS; REFUGIA</t>
  </si>
  <si>
    <t>SCI REP-UK</t>
  </si>
  <si>
    <t>Sci Rep</t>
  </si>
  <si>
    <t>DEC 6</t>
  </si>
  <si>
    <t>POLYBROMINATED DIPHENYL ETHERS; RESIN PELLETS; SEA-FLOOR; MARINE; MICROPLASTICS; ACCUMULATION; INGESTION; POLLUTION; ENVIRONMENT; POLLUTANTS</t>
  </si>
  <si>
    <t>SEP 24</t>
  </si>
  <si>
    <t>IMPACT; SIZE; EXTINCTION; LANDSCAPES; CHALLENGES; AGREEMENT; FRAMEWORK; DISCHARGE; ACCURACY; ROADS</t>
  </si>
  <si>
    <t>NATURE PUBLISHING GROUP</t>
  </si>
  <si>
    <t>SCI DATA</t>
  </si>
  <si>
    <t>Sci. Data</t>
  </si>
  <si>
    <t>AUG 23</t>
  </si>
  <si>
    <t>PLANT INVASIONS; PATTERNS; BIODIVERSITY; DIVERSITY; ANT; ESTABLISHMENT; BIOGEOGRAPHY; IMPACTS; RISK</t>
  </si>
  <si>
    <t>NAT ECOL EVOL</t>
  </si>
  <si>
    <t>Nat. Ecol. Evol.</t>
  </si>
  <si>
    <t>Environmental Sciences &amp; Ecology; Evolutionary Biology</t>
  </si>
  <si>
    <t>CARBON; DECOMPOSITION; NUTRIENTS; NITROGEN; COVER</t>
  </si>
  <si>
    <t>NAT GEOSCI</t>
  </si>
  <si>
    <t>Nat. Geosci.</t>
  </si>
  <si>
    <t>HURRICANE INTENSITY; NORTH-ATLANTIC; VARIABILITY; FREQUENCY; TRENDS; PRECIPITATION; REDUCTION; IMPACT; MODEL</t>
  </si>
  <si>
    <t>CLIMATE-CHANGE; SOLAR; VARIABILITY; RECONSTRUCTIONS; SIMULATIONS; MILLENNIUM; ORIGINS; MODEL</t>
  </si>
  <si>
    <t>ECOSYSTEM-BASED MANAGEMENT; MARINE; SUSTAINABILITY; BIODIVERSITY; STRESSORS; AREAS; MAP</t>
  </si>
  <si>
    <t>MICROPLASTICS; DEBRIS; PROFILE; SYSTEM; WATER; LAND</t>
  </si>
  <si>
    <t>BIOLOGICAL INVASIONS; PLANT INVASIONS; BIODIVERSITY; BIOGEOGRAPHY; PATHWAYS; FRAMEWORK; FUTURE; POLICY; TRADE</t>
  </si>
  <si>
    <t>PLANT INVASIONS; BIOLOGICAL INVASIONS; UNITED-STATES; BIODIVERSITY; TRADE; RISK; RICHNESS; PATHWAYS; DISTURBANCE; DISPERSAL</t>
  </si>
  <si>
    <t>EL-NINO; BANGLADESH; PACIFIC; IMPACTS; WEATHER; OCEAN; ENSO</t>
  </si>
  <si>
    <t>NAT CLIM CHANGE</t>
  </si>
  <si>
    <t>Nat. Clim. Chang.</t>
  </si>
  <si>
    <t>DMS CYCLE; CLIMATE; CO2; SENSITIVITY; ATMOSPHERE</t>
  </si>
  <si>
    <t>GREENLAND</t>
  </si>
  <si>
    <t>MODELS</t>
  </si>
  <si>
    <t>NOV 12</t>
  </si>
  <si>
    <t>FINE PARTICULATE MATTER; CIRCULATION MODEL ECHAM5/MESSY1; ATMOSPHERIC CHEMISTRY; TECHNICAL NOTE; CLIMATE-CHANGE; HUMAN HEALTH; BURDEN; EMISSIONS; SUBMODEL; DISEASE</t>
  </si>
  <si>
    <t>SEP 17</t>
  </si>
  <si>
    <t>MIGRATION CAPACITY; PROTECTED AREAS; CHANGE IMPACTS; DISPERSAL; MOUNTAIN; SYSTEMS; FOREST; SHIFTS; BIRDS; USA</t>
  </si>
  <si>
    <t>DEC 24</t>
  </si>
  <si>
    <t>PAST 800,000 YEARS; 8 GLACIAL CYCLES; C ICE CORE; ATMOSPHERIC CO2; CLIMATE VARIABILITY; BIPOLAR SEESAW; ANTARCTICA; MODEL; CIRCULATION; GREENLAND</t>
  </si>
  <si>
    <t>MAY 15</t>
  </si>
  <si>
    <t>HUMAN-POPULATION; ENERGY USE; HOTSPOTS</t>
  </si>
  <si>
    <t>JAN 30</t>
  </si>
  <si>
    <t>MARINE RESERVES; TROPHIC CASCADES; STOCK ASSESSMENT; NORTHERN COD; FISH STOCKS; MANAGEMENT; CONSERVATION; ECOSYSTEMS; RESOURCES; COLLAPSE</t>
  </si>
  <si>
    <t>AUG 8</t>
  </si>
  <si>
    <t>NORTHEASTERN US; SURFACE WATERS; DEPOSITION; LAKES; DROUGHT; SULFUR; WET</t>
  </si>
  <si>
    <t>OCT 7</t>
  </si>
  <si>
    <t>DISPERSAL; ISLAND</t>
  </si>
  <si>
    <t>APR 25</t>
  </si>
  <si>
    <t>adaptation; climate change; extreme weather; vulnerability</t>
  </si>
  <si>
    <t>3-6 JUNE 1997; INDEXES; INDICATORS; ASHEVILLE; WORKSHOP; USA; NC; FLUCTUATIONS; INTENSITY; IMPACTS</t>
  </si>
  <si>
    <t>NAT HAZARDS</t>
  </si>
  <si>
    <t>Nat. Hazards</t>
  </si>
  <si>
    <t>Geology; Meteorology &amp; Atmospheric Sciences; Water Resources</t>
  </si>
  <si>
    <t>acidification; benthic invertebrates; fish; lakes; logistic models; loons; Nova Scotia; Ontario; Quebec; regression models; zooplankton</t>
  </si>
  <si>
    <t>CRUSTACEAN ZOOPLANKTON COMMUNITIES; SURFACE-WATER ACIDIFICATION; BIOLOGICAL RECOVERY; EASTERN CANADA; NEW-YORK; NORTH-AMERICA; INLAND LAKES; ONTARIO; FISH; TRENDS</t>
  </si>
  <si>
    <t>ENVIRON MONIT ASSESS</t>
  </si>
  <si>
    <t>Environ. Monit. Assess.</t>
  </si>
  <si>
    <t>OCT-NOV</t>
  </si>
  <si>
    <t>recovery; water chemistry; long-term trends; acidification</t>
  </si>
  <si>
    <t>NORTHEASTERN US; RECOVERY; QUALITY</t>
  </si>
  <si>
    <t>AUG-SEP</t>
  </si>
  <si>
    <t>forest ecosystem; calcium biogeochemistry; soil chemistry; weathering; stream chemistry; wet and dry deposition; forest disturbance; landscape patterns</t>
  </si>
  <si>
    <t>NORTHERN HARDWOOD FOREST; NORTHEASTERN UNITED-STATES; WHOLE-TREE HARVEST; NEW-HAMPSHIRE; ACIDIC DEPOSITION; ATMOSPHERIC DEPOSITION; EXCHANGEABLE CATIONS; ROOT DECOMPOSITION; TISSUE CHEMISTRY; NUTRIENT BUDGETS</t>
  </si>
  <si>
    <t>SOLID-PHASE EXTRACTION; MULTI-RESIDUE METHOD; LIQUID-CHROMATOGRAPHY; WASTE-WATER; MULTIRESIDUE ANALYSIS; AQUEOUS SAMPLES; RISK-ASSESSMENT; GROUNDWATER; FUNGICIDES; RIVER</t>
  </si>
  <si>
    <t>MAY 20</t>
  </si>
  <si>
    <t>LONG-TERM; SURFACE RUNOFF; WATER EROSION; PHOSPHORUS; TRANSPORT; NUTRIENT; TILLAGE; ENGLAND; LOSSES; CARBON</t>
  </si>
  <si>
    <t>FOREST MAMMALS; ITURI FOREST; RAIN-FORESTS; BIOMASS; HERBIVORES; ABUNDANCE; EXPLOITATION; AGRICULTURE; VERTEBRATES; EXTINCTION</t>
  </si>
  <si>
    <t>Gaseous emission; Climate change mitigation; Sustainable development; Accelerated soilerosion; Geologic erosion; Food security; Eutrophication; Sedimentation; Water quality; Biodiversity</t>
  </si>
  <si>
    <t>HORQIN SANDY LAND; ORGANIC-CARBON; SPATIAL VARIABILITY; WATER EROSION; DEGRADED LAND; RESTORATION; LOSSES; HILLSLOPE; DYNAMICS; FOREST</t>
  </si>
  <si>
    <t>KEAI PUBLISHING LTD</t>
  </si>
  <si>
    <t>BEIJING</t>
  </si>
  <si>
    <t>INT SOIL WATER CONSE</t>
  </si>
  <si>
    <t>Int. Soil Water Conserv. Res.</t>
  </si>
  <si>
    <t>Environmental Sciences &amp; Ecology; Agriculture; Water Resources</t>
  </si>
  <si>
    <t>externalities; agriculture; water pollution; health; pesticides; biodiversity; food poisoning; policies</t>
  </si>
  <si>
    <t>ECONOMIC COSTS; BENEFITS; SOIL; MITIGATION; ENGLAND</t>
  </si>
  <si>
    <t>AGR SYST</t>
  </si>
  <si>
    <t>Agric. Syst.</t>
  </si>
  <si>
    <t>Daphnia; Desmodesmus; pharmaceuticals; mixture toxicity; concentration addition; QSAR; narcosis</t>
  </si>
  <si>
    <t>SURFACE WATERS; PHARMACEUTICAL RESIDUES; AQUATIC ENVIRONMENT; DRINKING-WATER; FATE; SEWAGE; COMBINATION; SUBSTANCES; INHIBITION; POLLUTANTS</t>
  </si>
  <si>
    <t>ECOTOX ENVIRON SAFE</t>
  </si>
  <si>
    <t>Ecotox. Environ. Safe.</t>
  </si>
  <si>
    <t>Environmental Sciences &amp; Ecology; Toxicology</t>
  </si>
  <si>
    <t>Micropollutant; River; Biosolids; Pharmaceutical; Chiral; Wastewater</t>
  </si>
  <si>
    <t>WASTE-WATER TREATMENT; PERSONAL CARE PRODUCTS; SOLID-PHASE EXTRACTION; MICROWAVE-ASSISTED EXTRACTION; SUSPENDED PARTICULATE MATTER; FLIGHT MASS-SPECTROMETRY; SEWAGE-TREATMENT PLANTS; ILLICIT DRUG-USE; ACTIVATED-SLUDGE; DAPHNIA-MAGNA</t>
  </si>
  <si>
    <t>WATER RES</t>
  </si>
  <si>
    <t>Water Res.</t>
  </si>
  <si>
    <t>APR 1</t>
  </si>
  <si>
    <t>Engineering; Environmental Sciences &amp; Ecology; Water Resources</t>
  </si>
  <si>
    <t>PRODUCER RESPONSIBILITY; TAKE-BACK; EQUIPMENT; CHINA; PERSPECTIVES; DISPOSAL; SYSTEMS; REGION; FLOW</t>
  </si>
  <si>
    <t>WASTE MANAGE</t>
  </si>
  <si>
    <t>Waste Manage.</t>
  </si>
  <si>
    <t>biosecurity; community and ecosystem impact; eradication; long-term management; societal perception</t>
  </si>
  <si>
    <t>EXOTIC PLANT INVASIONS; FRESH-WATER FISH; INTRODUCED PREDATORS; ECOSYSTEM RESPONSES; ECOLOGICAL IMPACTS; BIODIVERSITY; COMMUNITIES; FORESTS; ESTABLISHMENT; EXTINCTION</t>
  </si>
  <si>
    <t>Chemical; Risk; Ranking; Freshwater; Metals; Organics</t>
  </si>
  <si>
    <t>ORGANIC MICROCONTAMINANTS; PRIORITIZATION; QUALITY; MICROPOLLUTANTS; POLLUTANTS; HEALTH; RIVERS</t>
  </si>
  <si>
    <t>Water quality; Ecosystem functioning; Ecosystem services; Modelling; Climate scenarios; Improved management</t>
  </si>
  <si>
    <t>CLIMATE-CHANGE; RIVER; MANAGEMENT; SCENARIOS; QUALITY; EUROPE</t>
  </si>
  <si>
    <t>Soil erosion; Sediment; Sediment borne pollutants; Erosion control effectiveness; Risk reduction policy</t>
  </si>
  <si>
    <t>LOWLAND AGRICULTURAL CATCHMENTS; FLUVIAL SUSPENDED SEDIMENT; TERM MANAGEMENT IMPACTS; DIFFUSE POLLUTION; ORGANIC-MATTER; SURFACE RUNOFF; SOUTH DOWNS; CULTIVATION PRACTICE; PHYSICAL FERTILITY; FOREST MANAGEMENT</t>
  </si>
  <si>
    <t>Review; Pharmaceuticals and hormones; Surface water; Occurrence; Fate</t>
  </si>
  <si>
    <t>PERSONAL CARE PRODUCTS; TANDEM MASS-SPECTROMETRY; SOLID-PHASE EXTRACTION; ENDOCRINE-DISRUPTING COMPOUNDS; SEWAGE-TREATMENT PLANTS; RAY CONTRAST-MEDIA; PEARL RIVER-DELTA; WASTE-WATER; DRINKING-WATER; AQUATIC ENVIRONMENT</t>
  </si>
  <si>
    <t>NOV 15</t>
  </si>
  <si>
    <t>Agricultural abandonment; Change detection; Eastern Europe and the former Soviet Union; Fallow land; Farmland; Landsat; Land use and land cover change; MODIS; Phenology; Support vector machines; SVM; Time series</t>
  </si>
  <si>
    <t>GLOBAL LAND-COVER; TIME-SERIES; LANDSCAPE STRUCTURE; FOREST TRANSITIONS; CLASSIFICATION; DYNAMICS; CONSERVATION; CONSEQUENCES; VEGETATION; ACCURACY</t>
  </si>
  <si>
    <t>ELSEVIER SCIENCE INC</t>
  </si>
  <si>
    <t>REMOTE SENS ENVIRON</t>
  </si>
  <si>
    <t>Remote Sens. Environ.</t>
  </si>
  <si>
    <t>Environmental Sciences &amp; Ecology; Remote Sensing; Imaging Science &amp; Photographic Technology</t>
  </si>
  <si>
    <t>nutrient losses; soil erosion; tillage; water quality</t>
  </si>
  <si>
    <t>PHYS CHEM EARTH</t>
  </si>
  <si>
    <t>Phys. Chem. Earth</t>
  </si>
  <si>
    <t>Anthropogenic; Conservation; Ecology; Marine; Ocean noise; Policy; Shipping</t>
  </si>
  <si>
    <t>PREY ABUNDANCE; OCEAN NOISE; SHIP NOISE; DISTURBANCE; CETACEANS; SOUND; RESPONSES; SURVIVAL; MAMMALS; WHALES</t>
  </si>
  <si>
    <t>OCEAN COAST MANAGE</t>
  </si>
  <si>
    <t>Ocean Coastal Manage.</t>
  </si>
  <si>
    <t>Microplastics; Mesoplastics; Field survey; Total particle count</t>
  </si>
  <si>
    <t>MARINE-ENVIRONMENT; PLASTIC DEBRIS; PACIFIC-OCEAN; CHINA; TRANSPORT; BEACHES; IMPACT</t>
  </si>
  <si>
    <t>DEC 30</t>
  </si>
  <si>
    <t>Land use intensity; Intensification; Extensification; Landscape structure; Land abandonment</t>
  </si>
  <si>
    <t>LANDSCAPE CHANGES; FARM CHARACTERISTICS; CROSS-COMPLIANCE; SLOPING LAND; INTENSIFICATION; BIODIVERSITY; CONSEQUENCES; PRODUCTIVISM; CONSERVATION; PERSPECTIVES</t>
  </si>
  <si>
    <t>NOV 30</t>
  </si>
  <si>
    <t>Biodiversity; Land management; Wildlife management; Land cover; Land use monitoring</t>
  </si>
  <si>
    <t>COVER CHANGE; CONSERVATION; SURVEILLANCE; DEGRADATION; LANDSCAPES; QUESTIONS; DIVERSITY; PROVISION; HABITATS; PATTERNS</t>
  </si>
  <si>
    <t>Land use; Agricultural intensification; Land abandonment; Systematic review; Trajectories; Farming</t>
  </si>
  <si>
    <t>AGRI-ENVIRONMENTAL MEASURES; LIVESTOCK FARMING SYSTEMS; NATURAL FOREST REGROWTH; DRIVING FORCES; LANDSCAPE CHANGE; ECOSYSTEM SERVICES; DECISION-MAKING; SWISS MOUNTAINS; COVER CHANGE; ABANDONMENT</t>
  </si>
  <si>
    <t>LANDSCAPE URBAN PLAN</t>
  </si>
  <si>
    <t>Landsc. Urban Plan.</t>
  </si>
  <si>
    <t>Environmental Sciences &amp; Ecology; Geography; Physical Geography; Public Administration; Urban Studies</t>
  </si>
  <si>
    <t>Pharmaceuticals; Sources; Environmental fate; Ecotoxicological effects</t>
  </si>
  <si>
    <t>SOLID-PHASE EXTRACTION; PERSONAL-CARE PRODUCTS; SEWAGE-TREATMENT PLANTS; TANDEM MASS-SPECTROMETRY; WASTE-WATER CONTAMINANTS; RAY CONTRAST-MEDIA; ENDOCRINE DISRUPTING CHEMICALS; SEROTONIN REUPTAKE INHIBITORS; LIFE-CYCLE EXPOSURE; LIQUID-CHROMATOGRAPHY</t>
  </si>
  <si>
    <t>J HAZARD MATER</t>
  </si>
  <si>
    <t>J. Hazard. Mater.</t>
  </si>
  <si>
    <t>MAR 15</t>
  </si>
  <si>
    <t>Decoupling; Economic development; Material and energy use; Carbon emissions; Footprint; Integrated modelling</t>
  </si>
  <si>
    <t>SUSTAINABLE DEVELOPMENT; ELECTRICITY-GENERATION; CONSUMPTION; FOOTPRINT; FLOWS; MODEL</t>
  </si>
  <si>
    <t>SEP 20</t>
  </si>
  <si>
    <t>SUSTAINABLE INTENSIFICATION; CARBON; SAVANNAS; FLUXES</t>
  </si>
  <si>
    <t>J ARID ENVIRON</t>
  </si>
  <si>
    <t>J. Arid. Environ.</t>
  </si>
  <si>
    <t>sea-level changes; climate change; Indian Ocean; Pacific Ocean</t>
  </si>
  <si>
    <t>SURFACE TEMPERATURE; TIDE GAUGES; FUTURE; PERSPECTIVES; VARIABILITY; MALDIVES; HAWAII</t>
  </si>
  <si>
    <t>Land use; Dietary patterns; Land displacement; Food security</t>
  </si>
  <si>
    <t>FOOD SECURITY; CROP YIELD; GLOBALIZATION; EMISSIONS; FEED; MEAT; INTENSIFICATION; DISPLACEMENT; CONSUMPTION; BIOFUELS</t>
  </si>
  <si>
    <t>GLOBAL ENVIRON CHANG</t>
  </si>
  <si>
    <t>Glob. Environ. Change-Human Policy Dimens.</t>
  </si>
  <si>
    <t>Environmental Sciences &amp; Ecology; Geography</t>
  </si>
  <si>
    <t>Embodied emissions; Footprint; Trade; MRIO; Input-output</t>
  </si>
  <si>
    <t>CARBON FOOTPRINT; CO2 EMISSIONS; CONSUMPTION; GROWTH; UK</t>
  </si>
  <si>
    <t>Land use change; Swidden cultivation; Drivers; Impacts; Forest-agriculture frontiers; Metaanalysis</t>
  </si>
  <si>
    <t>LAND-USE CHANGES; SLASH-AND-BURN; CALAKMUL BIOSPHERE RESERVE; SHIFTING CULTIVATION; SOUTHEAST-ASIA; COVER CHANGE; USE DYNAMICS; ENVIRONMENTAL CONSEQUENCES; USE INTENSIFICATION; RURAL LIVELIHOODS</t>
  </si>
  <si>
    <t>surprise; abrupt climate change; thermobaline circulation; irreversibility; integrated assessment models</t>
  </si>
  <si>
    <t>THERMOHALINE CIRCULATION; INTEGRATED ASSESSMENT; VEGETATION SYSTEM; ATMOSPHERIC CO2; FRESH-WATER; DYNAMICS; INTENSITY; FREQUENCY; EVENTS; POLICY</t>
  </si>
  <si>
    <t>Economic development; Food consumption; Agricultural self-sufficiency; Cereal equivalents</t>
  </si>
  <si>
    <t>Agriculture; Business &amp; Economics; Food Science &amp; Technology; Nutrition &amp; Dietetics</t>
  </si>
  <si>
    <t>Tropical ecosystems; Charcoal production; Deforestation; Ecosystem services; Greenhouse gases</t>
  </si>
  <si>
    <t>WOODY BIOMASS STRUCTURE; MIOMBO WOODLAND; DRY-FOREST; SECONDARY VEGETATION; COPPICE GROWTH; LAND-COVER; DEFORESTATION; SOIL; DEGRADATION; REGENERATION</t>
  </si>
  <si>
    <t>ENERGY SUSTAIN DEV</t>
  </si>
  <si>
    <t>Energy Sustain Dev.</t>
  </si>
  <si>
    <t>Science &amp; Technology - Other Topics; Energy &amp; Fuels</t>
  </si>
  <si>
    <t>inorganic nitrogen pollution; aquatic ecosystems; ecological and toxicological effects; human risk; global assessment</t>
  </si>
  <si>
    <t>HARMFUL ALGAL BLOOMS; DOMOIC ACID PRODUCTION; NITZSCHIA-SERIATA BACILLARIOPHYCEAE; MUNICIPAL DRINKING-WATER; SHORT-TERM TOXICITY; BLUE-GREEN-ALGA; FRESH-WATER; PSEUDO-NITZSCHIA; ATMOSPHERIC DEPOSITION; ENVIRONMENTAL-FACTORS</t>
  </si>
  <si>
    <t>ENVIRON INT</t>
  </si>
  <si>
    <t>Environ. Int.</t>
  </si>
  <si>
    <t>Marine debris; Coastal; Oceanography; Wind shadow; Modelling; Sensitivity analysis</t>
  </si>
  <si>
    <t>EAST CHINA SEA; TRAWL WEB; DEBRIS; TRACKING; FATE; MICROPLASTICS; DISPERSION; INGESTION; DIFFUSION; TRANSPORT</t>
  </si>
  <si>
    <t>Water Quality Index; Distance-to-target; Hot-deck imputation; Environmental Performance Index</t>
  </si>
  <si>
    <t>TOOL; MANAGEMENT; STATE</t>
  </si>
  <si>
    <t>mesopelagic zone; marine ecology; microbial; metazoan; twilight zone</t>
  </si>
  <si>
    <t>NW MEDITERRANEAN SEA; RIBOSOMAL-RNA GENES; ZOOPLANKTON VERTICAL MIGRATION; PARTICLE-SIZE DISTRIBUTIONS; BIOGENIC SILICA DISSOLUTION; DISSOLVED ORGANIC-CARBON; GIANT LARVACEAN HOUSES; OXYGEN-MINIMUM ZONES; FREE-LIVING BACTERIA; ARABIAN-SEA</t>
  </si>
  <si>
    <t>DEEP-SEA RES PT II</t>
  </si>
  <si>
    <t>Deep-Sea Res. Part II-Top. Stud. Oceanogr.</t>
  </si>
  <si>
    <t>GREENHOUSE-GAS EMISSIONS; INTERNATIONAL-TRADE; FOREST TRANSITION; DEFORESTATION; BIOFUELS; TELECONNECTIONS; AGRICULTURE; LIVELIHOODS; PROSPECTS; CONSUMERS</t>
  </si>
  <si>
    <t>CURR OPIN ENV SUST</t>
  </si>
  <si>
    <t>Curr. Opin. Environ. Sustain.</t>
  </si>
  <si>
    <t>LAND-USE CHANGE; ANNUAL NET FLUX; SOIL CARBON; FIRE EMISSIONS; CO2; STOCKS; ATMOSPHERE; AMAZON</t>
  </si>
  <si>
    <t>Wetland; Biodiversity; Indicator; Ramsar; Aichi Target; Ecosystem loss</t>
  </si>
  <si>
    <t>BIODIVERSITY INDICATORS; EARTH OBSERVATION; PROGRESS; DIVERSITY; CHINA</t>
  </si>
  <si>
    <t>Pollution; Pharmaceuticals; Crustacea; Echinogammarus marinus; Amphipoda; Behaviour; Fluoxetine; Serotonin</t>
  </si>
  <si>
    <t>GAMMARUS-PULEX CRUSTACEA; BRAIN SEROTONERGIC ACTIVITY; BEHAVIORAL-RESPONSES; WASTE-WATER; ECHINOGAMMARUS-MERIDIONALIS; AQUATIC ENVIRONMENT; CHRONIC TOXICITY; PHARMACEUTICALS; FLUOXETINE; EFFLUENTS</t>
  </si>
  <si>
    <t>AQUAT TOXICOL</t>
  </si>
  <si>
    <t>Aquat. Toxicol.</t>
  </si>
  <si>
    <t>SEP 1</t>
  </si>
  <si>
    <t>Africa; Land cover change; High resolution satellite data; Sampling</t>
  </si>
  <si>
    <t>STRATEGIES; VALIDATION; MAP</t>
  </si>
  <si>
    <t>MORTALITY; TEMPERATURE; HEALTH; WAVE; IMPACTS; HEATSTROKE; MORBIDITY; RESPONSES; WEATHER; ILLNESS</t>
  </si>
  <si>
    <t>AM J PREV MED</t>
  </si>
  <si>
    <t>Am. J. Prev. Med.</t>
  </si>
  <si>
    <t>Public, Environmental &amp; Occupational Health; General &amp; Internal Medicine</t>
  </si>
  <si>
    <t>Water quality; Urban agriculture; Water scarcity; Water recycling; Water reuse</t>
  </si>
  <si>
    <t>REUSE; MANAGEMENT; CROP</t>
  </si>
  <si>
    <t>AGR WATER MANAGE</t>
  </si>
  <si>
    <t>Agric. Water Manage.</t>
  </si>
  <si>
    <t>Agriculture; Water Resources</t>
  </si>
  <si>
    <t>Sea-level rise; Climate change; Coasts; Extreme events; IPCC; Greenhouse</t>
  </si>
  <si>
    <t>ICE SHEETS; SUBSURFACE TEMPERATURE; ALTIMETRIC HEIGHT; STERIC HEIGHT; WATER STORAGE; MASS-BALANCE; HEAT-STORAGE; RISE; GREENLAND; OCEAN</t>
  </si>
  <si>
    <t>SPRINGER JAPAN KK</t>
  </si>
  <si>
    <t>TOKYO</t>
  </si>
  <si>
    <t>SUSTAIN SCI</t>
  </si>
  <si>
    <t>Sustain. Sci.</t>
  </si>
  <si>
    <t>Acute lower respiratory infections; Dust; Benin; Children; Sahara</t>
  </si>
  <si>
    <t>SAHARAN DUST; DESERT DUST; PARTICULATE MATTER; MINERAL DUST; WEST-AFRICA; IMPACTS; INFECTIONS; MORTALITY; POLLUTION; EVENTS</t>
  </si>
  <si>
    <t>SPRINGER INTERNATIONAL PUBLISHING AG</t>
  </si>
  <si>
    <t>Alien; Bird; Colonization pressure; Enemy release hypothesis; Invasion; John Long; Propagule pressure</t>
  </si>
  <si>
    <t>PROPAGULE PRESSURE; ESTABLISHMENT SUCCESS; PASSERINE INTRODUCTIONS; HISTORICAL RECORDS; GLOBAL PATTERNS; PLANT INVASIONS; LIFE-HISTORY; SOIL BIOTA; FRAMEWORK; RELEASE</t>
  </si>
  <si>
    <t>J ORNITHOL</t>
  </si>
  <si>
    <t>J. Ornithol.</t>
  </si>
  <si>
    <t>agricultural abandonment; cropland; forest transition; Carpathians; land use and land cover change; land reform; transition economies; change detection; support vector machines (SVM); remote sensing</t>
  </si>
  <si>
    <t>SUPPORT VECTOR MACHINES; LAND-COVER CHANGE; AGRICULTURAL LAND; IMAGE CLASSIFICATION; EASTERN-EUROPE; NEURAL-NETWORK; FOREST; REFORESTATION; TRANSITION; SCENARIOS</t>
  </si>
  <si>
    <t>agricultural irrigation; wetlands; wildlife conservation; water policy; environmental economics; ecosystem management</t>
  </si>
  <si>
    <t>SUSTAINABLE DEVELOPMENT; RISK ASSESSMENT; ARID AUSTRALIA; RIVER MURRAY; FRESH-WATER; ARAL SEA; WETLANDS; VALUES; CALIFORNIA; SELENIUM</t>
  </si>
  <si>
    <t>ENVIRON MANAGE</t>
  </si>
  <si>
    <t>Environ. Manage.</t>
  </si>
  <si>
    <t>FUTURE CHANGES; PRECIPITATION EXTREMES; DAILY TEMPERATURE; WIND SPEEDS; HEAT-WAVE; ENSEMBLE; ATLANTIC; IMPACT; SIMULATIONS; PROJECTIONS</t>
  </si>
  <si>
    <t>WIRES CLIM CHANGE</t>
  </si>
  <si>
    <t>Wiley Interdiscip. Rev.-Clim. Chang.</t>
  </si>
  <si>
    <t>ANUSPLIN; climate; error; GIS; interpolation; temperature; precipitation; uncertainty</t>
  </si>
  <si>
    <t>VARIABLES</t>
  </si>
  <si>
    <t>INT J CLIMATOL</t>
  </si>
  <si>
    <t>Int. J. Climatol.</t>
  </si>
  <si>
    <t>attribution; extreme value analysis; global historical climatology network; Hurricane Harvey; climate change</t>
  </si>
  <si>
    <t>CLIMATE; IMPACT</t>
  </si>
  <si>
    <t>GEOPHYS RES LETT</t>
  </si>
  <si>
    <t>Geophys. Res. Lett.</t>
  </si>
  <si>
    <t>DEC 28</t>
  </si>
  <si>
    <t>stress regimes; large aquifers; remote sensing; anthropogenic biomes; groundwater stress</t>
  </si>
  <si>
    <t>SYNTHETIC-APERTURE RADAR; GLOBAL WATER-RESOURCES; DESERT VADOSE ZONES; LAND-SURFACE SCHEME; HIGH-PLAINS AQUIFER; SAFE YIELD; TABLE DYNAMICS; CLIMATE-CHANGE; LOS-ANGELES; DEPLETION</t>
  </si>
  <si>
    <t>WATER RESOUR RES</t>
  </si>
  <si>
    <t>Water Resour. Res.</t>
  </si>
  <si>
    <t>Ocean warming; land ice melt; sea level rise; regional variability; coastal impacts; shoreline erosion</t>
  </si>
  <si>
    <t>SHEET MASS-BALANCE; ICE-SHEET; LAND SUBSIDENCE; RECONCILED ESTIMATE; BEACH EROSION; OCEAN; TIME; VARIABILITY; GLACIER; BUDGET</t>
  </si>
  <si>
    <t>Earth Future</t>
  </si>
  <si>
    <t>alien plants; biogeographical pattern; donor regions; Europe; habitat affinity; naturalization; neophytes; plant invasions; residence time; temporal trends</t>
  </si>
  <si>
    <t>PLANT INVASIONS; BIOLOGICAL INVASIONS; FLORISTIC HOMOGENIZATION; OENOTHERA-CONGENERS; INTRODUCED PLANTS; INVASIVENESS; ISLANDS; SCALE; NATURALIZATION; CONSEQUENCES</t>
  </si>
  <si>
    <t>CZECH BOTANICAL SOC</t>
  </si>
  <si>
    <t>PRAHA 2</t>
  </si>
  <si>
    <t>[Newman, Matthew; Cheng, Linyin; Compo, Gilbert P.; Smith, Catherine A.] Univ Colorado, CIRES, Boulder, CO 80309 USA; [Newman, Matthew; Cheng, Linyin; Compo, Gilbert P.; Smith, Catherine A.] NOAA, Earth Syst Res Lab, Phys Sci Div, Boulder, CO 80305 USA; [Wittenberg, Andrew T.] NOAA, Geophys Fluid Dynam Lab, Princeton, NJ USA</t>
  </si>
  <si>
    <t>University of Colorado System; University of Colorado Boulder; National Oceanic Atmospheric Admin (NOAA) - USA; National Oceanic Atmospheric Admin (NOAA) - USA</t>
  </si>
  <si>
    <t>Newman, M (corresponding author), Univ Colorado, CIRES, Boulder, CO 80309 USA.;Newman, M (corresponding author), NOAA, Earth Syst Res Lab, Phys Sci Div, Boulder, CO 80305 USA.</t>
  </si>
  <si>
    <t>Smith, Catherine/H-5055-2016; Wittenberg, Anew/G-9619-2013; Wittenberg, Andrew/G-9619-2013; COMPO, GILBERT/X-3024-2019; Knutson, Thomas/G-7457-2019; Newman, Matthew/F-8336-2010</t>
  </si>
  <si>
    <t>Smith, Catherine/0000-0003-2687-6046; Wittenberg, Anew/0000-0003-1680-8963; Knutson, Thomas/0000-0003-4541-519X; Newman, Matthew/0000-0001-5348-2312</t>
  </si>
  <si>
    <t>45 BEACON ST, BOSTON, MA 02108-3693 USA</t>
  </si>
  <si>
    <t>1520-0477</t>
  </si>
  <si>
    <t>S16</t>
  </si>
  <si>
    <t>S20</t>
  </si>
  <si>
    <t>GB8IG</t>
  </si>
  <si>
    <t>2025-12-20</t>
  </si>
  <si>
    <t>[King, Andrew D.; Donat, Markus G.; Alexander, Lisa V.; Perkins, Sarah E.] Univ New S Wales, Climate Change Res Ctr, ARC Ctr Excellence Climate Syst Sci, Sydney, NSW 2052, Australia; [King, Andrew D.; Karoly, David J.; Dittus, Andrea J.; Lewis, Sophie C.] Univ Melbourne, Sch Earth Sci, ARC Ctr Excellence Climate Syst Sci, Melbourne, Vic 3010, Australia; [Fischer, Erich M.] ETH, Inst Atmospher &amp; Climate Sci, CH-8092 Zurich, Switzerland; [Hawkins, Ed] Univ Reading, Dept Meteorol, Natl Ctr Atmospher Sci, Reading RG6 6BB, Berks, England; [Lewis, Sophie C.] Australian Natl Univ, Sch Earth Sci, ARC Ctr Excellence Climate Syst Sci, Acton 2601, Australia</t>
  </si>
  <si>
    <t>ARC Centre of Excellence for Climate System Science; University of New South Wales Sydney; ARC Centre of Excellence for Climate System Science; University of Melbourne; Swiss Federal Institutes of Technology Domain; ETH Zurich; University of Reading; UK Research &amp; Innovation (UKRI); Natural Environment Research Council (NERC); NERC National Centre for Atmospheric Science; Australian National University</t>
  </si>
  <si>
    <t>King, AD (corresponding author), Univ New S Wales, Climate Change Res Ctr, ARC Ctr Excellence Climate Syst Sci, Sydney, NSW 2052, Australia.</t>
  </si>
  <si>
    <t>andrew.king@unimelb.edu.au</t>
  </si>
  <si>
    <t>; King, Andrew/AFK-4420-2022; Perkins-Kirkpatrick, Sarah/O-5042-2015; Dittus, Andrea/AAQ-3141-2020; Donat, Markus/J-8331-2012; Hawkins, Ed/B-7921-2011; Fischer, Erich/B-6067-2011; Alexander, Lisa/A-8477-2011; Karoly, David/C-8262-2011; Lewis, Sophie/H-4968-2011</t>
  </si>
  <si>
    <t>Perkins-Kirkpatrick, Sarah/0000-0001-9443-4915; King, Anew/0000-0001-9006-5745; Fischer, Erich/0000-0003-1931-6737; Donat, Markus/0000-0002-0608-7288; Hawkins, Ed/0000-0001-9477-3677; Alexander, Lisa/0000-0002-5635-2457; Karoly, David/0000-0002-8671-2994; Dittus, Anea/0000-0001-9598-6869; Lewis, Sophie/0000-0001-6416-0634</t>
  </si>
  <si>
    <t>Australian Research Council [RM08448, CE110001028, DE150100456, LP100200690, DE140100952]; UK National Environmental Research Council [NE/I020792/1]; National Centre for Atmospheric Science (NCAS-Climate); NCI facility in Australia; NERC [NE/N006054/1] Funding Source: UKRI; Natural Environment Research Council [ncas10009, NE/I020792/1, NE/N006054/1] Funding Source: researchfish; Australian Research Council [DE140100952] Funding Source: Australian Research Council</t>
  </si>
  <si>
    <t>Australian Research Council(Australian Research Council); UK National Environmental Research Council; National Centre for Atmospheric Science (NCAS-Climate); NCI facility in Australia; NERC(UK Research &amp; Innovation (UKRI)Natural Environment Research Council (NERC)); Natural Environment Research Council(UK Research &amp; Innovation (UKRI)Natural Environment Research Council (NERC)); Australian Research Council(Australian Research Council)</t>
  </si>
  <si>
    <t>We thank the editor for handling this paper and the reviewers for their constructive feedback. We thank Andy Pitman, Rowan Sutton, and Blair Trewin for commenting on the paper. Andrew King was supported by Australian Research Council grant RM08448. Andrew King, Markus Donat, Lisa Alexander, David Karoly, Andrea Dittus, and Sophie Lewis were supported by Australian Research Council grant CE110001028. Markus Donat was also supported by Australian Research Council grant DE150100456. Lisa Alexander and David Karoly were also supported by Australian Research Council grant LP100200690. Sarah Perkins was supported by Australian Research Council grant DE140100952. Ed Hawkins was supported by the UK National Environmental Research Council (grant NE/I020792/1) and the National Centre for Atmospheric Science (NCAS-Climate). We acknowledge the support of the NCI facility in Australia. We acknowledge the World Climate Research Programme's Working Group on Coupled Modelling, which is responsible for CMIP, and we thank the climate modelling groups for producing and making available their model output. For CMIP the US Department of Energy's Program for Climate Model Diagnosis and Intercomparison provides coordinating support and led development of software infrastructure in partnership with the Global Organization for Earth System Science Portals.</t>
  </si>
  <si>
    <t>CZ5KJ</t>
  </si>
  <si>
    <t>Haddad, Nick M.; Brudvig, Lars A.; Clobert, Jean; Davies, Kendi F.; Gonzalez, Andrew; Holt, Robert D.; Lovejoy, Thomas E.; Sexton, Joseph O.; Austin, Mike P.; Collins, Cathy D.; Cook, William M.; Damschen, Ellen I.; Ewers, Robert M.; Foster, Bryan L.; Jenkins, Clinton N.; King, Andrew J.; Laurance, William F.; Levey, Douglas J.; Margules, Chris R.; Melbourne, Brett A.; Nicholls, A. O.; Orrock, John L.; Song, Dan-Xia; Townshend, John R.</t>
  </si>
  <si>
    <t>[Haddad, Nick M.] North Carolina State Univ, Dept Biol Sci, Raleigh, NC 27695 USA; [Brudvig, Lars A.] Michigan State Univ, Dept Plant Biol, E Lansing, MI 48824 USA; [Clobert, Jean] CNRS, Moulis USR 2936, Stn Ecol Expt, F-09200 Moulis, St Girons, France; [Davies, Kendi F.; Melbourne, Brett A.] Univ Colorado, Dept Ecol &amp; Evolutionary Biol, Boulder, CO 80309 USA; [Gonzalez, Andrew] McGill Univ, Dept Biol, Montreal, PQ H3A 1B1, Canada; [Holt, Robert D.] Univ Florida, Dept Biol, Gainesville, FL 32611 USA; [Lovejoy, Thomas E.] George Mason Univ, Dept Environm Sci &amp; Policy, Fairfax, VA 22030 USA; [Sexton, Joseph O.; Song, Dan-Xia; Townshend, John R.] Univ Maryland, Dept Geog Sci, Global Land Cover Facil, College Pk, MD 20702 USA; [Austin, Mike P.; King, Andrew J.; Nicholls, A. O.] CSIRO Land &amp; Water Flagship, Canberra, ACT 2601, Australia; [Collins, Cathy D.] Colby Coll, Dept Biol, Waterville, ME 04901 USA; [Cook, William M.] St Cloud State Univ, Dept Biol Sci, St Cloud, MN 56301 USA; [Damschen, Ellen I.; Orrock, John L.] Univ Wisconsin, Dept Zool, Madison, WI 53706 USA; [Ewers, Robert M.] Imperial Coll London, Dept Life Sci, Ascot SL5 7PY, Berks, England; [Foster, Bryan L.] Univ Kansas, Dept Ecol &amp; Evolutionary Biol, Lawrence, KS 66047 USA; [Foster, Bryan L.] Univ Kansas, Kansas Biol Survey, Lawrence, KS 66047 USA; [Jenkins, Clinton N.] Inst Pesquisas Ecol, BR-12960000 Sao Paulo, Brazil; [Laurance, William F.] James Cook Univ, Ctr Trop Environm &amp; Sustainabil Sci, Cairns, Qld 4878, Australia; [Laurance, William F.] James Cook Univ, Coll Marine &amp; Environm Sci, Cairns, Qld 4878, Australia; [Levey, Douglas J.] Natl Sci Fdn, Arlington, VA 22230 USA; [Margules, Chris R.] James Cook Univ, Sch Earth &amp; Environm Sci, Ctr Trop Environm &amp; Sustainabil Sci, Cairns 4878, Australia; [Margules, Chris R.] Univ Indonesia, Res Ctr Climate Change, Kota Depok 16424, Java Barat, Indonesia; [Nicholls, A. O.] Charles Sturt Univ, Inst Land Water &amp; Soc, Albury, NSW 2640, Australia</t>
  </si>
  <si>
    <t>North Carolina State University; Michigan State University; Centre National de la Recherche Scientifique (CNRS); University of Colorado System; University of Colorado Boulder; McGill University; State University System of Florida; University of Florida; George Mason University; University System of Maryland; University of Maryland College Park; Commonwealth Scientific &amp; Industrial Research Organisation (CSIRO); CSIRO Land &amp; Water; Colby College; Minnesota State Colleges &amp; Universities; Saint Cloud State University; University of Wisconsin System; University of Wisconsin Madison; Imperial College London; University of Kansas; University of Kansas; Instituto de Pesquisas Ecologicas; James Cook University; James Cook University; National Science Foundation (NSF); James Cook University; University of Indonesia; Charles Sturt University</t>
  </si>
  <si>
    <t>Haddad, NM (corresponding author), North Carolina State Univ, Dept Biol Sci, Raleigh, NC 27695 USA.</t>
  </si>
  <si>
    <t>nick_haddad@ncsu.edu</t>
  </si>
  <si>
    <t>Jenkins, Clinton/D-6134-2011; King, Andrew/C-3810-2012; Damschen, Ellen/E-4919-2011; Gonzalez, Andrew/F-2247-2010; Laurance, William/B-2709-2012; Melbourne, Brett/KBQ-9784-2024; Margules, Chris/F-4605-2012; King, Anew/C-3810-2012; Townshend, John/G-2607-2011</t>
  </si>
  <si>
    <t>Jenkins, Clinton/0000-0003-2198-0637; Melbourne, Brett/0000-0002-8843-4131; King, Anew/0000-0002-1348-7984;</t>
  </si>
  <si>
    <t>ERC (European Research Council) [281986]; Natural Sciences and Engineering Research Council; Canada Research Chair program; Quebec Centre for Biodiversity Science; Brazilian agency CAPES through the Ciencia Sem Fronteiras program; labex TULIP; ANR Infrastructure grant AnaEE-France; NASA Making Earth System Data Records for Use in Research Environments (MEaSUREs) [NNH06ZDA001N]; Land Cover and Land Use Change [NNH07ZDA001N-LCLUC]; Andrew W. Mellon Foundation (BDFFP); Kansas Biological Survey and National Science Foundation (NSF) [DEB 01-08302, DEB-0950100]; U. S. Department of Agriculture Forest ServiceSavannah River (SRS Corridor Experiment); NSF and Environment and Heritage NSW [DEB 0841892]; Forestry Corporation NSW; CSIRO Ecosystem Sciences (Wog Wog); Sime Darby Foundation (SAFE); Environment and Heritage NSW; European Research Council (ERC) [281986] Funding Source: European Research Council (ERC); Direct For Biological Sciences; Division Of Environmental Biology [1354101, 1350872, 1354218, 0950100] Funding Source: National Science Foundation; Direct For Biological Sciences; Division Of Integrative Organismal Systems [1050591] Funding Source: National Science Foundation; Division Of Environmental Biology; Direct For Biological Sciences [1354085] Funding Source: National Science Foundation</t>
  </si>
  <si>
    <t>ERC (European Research Council)(European Research Council (ERC)); Natural Sciences and Engineering Research Council(Natural Sciences and Engineering Research Council of Canada (NSERC)); Canada Research Chair program(Canada Research Chairs); Quebec Centre for Biodiversity Science; Brazilian agency CAPES through the Ciencia Sem Fronteiras program; labex TULIP; ANR Infrastructure grant AnaEE-France(Agence Nationale de la Recherche (ANR)); NASA Making Earth System Data Records for Use in Research Environments (MEaSUREs); Land Cover and Land Use Change; Andrew W. Mellon Foundation (BDFFP); Kansas Biological Survey and National Science Foundation (NSF)(National Science Foundation (NSF)); U. S. Department of Agriculture Forest ServiceSavannah River (SRS Corridor Experiment); NSF and Environment and Heritage NSW(National Science Foundation (NSF)); Forestry Corporation NSW; CSIRO Ecosystem Sciences (Wog Wog); Sime Darby Foundation (SAFE); Environment and Heritage NSW; European Research Council (ERC)(European Research Council (ERC)); Direct For Biological Sciences; Division Of Environmental Biology(National Science Foundation (NSF)NSF - Directorate for Biological Sciences (BIO)); Direct For Biological Sciences; Division Of Integrative Organismal Systems(National Science Foundation (NSF)NSF - Directorate for Biological Sciences (BIO)NSF - Division of Integrative Organismal Systems (IOS)); Division Of Environmental Biology; Direct For Biological Sciences(National Science Foundation (NSF)NSF - Directorate for Biological Sciences (BIO))</t>
  </si>
  <si>
    <t>R.M.E. is supported by ERC (European Research Council) Project number 281986. A. G. is supported by the Natural Sciences and Engineering Research Council, the Canada Research Chair program, and the Quebec Centre for Biodiversity Science. C. N. J. was supported by the Brazilian agency CAPES through the Ciencia Sem Fronteiras program. R. D. H. thanks the University of Florida Foundation. J. C. is supported by the labex TULIP and the ANR Infrastructure grant AnaEE-France. Global forest cover data and analysis were provided under support from the NASA Making Earth System Data Records for Use in Research Environments (MEaSUREs; NNH06ZDA001N) and Land Cover and Land Use Change (NNH07ZDA001N-LCLUC) programs. For long-term support of experiments, we thank the Andrew W. Mellon Foundation (BDFFP); the Kansas Biological Survey and National Science Foundation (NSF) (DEB 01-08302 and DEB-0950100; Kansas Experiment); NSF and U. S. Department of Agriculture Forest ServiceSavannah River (SRS Corridor Experiment); NSF DEB 0841892 and Environment and Heritage NSW, Forestry Corporation NSW, and CSIRO Ecosystem Sciences (Wog Wog); and the Sime Darby Foundation (SAFE).</t>
  </si>
  <si>
    <t>1200 NEW YORK AVE, NW, WASHINGTON, DC 20005 USA</t>
  </si>
  <si>
    <t>e1500052</t>
  </si>
  <si>
    <t>V0V2X</t>
  </si>
  <si>
    <t>Cranfield Univ, Sch Appl Sci, Dept Environm Sci &amp; Technol, Natl Soil Resources Inst, Cranfield MK43 0AL, Beds, England</t>
  </si>
  <si>
    <t>Cranfield University</t>
  </si>
  <si>
    <t>Rickson, RJ (corresponding author), Cranfield Univ, Sch Appl Sci, Dept Environm Sci &amp; Technol, Natl Soil Resources Inst, Cranfield MK43 0AL, Beds, England.</t>
  </si>
  <si>
    <t>j.rickson@cranfield.ac.uk</t>
  </si>
  <si>
    <t>Rickson, Richmal Jane/A-6992-2011; Rickson, Richmal/A-6992-2011</t>
  </si>
  <si>
    <t>Rickson, Richmal Jane/0000-0001-6624-4073;</t>
  </si>
  <si>
    <t>AB4QW</t>
  </si>
  <si>
    <t>[Schandl, Heinz; Hatfield-Dodds, Steve; West, James; Baynes, Tim] CSIRO Land &amp; Water, GPO Box 1700, Canberra, ACT 2601, Australia; [Schandl, Heinz] Australian Natl Univ, Sch Sociol, Canberra, ACT 2601, Australia; [Wiedmann, Thomas] UNSW Australia, Sch Civil &amp; Environm Engn, Sydney, NSW, Australia; [Wiedmann, Thomas; Geschke, Arne; Lenzen, Manfred] Univ Sydney, Sch Phys, Integrated Sustainabil Anal, Sydney, NSW 2006, Australia; [Cai, Yiyong; Newth, David] CSIRO Oceans &amp; Atmosphere, Canberra, ACT 2601, Australia; [Owen, Anne] Univ Leeds, Sch Earth &amp; Environm, Leeds LS2 9JT, W Yorkshire, England</t>
  </si>
  <si>
    <t>Commonwealth Scientific &amp; Industrial Research Organisation (CSIRO); CSIRO Land &amp; Water; Australian National University; University of New South Wales Sydney; University of Sydney; Commonwealth Scientific &amp; Industrial Research Organisation (CSIRO); CSIRO Oceans &amp; Atmosphere; University of Leeds</t>
  </si>
  <si>
    <t>Schandl, H (corresponding author), CSIRO Land &amp; Water, GPO Box 1700, Canberra, ACT 2601, Australia.</t>
  </si>
  <si>
    <t>heinz.schandl@csiro.au</t>
  </si>
  <si>
    <t>Baynes, Timothy/D-4738-2011; Lenzen, Manfred/D-3161-2013; Geschke, Arne/AAM-7434-2020; West, James/B-5487-2011; Wiedmann, Thomas/C-9158-2011; Schandl, Heinz/C-5055-2008; Hatfield-Dodds, Steve/K-1067-2013; Baynes, Timothy/D-4738-2011; Newth, David/A-1848-2011; Owen, Anne/E-9958-2012</t>
  </si>
  <si>
    <t>Baynes, Timothy/0000-0001-8416-3365; Lenzen, Manfred/0000-0002-0828-5288; West, James/0000-0002-1444-1080; Wiedmann, Thomas/0000-0002-6395-8887; Geschke, Arne/0000-0001-9193-5829; Schandl, Heinz/0000-0001-6399-4231; Owen, Anne/0000-0002-3872-9900; Baynes, Timothy/0000-0001-8416-3365;</t>
  </si>
  <si>
    <t>CSIRO Integrated Carbon Pathways initiative; EPSRC [EP/N022645/1] Funding Source: UKRI; Engineering and Physical Sciences Research Council [EP/N022645/1] Funding Source: researchfish</t>
  </si>
  <si>
    <t>CSIRO Integrated Carbon Pathways initiative; EPSRC(UK Research &amp; Innovation (UKRI)Engineering &amp; Physical Sciences Research Council (EPSRC)); Engineering and Physical Sciences Research Council(UK Research &amp; Innovation (UKRI)Engineering &amp; Physical Sciences Research Council (EPSRC))</t>
  </si>
  <si>
    <t>The authors acknowledge funding from the CSIRO Integrated Carbon Pathways initiative and wish to thank Karin Hosking for editing and Mark Stafford Smith and David Fleming for providing feedback.</t>
  </si>
  <si>
    <t>DS2OW</t>
  </si>
  <si>
    <t>6th International Conference on Acidic Deposition</t>
  </si>
  <si>
    <t>DEC 10-16, 2000</t>
  </si>
  <si>
    <t>TSUKUBA, JAPAN</t>
  </si>
  <si>
    <t>Norwegian Inst Water Res, N-0411 Oslo, Norway; US EPA, Western Ecol Div, Corvallis, OR 97333 USA</t>
  </si>
  <si>
    <t>Norwegian Institute for Water Research (NIVA); United States Environmental Protection Agency</t>
  </si>
  <si>
    <t>Skjelkvåle, BL (corresponding author), Norwegian Inst Water Res, POB 173 Kjelsas, N-0411 Oslo, Norway.</t>
  </si>
  <si>
    <t>Andersen, Tom/B-1950-2008; Stoddard, John/H-5594-2013</t>
  </si>
  <si>
    <t>Stoddard, John/0000-0002-2537-6130;</t>
  </si>
  <si>
    <t>SPUIBOULEVARD 50, PO BOX 17, 3300 AA DORDRECHT, NETHERLANDS</t>
  </si>
  <si>
    <t>Conference Proceedings Citation Index - Science (CPCI-S); Science Citation Index Expanded (SCI-EXPANDED)</t>
  </si>
  <si>
    <t>489UY</t>
  </si>
  <si>
    <t>[Altieri, Andrew H.; Harrison, Seamus B.; Seemann, Janina; Collin, Rachel] Smithsonian Trop Res Inst, Balboa 084303092, Ancon, Panama; [Seemann, Janina] Free Univ Berlin, D-12249 Berlin, Germany; [Diaz, Robert J.] Coll William &amp; Mary, Virginia Inst Marine Sci, Gloucester Point, VA 23062 USA; [Knowlton, Nancy] Smithsonian Inst, Natl Museum Nat Hist, Dept Invertebrate Zool, Washington, DC 20013 USA</t>
  </si>
  <si>
    <t>Smithsonian Institution; Smithsonian Tropical Research Institute; Free University of Berlin; William &amp; Mary; Virginia Institute of Marine Science; Smithsonian Institution; Smithsonian National Museum of Natural History</t>
  </si>
  <si>
    <t>Altieri, AH (corresponding author), Smithsonian Trop Res Inst, Balboa 084303092, Ancon, Panama.;Knowlton, N (corresponding author), Smithsonian Inst, Natl Museum Nat Hist, Dept Invertebrate Zool, Washington, DC 20013 USA.</t>
  </si>
  <si>
    <t>AltieriA@si.edu; knowlton@si.edu</t>
  </si>
  <si>
    <t>; Altieri, Andrew/P-1738-2017; Knowlton, Nancy/LYO-9836-2024; Collin, Rachel/Q-7100-2019</t>
  </si>
  <si>
    <t>Altieri, Anew/0000-0001-7439-8742; Seemann, Janina/0000-0001-6427-5773; Harrison, Seamus/0000-0002-9909-921X;</t>
  </si>
  <si>
    <t>Smithsonian Tropical Research Institute; Deutscher Akademischer Austauschdienst-The German Academic Exchange Service; Pawel-Rammingen Foundation; Sant Chair for Marine Science; Hunterdon and Johnson Oceanographic Research Endowment</t>
  </si>
  <si>
    <t>Smithsonian Tropical Research Institute(Smithsonian InstitutionSmithsonian Tropical Research Institute); Deutscher Akademischer Austauschdienst-The German Academic Exchange Service(Deutscher Akademischer Austausch Dienst (DAAD)); Pawel-Rammingen Foundation; Sant Chair for Marine Science; Hunterdon and Johnson Oceanographic Research Endowment</t>
  </si>
  <si>
    <t>We thank B. Silliman for comments on earlier versions of this paper; P. Gondola, C. Gonzalez, S. Loranger, and A. Castillo for assistance in the field; and M. Solano for assistance with Geographical Information System maps. This research was supported by the Smithsonian Tropical Research Institute, a grant from Deutscher Akademischer Austauschdienst-The German Academic Exchange Service and the Pawel-Rammingen Foundation, the Sant Chair for Marine Science, and the Hunterdon and Johnson Oceanographic Research Endowment. Research permits were provided by the Autoridad de Recursos Acuatico de Panama and the Autoridad Nacional del Ambiente de Panama. This paper is contribution number 8 from the Marine Global Earth Observatory (MarineGEO) and the Smithsonian's Tennenbaum Marine Observatories Network.</t>
  </si>
  <si>
    <t>EQ5YM</t>
  </si>
  <si>
    <t>[Bender, Morris A.; Knutson, Thomas R.; Sirutis, Joseph J.; Vecchi, Gabriel A.; Garner, Stephen T.; Held, Isaac M.] NOAA, Geophys Fluid Dynam Lab, Princeton, NJ 08540 USA; [Tuleya, Robert E.] Old Dominion Univ, Ctr Coastal Phys Oceanog, Norfolk, VA 23508 USA</t>
  </si>
  <si>
    <t>National Oceanic Atmospheric Admin (NOAA) - USA; Old Dominion University</t>
  </si>
  <si>
    <t>Bender, MA (corresponding author), NOAA, Geophys Fluid Dynam Lab, 201 Forrestal Rd, Princeton, NJ 08540 USA.</t>
  </si>
  <si>
    <t>Morris.Bender@noaa.gov</t>
  </si>
  <si>
    <t>; Knutson, Thomas/G-7457-2019; Held, Isaac/F-3911-2012; Knutson, Thomas/P-7225-2019; Vecchi, Gabriel/A-2413-2008</t>
  </si>
  <si>
    <t>Held, Isaac/0000-0002-6744-439X; Knutson, Thomas/0000-0003-4541-519X; Vecchi, Gabriel/0000-0002-5085-224X</t>
  </si>
  <si>
    <t>Office of Science, U. S. Department of Energy</t>
  </si>
  <si>
    <t>Office of Science, U. S. Department of Energy(United States Department of Energy (DOE))</t>
  </si>
  <si>
    <t>We wish to thank T. Marchok, R. Stouffer, A. Wittenburg, and three Science reviewers for their helpful comments and suggestions on earlier versions of the manuscript. We are also grateful to T. Marchok for his assistance in the preparation of several figures and to S. Sellars for assistance with some statistical calculations. Special appreciation goes to the current director of GFDL, V. Ramaswamy, for his support and encouragement. We thank the CMIP3 modeling groups, the Program for Climate Model Diagnosis and Intercomparison (PCMDI), and the World Climate Research Programme's (WCRP) Working Group on Coupled Modelling (WGCM) for their roles in making available the WCRP CMIP3 multi-model dataset. Support of this dataset is provided by the Office of Science, U. S. Department of Energy.</t>
  </si>
  <si>
    <t>546BS</t>
  </si>
  <si>
    <t>Catholic Univ Louvain, Dept Geog, LUCC Project, IGBP,LUCC Int Project Off, B-1348 Louvain, Belgium; Catholic Univ Louvain, Dept Geog, IHDP Global Environm Change, LUCC Int Project Off, B-1348 Louvain, Belgium</t>
  </si>
  <si>
    <t>Universite Catholique Louvain; Universite Catholique Louvain</t>
  </si>
  <si>
    <t>Geist, HJ (corresponding author), Catholic Univ Louvain, Dept Geog, LUCC Project, IGBP,LUCC Int Project Off, PL Louis Pasteur 3, B-1348 Louvain, Belgium.</t>
  </si>
  <si>
    <t>geist@geog.ucl.ac.be</t>
  </si>
  <si>
    <t>Lambin, Eric/0000-0002-0673-5257</t>
  </si>
  <si>
    <t>521KR</t>
  </si>
  <si>
    <t>[Aichele, Rahel] Ifo Inst Munich, Munich, Germany; [Aichele, Rahel; Felbermayr, Gabriel] CESifo, Munich, Germany; [Felbermayr, Gabriel] Ifo Inst, Munich, Germany; [Felbermayr, Gabriel] Ludwig Maximilians Univ Munchen, Munich, Germany; [Felbermayr, Gabriel] GEP Nottingham, Nottingham, England</t>
  </si>
  <si>
    <t>Leibniz Association; Ifo Institut; Leibniz Association; Ifo Institut; Leibniz Association; Ifo Institut; University of Munich; University of Nottingham</t>
  </si>
  <si>
    <t>Aichele, R (corresponding author), Ifo Inst Munich, Munich, Germany.</t>
  </si>
  <si>
    <t>Felbermayr, Gabriel/0000-0003-4984-9745</t>
  </si>
  <si>
    <t>DFG grant [583467]</t>
  </si>
  <si>
    <t>DFG grant(German Research Foundation (DFG))</t>
  </si>
  <si>
    <t>We thank the editor, Gordon Hanson, and two anonymous referees for insightful comments and suggestions. We are grateful to seminar participants at the Universities of Arhus, Calgary, Gottingen, Kiel, Munich, Nottingham-Ningbo, Syracuse, and Tubingen and the meetings of AFSE, CEA, EAERE, EEA, EGIT, ETSG, VfS, and WCERE for comments. Special thanks to Robert J. R. Elliott, Meredith Fowlie, Benjamin Jung, Wilhelm Kohler, Mary E. Lovely, Devashish Mitra, Volker Nitsch, Sonja Peterson, David Popp, Marcel Smolka, and M. Scott Taylor for helpful suggestions. We acknowledge financial support from DFG grant 583467.</t>
  </si>
  <si>
    <t>ONE ROGERS ST, CAMBRIDGE, MA 02142-1209 USA</t>
  </si>
  <si>
    <t>1530-9142</t>
  </si>
  <si>
    <t>CC7OD</t>
  </si>
  <si>
    <t>[Lal, Rattan] Ohio State Univ, Soil Sci, 210 Kottman Hall,2021 Coffey Rd, Columbus, OH 43210 USA; [Lal, Rattan] Ohio State Univ, Carbon Management &amp; Sequestrat Ctr, Columbus, OH 43210 USA</t>
  </si>
  <si>
    <t>University System of Ohio; Ohio State University; University System of Ohio; Ohio State University</t>
  </si>
  <si>
    <t>Lal, R (corresponding author), Ohio State Univ, Soil Sci, 210 Kottman Hall,2021 Coffey Rd, Columbus, OH 43210 USA.</t>
  </si>
  <si>
    <t>LAL.1@osu.edu</t>
  </si>
  <si>
    <t>Lal, Rattan/D-2505-2013</t>
  </si>
  <si>
    <t>16 DONGHUANGCHENGGEN NORTH ST, BEIJING, DONGCHENG DISTRICT 100717, PEOPLES R CHINA</t>
  </si>
  <si>
    <t>2095-6339</t>
  </si>
  <si>
    <t>2589-059X</t>
  </si>
  <si>
    <t>VD0VI</t>
  </si>
  <si>
    <t>[Ausubel, Jesse H.; Wernick, Iddo K.] Rockefeller Univ, Program Human Environm, New York, NY 10021 USA; [Waggoner, Paul E.] Connecticut Agr Expt Stn, New Haven, CT 06504 USA</t>
  </si>
  <si>
    <t>Rockefeller University; Connecticut Agricultural Experiment Station</t>
  </si>
  <si>
    <t>Ausubel, JH (corresponding author), Rockefeller Univ, Program Human Environm, 1230 York Ave, New York, NY 10021 USA.</t>
  </si>
  <si>
    <t>Wernick, Iddo/JVD-9269-2023</t>
  </si>
  <si>
    <t>1728-4457</t>
  </si>
  <si>
    <t>093WT</t>
  </si>
  <si>
    <t>[Miettinen, Jukka; Shi, Chenghua; Liew, Soo Chin] Natl Univ Singapore, Ctr Remote Imaging Sensing &amp; Proc, Singapore 119076, Singapore; [Hooijer, Aljosja; Tollenaar, Daniel; Vernimmen, Ronald] Stichting Deltares, NL-2629 HD Delft, Netherlands; [Malins, Chris] Int Council Clean Transportat, Washington, DC 20005 USA; [Page, Susan E.] Univ Leicester, Dept Geog, Leicester LE1 7HR, Leics, England</t>
  </si>
  <si>
    <t>National University of Singapore; Deltares; University of Leicester</t>
  </si>
  <si>
    <t>Miettinen, J (corresponding author), Natl Univ Singapore, Ctr Remote Imaging Sensing &amp; Proc, 10 Lower Kent Ridge Rd,Blk S17,Level 2, Singapore 119076, Singapore.</t>
  </si>
  <si>
    <t>crsjim@nus.edu.sg</t>
  </si>
  <si>
    <t>Malins, Chris/AAL-7901-2021; Liew, Soo Chin/C-9187-2011; Liew, Soo/C-9187-2011</t>
  </si>
  <si>
    <t>Liew, Soo Chin/0000-0001-8342-4682; Vernimmen, Ronald/0000-0002-9899-3826; Page, Susan/0000-0002-3392-9241; Miettinen, Jukka/0000-0001-8510-1553</t>
  </si>
  <si>
    <t>International Council on Clean Transportation (ICCT); Agency for Science, Technology and Research (A*STAR) of Singapore</t>
  </si>
  <si>
    <t>International Council on Clean Transportation (ICCT); Agency for Science, Technology and Research (A*STAR) of Singapore(Agency for Science Technology &amp; Research (A*STAR))</t>
  </si>
  <si>
    <t>This research was mainly funded by the International Council on Clean Transportation (ICCT). J.M., C. S. and S. C. L. also acknowledge financial support from the Agency for Science, Technology and Research (A*STAR) of Singapore to the Centre for Remote Imaging, Sensing and Processing (CRISP).</t>
  </si>
  <si>
    <t>1757-1693</t>
  </si>
  <si>
    <t>1757-1707</t>
  </si>
  <si>
    <t>015MK</t>
  </si>
  <si>
    <t>Law, Kara Lavender; Moret-Ferguson, Skye; Maximenko, Nikolai A.; Proskurowski, Giora; Peacock, Emily E.; Hafner, Jan; Reddy, Christopher M.</t>
  </si>
  <si>
    <t>[Law, Kara Lavender; Moret-Ferguson, Skye; Proskurowski, Giora] Sea Educ Assoc, Woods Hole, MA 02543 USA; [Moret-Ferguson, Skye; Proskurowski, Giora; Peacock, Emily E.; Reddy, Christopher M.] Woods Hole Oceanog Inst, Dept Marine Chem &amp; Geochem, Woods Hole, MA 02543 USA; [Maximenko, Nikolai A.; Hafner, Jan] Univ Hawaii, Sch Ocean &amp; Earth Sci &amp; Technol, Int Pacific Res Ctr, Honolulu, HI 96822 USA</t>
  </si>
  <si>
    <t>Woods Hole Oceanographic Institution; University of Hawaii System</t>
  </si>
  <si>
    <t>Law, KL (corresponding author), Sea Educ Assoc, POB 6, Woods Hole, MA 02543 USA.</t>
  </si>
  <si>
    <t>klavender@sea.edu</t>
  </si>
  <si>
    <t>; Proskurowski, Giora/B-3862-2013; Law, Kara/OJU-3096-2025</t>
  </si>
  <si>
    <t>Maximenko, Nikolai/0000-0001-6017-6807; Reddy, Christopher/0000-0002-7814-2071; Law, Kara/0000-0002-5298-6751;</t>
  </si>
  <si>
    <t>National Science Foundation [OCE-0842727]; Hollis and Ermine Lovell Charitable Foundation; National Fish and Wildlife Foundation [2008-0066-006]; NASA [NNX08AR49G, NA17RJ1230]; Japan Agency for Marine-Earth Science and Technology (JAMSTEC), NASA [NNX07AG53G]; NASA [NNX08AR49G, 95521] Funding Source: Federal RePORTER</t>
  </si>
  <si>
    <t>National Science Foundation(National Science Foundation (NSF)); Hollis and Ermine Lovell Charitable Foundation; National Fish and Wildlife Foundation; NASA(National Aeronautics &amp; Space Administration (NASA)); Japan Agency for Marine-Earth Science and Technology (JAMSTEC), NASA(National Aeronautics &amp; Space Administration (NASA)); NASA(National Aeronautics &amp; Space Administration (NASA))</t>
  </si>
  <si>
    <t>We thank the thousands of students and staff at Sea Education Association who collected plastic samples onboard the research vessel Westward and the sailing school vessel Corwith Cramer. This work was supported by the National Science Foundation (OCE-0842727) and the Hollis and Ermine Lovell Charitable Foundation. N.A.M. and J.H. were supported by the National Fish and Wildlife Foundation (2008-0066-006); the NASA Physical Oceanography Program through membership in its Ocean Surface Topography Science Team (NNX08AR49G); and the Japan Agency for Marine-Earth Science and Technology (JAMSTEC), NASA (NNX07AG53G), and the National Oceanic and Atmospheric Administration (NA17RJ1230), which sponsor research at the International Pacific Research Center.</t>
  </si>
  <si>
    <t>645SG</t>
  </si>
  <si>
    <t>[Emanuel, Kerry] MIT, Lorenz Ctr, 77 Massachusetts Ave, Cambridge, MA 02139 USA</t>
  </si>
  <si>
    <t>Massachusetts Institute of Technology (MIT)</t>
  </si>
  <si>
    <t>Emanuel, K (corresponding author), MIT, Lorenz Ctr, 77 Massachusetts Ave, Cambridge, MA 02139 USA.</t>
  </si>
  <si>
    <t>emanuel@mit.edu</t>
  </si>
  <si>
    <t>Emanuel, Kerry/JPL-6089-2023</t>
  </si>
  <si>
    <t>National Science Foundation [AGS-1520683]; Directorate For Geosciences; Div Atmospheric &amp; Geospace Sciences [1520683] Funding Source: National Science Foundation</t>
  </si>
  <si>
    <t>National Science Foundation(National Science Foundation (NSF)); Directorate For Geosciences; Div Atmospheric &amp; Geospace Sciences(National Science Foundation (NSF)NSF - Directorate for Geosciences (GEO))</t>
  </si>
  <si>
    <t>I am grateful for additional thoughtful reviews by Michael Mann and Adam Sobel. This work was supported by the National Science Foundation under Grant AGS-1520683.</t>
  </si>
  <si>
    <t>FO5JK</t>
  </si>
  <si>
    <t>[Potapov, Peter; Hansen, Matthew C.; Turubanova, Svetlana] Univ Maryland, College Pk, MD 20740 USA; [Laestadius, Lars] Laestadius Consulting LLC, Silver Spring, MD 20901 USA; [Yaroshenko, Alexey; Zhuravleva, Ilona; Komarova, Anna] Greenpeace Russia, Moscow, Russia; [Thies, Christoph] Greenpeace Germany, Hamburg, Germany; [Smith, Wynet] Global Forest Watch Canada, Ottawa, ON, Canada; [Minnemeyer, Susan] World Resources Inst, Washington, DC 20002 USA; [Esipova, Elena] NGO Transparent World, Moscow, Russia</t>
  </si>
  <si>
    <t>University System of Maryland; University of Maryland College Park; Greenpeace; Greenpeace</t>
  </si>
  <si>
    <t>Potapov, P (corresponding author), Univ Maryland, College Pk, MD 20740 USA.</t>
  </si>
  <si>
    <t>potapov@umd.edu</t>
  </si>
  <si>
    <t>Potapov, Peter/AAE-7388-2019; Hansen, Matthew/ABE-7226-2020</t>
  </si>
  <si>
    <t>Komarova, Anna/0000-0003-2746-2291; Zhuravleva, Ilona/0000-0001-7897-281X; Potapov, Peter/0000-0003-3977-0021; , Elena Esipova/0009-0005-0561-0216</t>
  </si>
  <si>
    <t>Greenpeace Russia; Global Forest Watch, an initiative of the World Resources Institute</t>
  </si>
  <si>
    <t>The IFL 2000-2013 global update was funded by Greenpeace Russia and Global Forest Watch, an initiative of the World Resources Institute.</t>
  </si>
  <si>
    <t>EK2XI</t>
  </si>
  <si>
    <t>[Busch, D. Shallin] NOAA, Ocean Acidificat Program, Silver Spring, MD USA; [Busch, D. Shallin] NOAA, Natl Marine Fisheries Serv, Off Sci &amp; Technol, Silver Spring, MD USA; [O'Donnell, Michael J.] Calif Ocean Sci Trust, Oakland, CA USA; [Hauri, Claudine] Univ Hawaii, Sch Ocean &amp; Earth Sci &amp; Technol, Int Pacific Res Ctr, Honolulu, HI 96822 USA; [Hauri, Claudine] Univ Alaska Fairbanks, Int Arctic Res Ctr, Fairbanks, AK USA; [Mach, Katharine J.] Carnegie Inst Sci, IPCC Working Grp Tech Support Unit 2, Dept Global Ecol, Sci, Stanford, CA USA; [Poach, Matthew] NOAA, James J Howard Marine Sci Lab, Northeast Fisheries Sci Ctr, NMFS, Highlands, NJ USA; [Doney, Scott C.] Woods Hole Oceanog Inst, Dept Marine Chem &amp; Geochem, Woods Hole, MA 02543 USA; [Signorini, Sergio R.] Sci Applicat Int Corp, Mclean, VA 22102 USA; [Signorini, Sergio R.] NASA, Goddard Space Flight Ctr, Greenbelt, MD 20771 USA</t>
  </si>
  <si>
    <t>National Oceanic Atmospheric Admin (NOAA) - USA; National Oceanic Atmospheric Admin (NOAA) - USA; University of Hawaii System; University of Alaska System; University of Alaska Fairbanks; Carnegie Institution for Science; National Oceanic Atmospheric Admin (NOAA) - USA; Woods Hole Oceanographic Institution; Science Applications International Corporation (SAIC); National Aeronautics &amp; Space Administration (NASA); NASA Goddard Space Flight Center</t>
  </si>
  <si>
    <t>Busch, DS (corresponding author), NOAA, Ocean Acidificat Program, Seattle, WA 98115 USA.</t>
  </si>
  <si>
    <t>shallin.busch@noaa.gov</t>
  </si>
  <si>
    <t>; Doney, Scott/F-9247-2010; O'Donnell, Michael/AAK-2314-2021</t>
  </si>
  <si>
    <t>O'Donnell, Michael/0000-0001-7016-0614; Doney, Scott/0000-0002-3683-2437;</t>
  </si>
  <si>
    <t>NOAA Ocean Acidification Program; National Marine Fisheries Service; NSF-supported Center for Climate and Energy Decision Making; NASA Ocean Biology and Biogeochemistry Program; Divn Of Social and Economic Sciences; Direct For Social, Behav &amp; Economic Scie [0949710] Funding Source: National Science Foundation; Divn Of Social and Economic Sciences; Direct For Social, Behav &amp; Economic Scie [1463492] Funding Source: National Science Foundation</t>
  </si>
  <si>
    <t>NOAA Ocean Acidification Program(National Oceanic Atmospheric Admin (NOAA) - USA); National Marine Fisheries Service; NSF-supported Center for Climate and Energy Decision Making; NASA Ocean Biology and Biogeochemistry Program(National Aeronautics &amp; Space Administration (NASA)); Divn Of Social and Economic Sciences; Direct For Social, Behav &amp; Economic Scie(National Science Foundation (NSF)NSF - Directorate for Social, Behavioral &amp; Economic Sciences (SBE)); Divn Of Social and Economic Sciences; Direct For Social, Behav &amp; Economic Scie(National Science Foundation (NSF)NSF - Directorate for Social, Behavioral &amp; Economic Sciences (SBE))</t>
  </si>
  <si>
    <t>We thank the organizers of the 2013 OA Principal Investigators Meeting for their efforts to build a community of OA researchers and for their foresight in providing us the venue to develop the themes discussed in this paper. W. Balch, F. Dobbs, H. Galindo, J. Grear, F. Morel, S. Palumbi, M. Saito, and C. Zakroff contributed to the initial discussions around uncertainty. R. Brainard and an anonymous reviewer provided comments that improved the manuscript The following funding sources supported our work on this manuscript: NOAA Ocean Acidification Program and National Marine Fisheries Service (DSB, MP), NSF-supported Center for Climate and Energy Decision Making (SCD), and NASA Ocean Biology and Biogeochemistry Program (SS). The content of this manuscript does not reflect any position of the US Government or of NOAA.</t>
  </si>
  <si>
    <t>P.O. BOX 1931, ROCKVILLE, MD USA</t>
  </si>
  <si>
    <t>1042-8275</t>
  </si>
  <si>
    <t>CL8NP</t>
  </si>
  <si>
    <t>Cai, Wenju; Wang, Guojian; Santoso, Agus; McPhaden, Michael J.; Wu, Lixin; Jin, Fei-Fei; Timmermann, Axel; Collins, Mat; Vecchi, Gabriel; Lengaigne, Matthieu; England, Matthew H.; Dommenget, Dietmar; Takahashi, Ken; Guilyardi, Eric</t>
  </si>
  <si>
    <t>[Cai, Wenju; Wang, Guojian] CSIRO, Oceans &amp; Atmosphere Flagship, Aspendale, Vic 3195, Australia; [Cai, Wenju; Wang, Guojian; Wu, Lixin] Ocean Univ China, Qingdao Collaborat Innovat Ctr Marine Sci &amp; Techn, Phys Oceanog Lab, Qingdao 266003, Peoples R China; [Santoso, Agus; England, Matthew H.] Univ New S Wales, ARC, Ctr Excellence Climate Syst Sci, Sydney, NSW 2052, Australia; [McPhaden, Michael J.] NOAA, Pacific Marine Environm Lab, Seattle, WA 98115 USA; [Jin, Fei-Fei] Univ Hawaii, SOEST, Dept Meteorol, Honolulu, HI 96822 USA; [Timmermann, Axel] Univ Hawaii, SOEST, Dept Oceanog, IPRC, Honolulu, HI 96822 USA; [Collins, Mat] Univ Exeter, Coll Engn Math &amp; Phys Sci, Exeter EX1 3PB, Devon, England; [Vecchi, Gabriel] NOAA, Geophys Fluid Dynam Lab, Princeton, NJ 08540 USA; [Lengaigne, Matthieu; Guilyardi, Eric] UPMC, IRD, CNRS, MNHN,LOCEAN, Paris 05, France; [Dommenget, Dietmar] Monash Univ, Sch Math Sci, Clayton, Vic 3800, Australia; [Takahashi, Ken] Inst Geofis Peru, Lima 169, Peru; [Guilyardi, Eric] Univ Reading, NCAS Climate, Reading RG6 6BB, Berks, England</t>
  </si>
  <si>
    <t>Commonwealth Scientific &amp; Industrial Research Organisation (CSIRO); Ocean University of China; University of New South Wales Sydney; National Oceanic Atmospheric Admin (NOAA) - USA; University of Hawaii System; University of Hawaii System; University of Exeter; National Oceanic Atmospheric Admin (NOAA) - USA; Sorbonne Universite; Centre National de la Recherche Scientifique (CNRS); Museum National d'Histoire Naturelle (MNHN); Institut de Recherche pour le Developpement (IRD); Monash University; University of Reading; UK Research &amp; Innovation (UKRI); Natural Environment Research Council (NERC); NERC National Centre for Atmospheric Science</t>
  </si>
  <si>
    <t>Cai, WJ (corresponding author), CSIRO, Oceans &amp; Atmosphere Flagship, Aspendale, Vic 3195, Australia.</t>
  </si>
  <si>
    <t>wenju.cai@csiro.au</t>
  </si>
  <si>
    <t>Wang, Guojian/AAF-9297-2020; Santoso, Agus/J-7350-2012; Collins, Matthew/F-8473-2011; Takahashi, Ken/G-5321-2010; Lengaigne, Matthieu/M-8321-2014; Guilyardi, Eric/D-4868-2011; Dommenget, Dietmar/B-9828-2011; cai, wenju/C-2864-2012; Cai, Wenju/C-2864-2012; England, Matthew/A-7539-2011; Timmermann, Axel/F-4977-2011; Jin, Fei-Fei/B-5639-2016; McPhaden, Michael/D-9799-2016; Wu, Lixin/E-3653-2013; Lengaigne, Matthieu/K-4345-2013; Vecchi, Gabriel/A-2413-2008</t>
  </si>
  <si>
    <t>Collins, Matthew/0000-0003-3785-6008; Takahashi, Ken/0000-0003-3670-2939; Lengaigne, Matthieu/0000-0002-0044-036X; Santoso, Agus/0000-0001-7749-8124; Guilyardi, Eric/0000-0002-2255-8625; Dommenget, Dietmar/0000-0002-5129-7719; cai, wenju/0000-0001-6520-0829; England, Matthew/0000-0001-9696-2930; Timmermann, Axel/0000-0003-0657-2969; Wang, Guojian/0000-0002-8881-7394; Vecchi, Gabriel/0000-0002-5085-224X</t>
  </si>
  <si>
    <t>Australian Climate Change Science Program; CSIRO Office of Chief Executive Science Leader award; Australian Research Council; ARC [DP120101442]; ARC Centre of Excellence for Climate System Science [CE110001028]; NERC/MoES SAPRISE [NE/I022841/1]; NOAA; Natural Environment Research Council [NE/I022841/1, ncas10009] Funding Source: researchfish; NERC [NE/I022841/1] Funding Source: UKRI; Directorate For Geosciences [1406601] Funding Source: National Science Foundation; Div Atmospheric &amp; Geospace Sciences [1406601] Funding Source: National Science Foundation</t>
  </si>
  <si>
    <t>Australian Climate Change Science Program; CSIRO Office of Chief Executive Science Leader award; Australian Research Council(Australian Research Council); ARC(Australian Research Council); ARC Centre of Excellence for Climate System Science(Australian Research Council); NERC/MoES SAPRISE; NOAA(National Oceanic Atmospheric Admin (NOAA) - USA); Natural Environment Research Council(UK Research &amp; Innovation (UKRI)Natural Environment Research Council (NERC)); NERC(UK Research &amp; Innovation (UKRI)Natural Environment Research Council (NERC)); Directorate For Geosciences(National Science Foundation (NSF)NSF - Directorate for Geosciences (GEO)); Div Atmospheric &amp; Geospace Sciences(National Science Foundation (NSF)NSF - Directorate for Geosciences (GEO))</t>
  </si>
  <si>
    <t>W.C. and G.W. are supported by the Australian Climate Change Science Program and a CSIRO Office of Chief Executive Science Leader award. A.S. and M.H.E. are supported by the Australian Research Council. D.D. is supported by ARC project 'Beyond the linear dynamics of the El Nino-Southern Oscillation' (DP120101442) and ARC Centre of Excellence for Climate System Science (CE110001028). M.C. was supported by NERC/MoES SAPRISE project (NE/I022841/1). M.J.M. was supported by NOAA, and this is PMEL contribution number 4259.</t>
  </si>
  <si>
    <t>MACMILLAN BUILDING, 4 CRINAN ST, LONDON N1 9XW, ENGLAND</t>
  </si>
  <si>
    <t>CC4MO</t>
  </si>
  <si>
    <t>[Alcantara, Camilo] Univ Autonoma Queretaro, Fac Ciencias, Queretaro 76140, Mexico; [Kuemmerle, Tobias] Humboldt Univ, Dept Geog, D-10099 Berlin, Germany; [Kuemmerle, Tobias] Potsdam Inst Climate Impact Res PIK, D-14412 Potsdam, Germany; [Prishchepov, Alexander V.; Radeloff, Volker C.] Univ Wisconsin, Dept Forest &amp; Wildlife Ecol, Madison, WI 53706 USA</t>
  </si>
  <si>
    <t>Universidad Autonoma de Queretaro; Humboldt University of Berlin; Potsdam Institut fur Klimafolgenforschung; University of Wisconsin System; University of Wisconsin Madison</t>
  </si>
  <si>
    <t>Alcantara, C (corresponding author), Univ Autonoma Queretaro, Fac Ciencias, Carr Chichimequillas S-N, Queretaro 76140, Mexico.</t>
  </si>
  <si>
    <t>alcantara@wisc.edu</t>
  </si>
  <si>
    <t>Kuemmerle, Tobias/B-4340-2008; Radeloff, Volker/B-6124-2016; Prishchepov, Alexander/H-6708-2012; Alcántara Concepción, Peo Camilo/C-9250-2011; Alcántara Concepción, Pedro Camilo/C-9250-2011</t>
  </si>
  <si>
    <t>Kuemmerle, Tobias/0000-0002-9775-142X; Radeloff, Volker/0000-0001-9004-221X; Prishchepov, Alexander/0000-0003-2375-1651; Alcántara Concepción, Peo Camilo/0000-0001-5820-5365;</t>
  </si>
  <si>
    <t>Consejo Nacional de Ciencia y Tecnologia (CONACyT, Mexico); NASA Land-Cover and Land-Use Change Program; Einstein Foundation; European Commission [FP7-ENV-2010-265104]; University of Wisconsin-Madison</t>
  </si>
  <si>
    <t>Consejo Nacional de Ciencia y Tecnologia (CONACyT, Mexico)(Consejo Nacional de Ciencia y Tecnologia (CONACyT)); NASA Land-Cover and Land-Use Change Program(National Aeronautics &amp; Space Administration (NASA)); Einstein Foundation; European Commission(European Union (EU)European Commission Joint Research Centre); University of Wisconsin-Madison(University of Wisconsin Madison)</t>
  </si>
  <si>
    <t>We gratefully acknowledge support by Consejo Nacional de Ciencia y Tecnologia (CONACyT, Mexico), the NASA Land-Cover and Land-Use Change Program, the Einstein Foundation, the European Commission (VOLANTE, FP7-ENV-2010-265104), and the University of Wisconsin-Madison. Two anonymous reviewers provided helpful comments, which greatly improved the manuscript. P. Hostert and A. Sieber from Humboldt-University Berlin generously shared their classification of abandonment near Chernobyl. We also express our gratitude to University of Wisconsin-Madison SILVIS lab fellows, especially to M. Dubinin and M. Baumann, for their technical assistance and fruitful discussions.</t>
  </si>
  <si>
    <t>STE 800, 230 PARK AVE, NEW YORK, NY 10169 USA</t>
  </si>
  <si>
    <t>0034-4257</t>
  </si>
  <si>
    <t>1879-0704</t>
  </si>
  <si>
    <t>039LQ</t>
  </si>
  <si>
    <t>7th WaterNet/Warfsa/GWP SA Symposium</t>
  </si>
  <si>
    <t>NOV 01-03, 2006</t>
  </si>
  <si>
    <t>Lilongwe, SOUTH AFRICA</t>
  </si>
  <si>
    <t>Midlands State Univ, Dept Land &amp; Water Resources Management, Gweru, Zimbabwe</t>
  </si>
  <si>
    <t>Munodawafa, A (corresponding author), Midlands State Univ, Dept Land &amp; Water Resources Management, POB 9055, Gweru, Zimbabwe.</t>
  </si>
  <si>
    <t>amunodafa@yahoo.com</t>
  </si>
  <si>
    <t>1474-7065</t>
  </si>
  <si>
    <t>1873-5193</t>
  </si>
  <si>
    <t>15-18</t>
  </si>
  <si>
    <t>220LZ</t>
  </si>
  <si>
    <t>Dawson, Wayne; Moser, Dietmar; van Kleunen, Mark; Kreft, Holger; Pergl, Jan; Pysek, Petr; Weigelt, Patrick; Winter, Marten; Lenzner, Bernd; Blackburn, Tim M.; Dyer, Ellie E.; Cassey, Phillip; Scrivens, Sally L.; Economo, Evan P.; Guenard, Benoit; Capinha, Cesar; Seebens, Hanno; Garcia-Diaz, Pablo; Nentwig, Wolfgang; Garcia-Berthou, Emili; Casal, Christine; Mandrak, Nicholas E.; Fuller, Pam; Meyer, Carsten; Essl, Franz</t>
  </si>
  <si>
    <t>[Dawson, Wayne] Univ Durham, Dept Biosci, South Rd, Durham DH1 3LE, England; [Moser, Dietmar; Lenzner, Bernd; Essl, Franz] Univ Vienna, Div Conservat Biol Vegetat &amp; Landscape Ecol, Rennweg 14, A-1030 Vienna, Austria; [van Kleunen, Mark] Univ Konstanz, Dept Biol, Ecol, Univ Str 10, D-78457 Constance, Germany; [van Kleunen, Mark] Taizhou Univ, Zhejiang Prov Key Lab Plant Evolutionary Ecol &amp; Co, Taizhou 318000, Peoples R China; [Kreft, Holger; Weigelt, Patrick] Univ Goettingen, Biodivers Macroecol &amp; Biogeog, Busgenweg 1, D-37077 Gottingen, Germany; [Pergl, Jan; Pysek, Petr] Czech Acad Sci, Inst Bot, Dept Invas Ecol, CZ-25243 Pruhonice, Czech Republic; [Pysek, Petr] Charles Univ Prague, Fac Sci, Dept Ecol, Vinicna 7, CZ-12844 Prague, Czech Republic; [Pysek, Petr; Essl, Franz] Stellenbosch Univ, Dept Bot &amp; Zool, Ctr Invas Biol, Private Bag X1, ZA-7602 Matieland, South Africa; [Winter, Marten] German Ctr Integrat Biodivers Res iDiv, Deutsch Pl 5e, D-04103 Leipzig, Germany; [Blackburn, Tim M.; Dyer, Ellie E.] UCL, Dept Genet Evolut &amp; Environm, Ctr Biodivers &amp; Environm Res, Gower St, London WC1E 6BT, England; [Blackburn, Tim M.] Zool Soc London, Inst Zool, Regents Pk, London NW1 4RY, England; [Blackburn, Tim M.] Univ Adelaide, Sch Biol Sci, Adelaide, SA 5005, Australia; [Cassey, Phillip; Scrivens, Sally L.; Garcia-Diaz, Pablo] Univ Adelaide, Sch Biol Sci, North Terrace, Adelaide, SA 5005, Australia; [Cassey, Phillip; Scrivens, Sally L.; Garcia-Diaz, Pablo] Univ Adelaide, Ctr Conservat Sci &amp; Technol CCoST, North Terrace, Adelaide, SA 5005, Australia; [Economo, Evan P.] Grad Univ, Okinawa Inst Sci &amp; Technol, 1919-1 Tancha, Onna, Okinawa 9040495, Japan; [Guenard, Benoit] Univ Hong Kong, Sch Biol Sci, Kadoorie Biol Sci Bldg,Pok Fu Lam Rd, Hong Kong, Hong Kong, Peoples R China; [Capinha, Cesar] Univ Porto, Catedra Infraestruturas Portugal Biodiversidade, Ctr Invest Biodiversidade &amp; Recursos Genet, CIBIO InBIO, Campus Agr Vairao, P-4485661 Vairao, Portugal; [Capinha, Cesar] Zool Forsch Museum Alexander Koenig, Adenauerallee 160, D-53113 Bonn, Germany; [Seebens, Hanno] Senckenberg Biodivers &amp; Climate Res Ctr BiK F, Senckenberganlage 25, D-60325 Frankfurt, Germany; [Garcia-Diaz, Pablo] Landcare Res, POB 69040, Lincoln 7640, New Zealand; [Nentwig, Wolfgang] Univ Bern, Inst Ecol &amp; Evolut, Baltzerstr 6, CH-3012 Bern, Switzerland; [Garcia-Berthou, Emili] Univ Girona, Inst Aquat Ecol, GRECO, Girona 17003, Catalonia, Spain; [Casal, Christine] FishBase Informat &amp; Res Grp Inc, Int Rice Res Inst, Khush Hall, Los Banos, Laguna, Philippines; [Mandrak, Nicholas E.] Univ Toronto, Dept Biol Sci, 1265 Mil Trail, Toronto, ON M1C 1A4, Canada; [Fuller, Pam] US Geol Survey, Nonindigenous Aquat Species Program, Wetlands &amp; Aquat Res Ctr, 7920 NW 71st St, Gainesville, FL 32653 USA; [Meyer, Carsten] German Ctr Integrat Biodivers Res iDiv, Macroecol &amp; Soc, Deutsch Pl 5e, D-04103 Leipzig, Germany</t>
  </si>
  <si>
    <t>Durham University; University of Vienna; University of Konstanz; Taizhou University; University of Gottingen; Czech Academy of Sciences; Institute of Botany of the Czech Academy of Sciences; Charles University Prague; Stellenbosch University; German Research Foundation (DFG); German Centre for Integrative Biodiversity Research (iDiv); University of London; University College London; Zoological Society of London; Adelaide University; University of Adelaide; Adelaide University; University of Adelaide; Adelaide University; University of Adelaide; Okinawa Institute of Science &amp; Technology Graduate University; University of Hong Kong; Universidade do Porto; Zoologisches Forschungsmuseum Alexander Koenig (ZFMK); Senckenberg Biodiversitat &amp; Klima- Forschungszentrum (BiK-F); Leibniz Association; Senckenberg Gesellschaft fur Naturforschung (SGN); Landcare Research - New Zealand; University of Bern; Universitat de Girona; CGIAR; International Rice Research Institute (IRRI); University of Toronto; United States Department of the Interior; United States Geological Survey; German Research Foundation (DFG); German Centre for Integrative Biodiversity Research (iDiv)</t>
  </si>
  <si>
    <t>Dawson, W (corresponding author), Univ Durham, Dept Biosci, South Rd, Durham DH1 3LE, England.</t>
  </si>
  <si>
    <t>wayne.dawson@durham.ac.uk</t>
  </si>
  <si>
    <t>Lenzner, Bernd/AAS-9140-2020; Weigelt, Patrick/E-2122-2014; Pysek, Petr/B-1957-2012; García-Berthou, Emili/A-5392-2008; Seebens, Hanno/I-2310-2019; Kreft, Holger/A-4736-2008; Winter, Marten/E-7979-2011; Capinha, César/K-6439-2017; Pergl, Jan/H-1071-2011; Essl, Franz/ABE-7064-2020; Meyer, Carsten/U-5637-2017; Blackburn, Tim/A-7685-2011; van Kleunen, Mark/B-3769-2009</t>
  </si>
  <si>
    <t>Lenzner, Bernd/0000-0002-2616-3479; Dyer, Ellie/0000-0001-5331-4490; Economo, Evan/0000-0001-7402-0432; Weigelt, Patrick/0000-0002-2485-3708; Seebens, Hanno/0000-0001-8993-6419; Guénard, Benoit/0000-0002-7144-1175; Essl, Franz/0000-0001-8253-2112; Dawson, Wayne/0000-0003-3402-0774; Fuller, Pam/0000-0002-9389-9144; García-Berthou, Emili/0000-0001-8412-741X; Kreft, Holger/0000-0003-4471-8236; Capinha, César/0000-0002-0666-9755; Pergl, Jan/0000-0002-0045-1974; Cassey, Phillip/0000-0002-2626-0172; Meyer, Carsten/0000-0003-3927-5856; García Díaz, Pablo/0000-0001-5402-0611; Moser, Dietmar/0000-0002-2745-7508; van Kleunen, Mark/0000-0002-2861-3701</t>
  </si>
  <si>
    <t>European Commission (COST Action) [TD1209]; Deutsche Forschungsgemeinschaft [SE 1891/2-1, KL 1866/9-1, FZT 118]; Academy of Sciences of the Czech Republic [RVO 67985939]; Praemium Academiae award; Czech Science Foundation [14-36079G]; Portuguese Foundation for Science and Technology (FCT/MCTES); POPH/FSE (EC) grant [SFRH/BPD/S4422/2012]; Spanish Ministry of Economy and Competitiveness [CGL2013-43822-R, CGL2015-69311-REDT]; Volkswagen Foundation through a Freigeist Fellowship; Austrian Science Foundation [I2086-B16]; Austrian Science Fund (FWF) [I2086] Funding Source: Austrian Science Fund (FWF)</t>
  </si>
  <si>
    <t>European Commission (COST Action); Deutsche Forschungsgemeinschaft(German Research Foundation (DFG)); Academy of Sciences of the Czech Republic(Czech Academy of Sciences); Praemium Academiae award; Czech Science Foundation(Grant Agency of the Czech Republic); Portuguese Foundation for Science and Technology (FCT/MCTES)(Fundacao para a Ciencia e a Tecnologia (FCT)); POPH/FSE (EC) grant; Spanish Ministry of Economy and Competitiveness(Spanish Government); Volkswagen Foundation through a Freigeist Fellowship; Austrian Science Foundation(Austrian Science Fund (FWF)); Austrian Science Fund (FWF)(Austrian Science Fund (FWF))</t>
  </si>
  <si>
    <t>This research benefited from support from the European Commission (COST Action TD1209). The Deutsche Forschungsgemeinschaft supported H.S. (DFG, grant SE 1891/2-1), M.v.K. (KL 1866/9-1) and M.W. (FZT 118), the Austrian Science Foundation supported F.E., B.L. and D.M. (FWF, grant I2086-B16). P.P. and J.P. were supported by the Academy of Sciences of the Czech Republic (no. RVO 67985939), Praemium Academiae award to P.P. and Czech Science Foundation (project no. 14-36079G). C. Capinha was supported by a postdoctoral grant from the Portuguese Foundation for Science and Technology (FCT/MCTES) and POPH/FSE (EC) grant SFRH/BPD/S4422/2012. F.G.-B. was supported by the Spanish Ministry of Economy and Competitiveness (projects CGL2013-43822-R and CGL2015-69311-REDT). C.M. was supported by the Volkswagen Foundation through a Freigeist Fellowship.</t>
  </si>
  <si>
    <t>FO9AA</t>
  </si>
  <si>
    <t>[Weller, Robert A.; Farrar, J. Thomas] Woods Hole Oceanog Inst, Woods Hole, MA 02543 USA; [Buckley, Jared] Univ Massachusetts Dartmouth, N Dartmouth, MA USA; [Mathew, Simi; Venkatesan, R.] Natl Inst Ocean Technol, Ocean Observat, Chennai, Tamil Nadu, India; [Lekha, J. Sree; Chaudhuri, Dipanjan] Indian Inst Sci, Ctr Atmospher &amp; Ocean Sci, Bangalore, Karnataka, India; [Kumar, N. Suresh; Kumar, B. Praveen] Indian Natl Ctr Ocean Informat Serv, Hyderabad, Andhra Pradesh, India</t>
  </si>
  <si>
    <t>Woods Hole Oceanographic Institution; University of Massachusetts System; University Massachusetts Dartmouth; Ministry of Earth Sciences (MoES) - India; National Institute of Ocean Technology (NIOT); Indian Institute of Science (IISC) - Bangalore; Ministry of Earth Sciences (MoES) - India; Indian National Centre for Ocean Information Services (INCOIS)</t>
  </si>
  <si>
    <t>Weller, RA (corresponding author), Woods Hole Oceanog Inst, Woods Hole, MA 02543 USA.</t>
  </si>
  <si>
    <t>rweller@whoi.edu</t>
  </si>
  <si>
    <t>Kumar, Praveen/D-5244-2009; Farrar, John/F-3532-2012; Beniwal, Dr Suresh/HHZ-2615-2022; Farrar, J./F-3532-2012; MATHEW, SIMI/ADY-9906-2022; Jarugula, Sreelekha/HHN-7474-2022</t>
  </si>
  <si>
    <t>Farrar, John/0000-0003-3495-1990; Mathew, Simi/0000-0003-2109-8345; Ramasamy, Venkatesan/0000-0001-7386-1539; Jarugula, Sreelekha/0000-0003-2171-2480; Kumar, Praveen/0000-0003-0523-4095; Beniwal, Suresh/0000-0002-2539-6553</t>
  </si>
  <si>
    <t>US Office of Naval Research [N00014-13-1-0453]; Ministry of Earth Sciences (MoES, Government of India)</t>
  </si>
  <si>
    <t>US Office of Naval Research(United States Department of DefenseUnited States NavyOffice of Naval Research); Ministry of Earth Sciences (MoES, Government of India)(Ministry of Earth Sciences (MoES) - India)</t>
  </si>
  <si>
    <t>Deployment of the WHOI mooring and R. Weller and J.T. Farrar were supported by the US Office of Naval Research, grant N00014-13-1-0453. Deployment of the WHOI mooring was carried out by ORV Sagar Nidhi and the recovery by ORV Sagar Kanya; the help of the crew and science parties is gratefully acknowledged as is the ongoing support at the National Institute of Ocean Technology (NIOT) in Chennai and by other colleagues in India of this mooring work. We especially thank M. Ravichandran of the Indian National Center for Ocean Information Services (INCOIS) and D. Sengupta of the Center for Atmospheric and Oceanic Sciences, Indian Institute of Science. Jim Moum and Emily Shroyer of Oregon State University deployed the chi pods. Amala Mahadevan (WHOI) and Melissa Osmand (University of Rhode Island) deployed the dissolved oxygen, PAR, and nitrate sensors. N. Suresh Kumar and B. Praveen Kumar acknowledge the financial support from Ministry of Earth Sciences (MoES, Government of India). This paper is INCOIS contribution number 248.</t>
  </si>
  <si>
    <t>DS2EY</t>
  </si>
  <si>
    <t>Univ Western Ontario, Inst Catastroph Loss Reduct, London, ON N6H 5H5, Canada</t>
  </si>
  <si>
    <t>Western University (University of Western Ontario)</t>
  </si>
  <si>
    <t>McBean, G (corresponding author), Univ Western Ontario, Inst Catastroph Loss Reduct, London, ON N6H 5H5, Canada.</t>
  </si>
  <si>
    <t>McBean, Gordon/0000-0001-5726-7249</t>
  </si>
  <si>
    <t>0921-030X</t>
  </si>
  <si>
    <t>1573-0840</t>
  </si>
  <si>
    <t>804MV</t>
  </si>
  <si>
    <t>Sallenger, Asbury H., Jr.; Doran, Kara S.; Howd, Peter A.</t>
  </si>
  <si>
    <t>[Sallenger, Asbury H., Jr.; Doran, Kara S.; Howd, Peter A.] US Geol Survey, St Petersburg Coastal &amp; Marine Sci Ctr, St Petersburg, FL 33701 USA</t>
  </si>
  <si>
    <t>United States Department of the Interior; United States Geological Survey</t>
  </si>
  <si>
    <t>Sallenger, AH (corresponding author), US Geol Survey, St Petersburg Coastal &amp; Marine Sci Ctr, 600 4th St S, St Petersburg, FL 33701 USA.</t>
  </si>
  <si>
    <t>asallenger@usgs.gov</t>
  </si>
  <si>
    <t>Doran, Kara/0000-0001-8050-5727</t>
  </si>
  <si>
    <t>USGS Coastal and Marine Geology Program</t>
  </si>
  <si>
    <t>The USGS Coastal and Marine Geology Program provided the financial support for this work. We thank the following for providing comments on our manuscript before submission: K. A. Holman, J. Boon, C. Fletcher, N. Plant, E. R. Thieler, L. Robbins and J. List. We also thank G. Mitchum, P. Thompson and J. Haines for useful discussions about dynamic SLR and results presented in this paper. K. Morgan assisted with preparation of the final figures.</t>
  </si>
  <si>
    <t>055RF</t>
  </si>
  <si>
    <t>Srebotnjak, Tanja; Carr, Genevieve; de Sherbinin, Alexander; Rickwood, Carrie</t>
  </si>
  <si>
    <t>[Srebotnjak, Tanja] Inst Ecol, D-10717 Berlin, Germany; [Carr, Genevieve] Indian &amp; No Affairs Canada, No Oil &amp; Gas Branch, Ottawa, ON K1A 0H4, Canada; [de Sherbinin, Alexander] Columbia Univ, Ctr Int Earth Sci Informat Network, Palisades, NY 10964 USA; [Rickwood, Carrie] Nat Resources Canada, Ottawa, ON K1A 0E4, Canada</t>
  </si>
  <si>
    <t>Columbia University; Natural Resources Canada</t>
  </si>
  <si>
    <t>Srebotnjak, T (corresponding author), Inst Ecol, Pfalzburger Str 43-44, D-10717 Berlin, Germany.</t>
  </si>
  <si>
    <t>Tanja.Srebotnjak@ecologic.eu</t>
  </si>
  <si>
    <t>de Sherbinin, Alex/0000-0002-8875-4864</t>
  </si>
  <si>
    <t>Coca Cola Foundation; Samuel Family Foundation; Betsy and Jesse Fink Foundation</t>
  </si>
  <si>
    <t>The authors wish to thank the team of the 2008 EPI for their valuable comments on an earlier draft of this paper. The WATQI also benefited from the input of the EPI lead scientific experts and other contributors as well as two anonymous referees. The work was in part supported by grants from the Coca Cola Foundation, The Samuel Family Foundation, and the Betsy and Jesse Fink Foundation to the Yale Center for Environmental Law and Policy.</t>
  </si>
  <si>
    <t>891HS</t>
  </si>
  <si>
    <t>Fisheries &amp; Oceans Canada, Great Lakes Lab Fisheries &amp; Aquat Sci, Burlington, ON L7R 4A6, Canada; Environm Canada, Canadian Wildlife Serv, Nepean, ON K1A 0H3, Canada; Environm Canada, Canadian Wildlife Serv, Iqaluit, NU X0A 0H0, Canada; Environm Canada, Natl Water Res Inst, Burlington, ON L7R 4A6, Canada; York Univ, Dept Biol, N York, ON M3J 1P3, Canada</t>
  </si>
  <si>
    <t>Fisheries &amp; Oceans Canada; Environment &amp; Climate Change Canada; Canadian Wildlife Service; Environment &amp; Climate Change Canada; Canadian Wildlife Service; Environment &amp; Climate Change Canada; National Water Research Institute; York University - Canada</t>
  </si>
  <si>
    <t>Doka, SE (corresponding author), Fisheries &amp; Oceans Canada, Great Lakes Lab Fisheries &amp; Aquat Sci, 867 Lakeshore Rd,Box 5050, Burlington, ON L7R 4A6, Canada.</t>
  </si>
  <si>
    <t>; Yan, Norman/H-5235-2013; Minns, Charles/GYU-2209-2022; Mallory, Mark/A-1952-2017</t>
  </si>
  <si>
    <t>Yan, Norman/0000-0003-4870-6865; Mallory, Mark/0000-0003-2744-3437</t>
  </si>
  <si>
    <t>717QL</t>
  </si>
  <si>
    <t>[Isobe, Atsuhiko; Iwasaki, Shinsuke] Kyushu Univ, Appl Mech Res Inst, Kasuga, Fukuoka 818580, Japan; [Uchida, Keiichi; Tokai, Tadashi] Tokyo Univ Marine Sci &amp; Technol, Dept Ocean Sci, Minato Ku, Tokyo 1088477, Japan</t>
  </si>
  <si>
    <t>Kyushu University; Tokyo University of Marine Science &amp; Technology</t>
  </si>
  <si>
    <t>Isobe, A (corresponding author), Kyushu Univ, Appl Mech Res Inst, 6-1 Kasuga Koen, Kasuga, Fukuoka 818580, Japan.</t>
  </si>
  <si>
    <t>aisobe@riam.kyushu-u.ac.jp; kuchida@kaiyodai.ac.jp; tokai@kaiyodai.ac.jp; iwasaki@riam.kyushu-u.ac.jp</t>
  </si>
  <si>
    <t>Isobe, Atsuhiko/G-4654-2015; Tokai, Tadashi/O-1882-2014</t>
  </si>
  <si>
    <t>Isobe, Atsuhiko/0000-0002-9063-9275; Tokai, Tadashi/0000-0003-2681-9527</t>
  </si>
  <si>
    <t>Ministry of the Environment, Japan; Environmental Research and Technology Development Fund of the Ministry of the Environment [4-1502]</t>
  </si>
  <si>
    <t>Ministry of the Environment, Japan(Ministry of the Environment, Japan); Environmental Research and Technology Development Fund of the Ministry of the Environment</t>
  </si>
  <si>
    <t>The authors sincerely thank Captain Akira Noda, Captain Toshifumi Hayashi, and the officers and crews of the T/V Umitaka-Maru and T/V Shinyo-Maru for their assistance during the field surveys and Ms. Sayaka Yamaguchi for her patience in measuring the small plastic fragments in the laboratory. Thanks are also extended to the journal reviewer for his/her help in improving the manuscript. Part of this research was supported by the Ministry of the Environment, Japan, and the Environmental Research and Technology Development Fund (4-1502) of the Ministry of the Environment.</t>
  </si>
  <si>
    <t>CZ4XY</t>
  </si>
  <si>
    <t>Navarro-Ortega, Alicia; Acuna, Vicenc; Bellin, Alberto; Burek, Peter; Cassiani, Giorgio; Choukr-Allah, Redouane; Doledec, Sylvain; Elosegi, Arturo; Ferrari, Federico; Ginebreda, Antoni; Grathwohl, Peter; Jones, Colin; Rault, Philippe Ker; Kok, Kasper; Koundouri, Phoebe; Ludwig, Ralf Peter; Merz, Ralf; Milacic, Radmila; Munoz, Isabel; Nikulin, Grigory; Paniconi, Claudio; Paunovic, Momir; Petrovic, Mira; Sabater, Laia; Sabater, Sergi; Skoulikidis, Nikolaos Th.; Slob, Adriaan; Teutsch, Georg; Voulvoulis, Nikolaos; Barcelo, Damia</t>
  </si>
  <si>
    <t>[Navarro-Ortega, Alicia; Ginebreda, Antoni; Sabater, Laia; Barcelo, Damia] IDAEA CSIC, Inst Environm Assessment &amp; Water Res, Barcelona 08034, Spain; [Acuna, Vicenc; Petrovic, Mira; Sabater, Sergi; Barcelo, Damia] Catalan Inst Water Res ICRA, Girona, Spain; [Bellin, Alberto] Univ Trento UNITN, Dept Civil Environm &amp; Mech Engn, Trento, Italy; [Burek, Peter] Inst Environm &amp; Sustainabil IFS JRC, Ispra, Italy; [Cassiani, Giorgio] Univ Padova UNIPD, Dept Geosci, Padua, Italy; [Choukr-Allah, Redouane] Inst Agron &amp; Vet Hassan II IAV, Agadir, Morocco; [Doledec, Sylvain] Univ Lyon 1, CNRS, LEHNA, F-69365 Lyon, France; [Elosegi, Arturo] Univ Basque Country UPV EHU, Fac Sci &amp; Technol, Bilbao, Spain; [Ferrari, Federico] AEIFORIA Srl, Fidenza, Italy; [Grathwohl, Peter] Tuebingen Univ EKUT, Ctr Appl Geosci, Tubingen, Germany; [Jones, Colin; Nikulin, Grigory] Swedish Meteorol &amp; Hydrol Inst, Rossby Ctr SMHI, S-60176 Norrkoping, Sweden; [Rault, Philippe Ker] Wageningen Univ &amp; Res Ctr ALTERRA, Climate Change &amp; Adapt Land &amp; Water Management Te, Wageningen, Netherlands; [Kok, Kasper] Wageningen Univ, NL-6700 AP Wageningen, Netherlands; [Koundouri, Phoebe] Res &amp; Innovat Ctr Informat Commun &amp; Knowledge Tec, Athens, Greece; [Koundouri, Phoebe] Athens Univ Econ &amp; Business, Athens, Greece; [Koundouri, Phoebe] Univ London London Sch Econ &amp; Polit Sci, London WC2A 2AE, England; [Ludwig, Ralf Peter] Univ Munich, Fac Geosci, Dept Geog, Munich, Germany; [Merz, Ralf; Teutsch, Georg] UFZ Helmholtz Ctr Environm Res, Leipzig, Germany; [Milacic, Radmila] Jozef Stefan Inst, Dept Environm Sci, Ljubljana, Slovenia; [Munoz, Isabel] Univ Barcelona, Dept Ecol, E-08028 Barcelona, Spain; [Paniconi, Claudio] Inst Natl Rech Sci, Quebec City, PQ, Canada; [Paunovic, Momir] Univ Belgrade, Inst Biol Res Sinisa Stankovic IBISS, Belgrade, Serbia; [Petrovic, Mira] Catalan Inst Res &amp; Adv Studies ICREA, Barcelona, Spain; [Sabater, Sergi] Univ Girona, Inst Aquat Ecol, Girona, Spain; [Skoulikidis, Nikolaos Th.] Inst Marine Biol Resources &amp; Inland Waters HCMR, Hellen Ctr Marine Res, Athens, Greece; [Slob, Adriaan] Netherlands Org Appl Sci Res TNO, Delft, Netherlands; [Voulvoulis, Nikolaos] Imperial Coll Sci Technol &amp; Med IMPERIAL, London, England</t>
  </si>
  <si>
    <t>Consejo Superior de Investigaciones Cientificas (CSIC); CSIC - Centro de Investigacion y Desarrollo Pascual Vila (CID-CSIC); CSIC - Instituto de Diagnostico Ambiental y Estudios del Agua (IDAEA); Institut Catala de Recerca de l'Aigua (ICRA); European Commission Joint Research Centre; EC JRC ISPRA Site; University of Padua; Centre National de la Recherche Scientifique (CNRS); Universite Claude Bernard Lyon 1; University of Basque Country; Eberhard Karls University of Tubingen; Swedish Meteorological &amp; Hydrological Institute; Wageningen University &amp; Research; Wageningen University &amp; Research; Athens University of Economics &amp; Business; University of London; London School Economics &amp; Political Science; University of Munich; Helmholtz Association; Helmholtz Center for Environmental Research (UFZ); Slovenian Academy of Sciences &amp; Arts (SASA); Jozef Stefan Institute; University of Barcelona; University of Quebec; Institut national de la recherche scientifique (INRS); University of Belgrade; ICREA; Universitat de Girona; Hellenic Centre for Marine Research; Netherlands Organization Applied Science Research; Imperial College London</t>
  </si>
  <si>
    <t>Navarro-Ortega, A (corresponding author), IDAEA CSIC, Dept Environm Chem, Water &amp; Soil Qual Res Grp, Jordi Girona 18-26, Barcelona 08034, Spain.</t>
  </si>
  <si>
    <t>alicia.navarro@idaea.csic.es</t>
  </si>
  <si>
    <t>Paunović, Momir/H-9177-2019; Teutsch, Georg/AAW-9437-2021; Muñoz, Isabel/L-9414-2014; Sabater, Sergi/A-7549-2008; Cassiani, Giorgio/M-2269-2019; Voulvoulis, Nikolaos/C-9246-2012; SABATER, LAIA/P-8042-2016; Acuña, Vicenç/L-6608-2014; Dolédec, Sylvain/AFA-3460-2022; Skoulikidis, Nikolaos/G-9209-2011; Burek, Peter/LZI-1563-2025; Merz, Ralf/N-7614-2014; Petrovic, Mira/L-1789-2014; Elosegi, Arturo/B-7796-2009; BARCELO, DAMIA/O-4558-2016; Koundouri, Phoebe/AAI-2160-2021; Bellin, Alberto/F-8955-2013</t>
  </si>
  <si>
    <t>Dolédec, Sylvain/0000-0002-0280-7866; Navarro-Ortega, Alícia/0000-0002-5202-1503; Kok, Kasper/0000-0002-6319-9227; Grathwohl, Peter/0000-0002-9712-8339; Muñoz, Isabel/0000-0001-8110-9435; CASSIANI, GIORGIO/0000-0002-9060-5606; Paunović, Momir/0000-0002-6432-1191; Voulvoulis, Nikolaos/0000-0001-9703-3703; Paniconi, Claudio/0000-0003-2063-2841; SABATER, LAIA/0000-0001-8138-1009; Acuña, Vicenç/0000-0002-4485-6703; Ginebreda, Antonio/0000-0003-4714-2850; Skoulikidis, Nikolaos/0000-0002-3527-4883; Petrovic, Mira/0000-0001-9734-1933; Elosegi, Arturo/0000-0001-8809-8484; Koundouri, Phoebe/0000-0001-5979-6128; Bellin, Alberto/0000-0002-7348-8313; Burek, Peter/0000-0001-6390-8487</t>
  </si>
  <si>
    <t>European Communities 7th Framework Programme [603629-ENV-2013-6.2.1-Globaqua]; Generalitat de Catalunya [SGR 418, SGR 291]; King Saud University; ICREA Funding Source: Custom</t>
  </si>
  <si>
    <t>European Communities 7th Framework Programme; Generalitat de Catalunya(Generalitat de Catalunya); King Saud University(King Saud University); ICREA(ICREA)</t>
  </si>
  <si>
    <t>This work has been supported by the European Communities 7th Framework Programme Funding under Grant agreement no. 603629-ENV-2013-6.2.1-Globaqua and by the Generalitat de Catalunya (Consolidated Research Groups 2014 SGR 418 - Water and Soil Quality Unit and 2014 SGR 291 - ICRA). Damia Barcelo acknowledges support from the Visiting Professor Program of King Saud University. Special thanks are due to all partners of the GLOBAQUA consortium and the peer review panel for ensuring quality results and fruitful collaboration within the project</t>
  </si>
  <si>
    <t>AU6RG</t>
  </si>
  <si>
    <t>Green Published, Green Submitted, hybrid</t>
  </si>
  <si>
    <t>[Church, John A.; White, Neil J.; Domingues, Catia M.] CSIRO Marine &amp; Atmospher Res, Ctr Australian Weather &amp; Climate Res Partnership, Hobart, Tas 7001, Australia; [Church, John A.; White, Neil J.; Domingues, Catia M.] CSIRO Marine &amp; Atmospher Res, Australian Bur Meteorol &amp; CSIRO, Hobart, Tas 7001, Australia; [Church, John A.; White, Neil J.; Hunter, John R.; Lambeck, Kurt] Antarctic Climate &amp; Ecosyst Cooperat Res Ctr, Hobart, Tas, Australia; [Aarup, Thorkild] UNESCO, Intergovt Oceanog Commiss, Paris, France; [Wilson, W. Stanley] US Natl Ocean &amp; Atmospher Adm, Washington, DC USA; [Woodworth, Philip L.] Proudman Oceanog Lab, Permanent Serv Mean Sea Level, Liverpool, Merseyside, England; [Lambeck, Kurt] Australian Natl Univ, Res Sch Earth Sci, Canberra, ACT, Australia</t>
  </si>
  <si>
    <t>Commonwealth Scientific &amp; Industrial Research Organisation (CSIRO); Commonwealth Scientific &amp; Industrial Research Organisation (CSIRO); Antarctic Climate &amp; Ecosystems Cooperative Research Centre (ACE CRC); National Oceanic Atmospheric Admin (NOAA) - USA; NERC National Oceanography Centre; Australian National University</t>
  </si>
  <si>
    <t>Church, JA (corresponding author), CSIRO Marine &amp; Atmospher Res, Ctr Australian Weather &amp; Climate Res Partnership, GPO Box 1538, Hobart, Tas 7001, Australia.</t>
  </si>
  <si>
    <t>John.Church@csiro.au</t>
  </si>
  <si>
    <t>Domingues, Catia/A-2901-2015; White, Neil/B-2077-2013; Woodworth, Philip/JBJ-1344-2023; Church, John/A-1541-2012; Domingues, Catia M/A-2901-2015</t>
  </si>
  <si>
    <t>Woodworth, Philip/0000-0002-6681-239X; Church, John/0000-0002-7037-8194; Domingues, Catia M/0000-0001-5100-4595</t>
  </si>
  <si>
    <t>CSIRO; Australian Government's Cooperative Research Centres Programme; Australian Climate Change Science Program; Natural Environment Research Council [soc010007, pol010005] Funding Source: researchfish; NERC [soc010007, pol010005] Funding Source: UKRI</t>
  </si>
  <si>
    <t>CSIRO(Commonwealth Scientific &amp; Industrial Research Organisation (CSIRO)); Australian Government's Cooperative Research Centres Programme(Australian GovernmentDepartment of Industry, Innovation and ScienceCooperative Research Centres (CRC) Programme); Australian Climate Change Science Program; Natural Environment Research Council(UK Research &amp; Innovation (UKRI)Natural Environment Research Council (NERC)); NERC(UK Research &amp; Innovation (UKRI)Natural Environment Research Council (NERC))</t>
  </si>
  <si>
    <t>This paper is a contribution to the CSIRO Climate Change Research Program and the CSIRO Wealth from Oceans Flagship and was supported by the Australian Government's Cooperative Research Centres Programme through the Antarctic Climate and Ecosystems Cooperative Research Centre. JAC, NJW and JRH were partly funded by the Australian Climate Change Science Program.</t>
  </si>
  <si>
    <t>SHIROYAMA TRUST TOWER 5F, 4-3-1 TORANOMON, MINATO-KU, TOKYO, 105-6005, JAPAN</t>
  </si>
  <si>
    <t>1862-4065</t>
  </si>
  <si>
    <t>1862-4057</t>
  </si>
  <si>
    <t>417UM</t>
  </si>
  <si>
    <t>[Halpern, Benjamin S.; Walbridge, Shaun; Selkoe, Kimberly A.; Kappel, Carrie V.; Ebert, Colin; Perry, Matthew T.] Natl Ctr Ecol Anal &amp; Synth, Santa Barbara, CA 93101 USA; [Selkoe, Kimberly A.] Hawaii Inst Marine Biol, Kaneohe, HI 96744 USA; [Micheli, Fiorenza] Stanford Univ, Hopkins Marine Stn, Pacific Grove, CA 93950 USA; [D'Agrosa, Caterina] Wildlife Conservat Soc, Bronx, NY 10460 USA; [Bruno, John F.] Univ N Carolina, Dept Marine Sci, Chapel Hill, NC 27599 USA; [Casey, Kenneth S.; Selig, Elizabeth R.] NOAA, Natl Oceanog Data Ctr, Silver Spring, MD 20910 USA; [Fox, Helen E.] World Wildlife Fund, Conservat Sci Program, Washington, DC 20037 USA; [Fujita, Rod] Environm Def, Oakland, CA 94618 USA; [Heinemann, Dennis] Ocean Conservancy, Washington, DC 20006 USA; [Lenihan, Hunter S.] Univ Calif Santa Barbara, Bren Sch Environm Sci &amp; Management, Santa Barbara, CA 93106 USA; [Madin, Elizabeth M. P.] Univ Calif Santa Barbara, Dept Ecol Evolut &amp; Marine Biol, Santa Barbara, CA 93106 USA; [Selig, Elizabeth R.] Univ N Carolina, Curriculum Ecol, Chapel Hill, NC 27599 USA; [Spalding, Mark] Nature Conservancy, Conservat Strategies Div, Newmarket CB8 8AW, Suffolk, England; [Steneck, Robert] Univ Maine, Darling Marine Ctr, Sch Marine Sci, Walpole, ME 04353 USA; [Watson, Reg] Univ British Columbia, Fisheries Ctr, Vancouver, BC V6T 1Z4, Canada</t>
  </si>
  <si>
    <t>University of California System; University of California Santa Barbara; Stanford University; Wildlife Conservation Society; University of North Carolina; University of North Carolina Chapel Hill; National Oceanic Atmospheric Admin (NOAA) - USA; World Wildlife Fund; University of California System; University of California Santa Barbara; University of California System; University of California Santa Barbara; University of North Carolina; University of North Carolina Chapel Hill; University of Maine System; University of Maine Orono; University of British Columbia</t>
  </si>
  <si>
    <t>Halpern, BS (corresponding author), Natl Ctr Ecol Anal &amp; Synth, 735 State St, Santa Barbara, CA 93101 USA.</t>
  </si>
  <si>
    <t>halpern@nceas.ucsb.edu; selkoe@nceas.ucsb.edu</t>
  </si>
  <si>
    <t>Halpern, Benjamin/J-6141-2014; Spalding, Mark/GVU-0739-2022; Fox, Helen/C-3543-2009; Kappel, Carrie/B-9534-2009; Watson, Reg/F-4850-2012; Casey, Kenneth/D-4065-2013</t>
  </si>
  <si>
    <t>Halpern, Benjamin/0000-0001-8844-2302; Fox, Helen Elizabeth/0000-0002-0541-7484; Heinemann, Dennis/0000-0002-1434-2445; Spalding, Mark/0000-0001-9456-4533; Watson, Reg/0000-0001-7201-8865; Micheli, Fiorenza/0000-0002-6865-1438; Casey, Kenneth/0000-0002-6052-7117</t>
  </si>
  <si>
    <t>262RM</t>
  </si>
  <si>
    <t>CSIRO Marine &amp; Atmospher Res, Hobart, Tas 7001, Australia; Antarctic Climate &amp; Ecosyst Cooperat Res Ctr, Hobart, Tas 7001, Australia</t>
  </si>
  <si>
    <t>Commonwealth Scientific &amp; Industrial Research Organisation (CSIRO); Antarctic Climate &amp; Ecosystems Cooperative Research Centre (ACE CRC)</t>
  </si>
  <si>
    <t>Church, JA (corresponding author), CSIRO Marine &amp; Atmospher Res, GPO Box 1538, Hobart, Tas 7001, Australia.</t>
  </si>
  <si>
    <t>Church, John/A-1541-2012; White, Neil/B-2077-2013</t>
  </si>
  <si>
    <t>Church, John/0000-0002-7037-8194;</t>
  </si>
  <si>
    <t>087LD</t>
  </si>
  <si>
    <t>Galbraith Environm Sci, Boulder, CO 80305 USA; Stratus Consulting Inc, Boulder, CO 80306 USA; Eco Modeling, Diamondhead, MS 39525 USA; US EPA, Washington, DC 20460 USA; Manomet Ctr Conservat Sci, Manomet, MA 02345 USA; Point Reyes Bird Observ, Stinson Beach, CA 94976 USA</t>
  </si>
  <si>
    <t>Stratus Consulting Group; United States Environmental Protection Agency</t>
  </si>
  <si>
    <t>Galbraith, H (corresponding author), Galbraith Environm Sci, 633 Furman Way, Boulder, CO 80305 USA.</t>
  </si>
  <si>
    <t>Jones, Richard/0000-0002-0904-3141</t>
  </si>
  <si>
    <t>NATL MUSEUM NATURAL HISTORY SMITHSONIAN INST, WASHINGTON, DC 20560 USA</t>
  </si>
  <si>
    <t>1524-4695</t>
  </si>
  <si>
    <t>562CM</t>
  </si>
  <si>
    <t>Syracuse Univ, Dept Civil &amp; Environm Engn, Ctr Environm Syst Engn, Syracuse, NY 13244 USA; US Geol Survey, Troy, NY 12180 USA; Univ Virginia, Dept Environm Sci, Charlottesville, VA 22903 USA; Cornell Univ, Ctr Environm, Ithaca, NY 14853 USA; Univ Maine, Dept Biol Sci, Orono, ME 04469 USA; US Forest Serv, NE Forest Expt Stn, USDA, Durham, NH 03824 USA; Hubbard Brook Res Fdn, Hanover, NH 03755 USA; Inst Ecosyst Studies, Lab Serv, Millbrook, NY 12545 USA; US EPA, Corvallis Environm Res Lab, Corvallis, OR 97333 USA</t>
  </si>
  <si>
    <t>Syracuse University; United States Department of the Interior; United States Geological Survey; University of Virginia; Cornell University; University of Maine System; University of Maine Orono; United States Department of Agriculture (USDA); United States Forest Service; Cary Institute of Ecosystem Studies; United States Environmental Protection Agency</t>
  </si>
  <si>
    <t>Driscoll, CT (corresponding author), Syracuse Univ, Dept Civil &amp; Environm Engn, Ctr Environm Syst Engn, Syracuse, NY 13244 USA.</t>
  </si>
  <si>
    <t>ctdrisco@syr.edu</t>
  </si>
  <si>
    <t>iscoll, Charles T/F-9832-2014; Butler, Thomas/NES-8287-2025; Stoddard, John/H-5594-2013; Driscoll, Charles/F-9832-2014</t>
  </si>
  <si>
    <t>iscoll, Charles T/0000-0003-2692-2890; Stoddard, John/0000-0002-2537-6130;</t>
  </si>
  <si>
    <t>432RX</t>
  </si>
  <si>
    <t>Johnson, Andrew C.; Donnachie, Rachel L.; Sumpter, John P.; Jurgens, Monika D.; Moeckel, Claudia; Pereira, M. Gloria</t>
  </si>
  <si>
    <t>[Johnson, Andrew C.; Donnachie, Rachel L.; Jurgens, Monika D.] Ctr Ecol &amp; Hydrol, Wallingford OX10 8BB, Oxon, England; [Sumpter, John P.] Brunel Univ London, Inst Environm Hlth &amp; Soc, Uxbridge UB8 3PH, Middx, England; [Moeckel, Claudia; Pereira, M. Gloria] Ctr Ecol &amp; Hydrol, Lancaster LA1 4AP, England</t>
  </si>
  <si>
    <t>UK Centre for Ecology &amp; Hydrology (UKCEH); Brunel University; UK Centre for Ecology &amp; Hydrology (UKCEH)</t>
  </si>
  <si>
    <t>Johnson, AC (corresponding author), Ctr Ecol &amp; Hydrol, Wallingford OX10 8BB, Oxon, England.</t>
  </si>
  <si>
    <t>ajo@ceh.ac.uk</t>
  </si>
  <si>
    <t>sumpter, john/HGB-7584-2022; Jürgens, Monika/B-2225-2008; Pereira, M Gloria/K-3024-2012; Donnachie, Rachel/JRX-8204-2023; Pereira, M. Gloria/K-3024-2012; Jürgens, Monika/B-2225-2008</t>
  </si>
  <si>
    <t>Jürgens, Monika/0000-0002-6526-589X; Pereira, M Gloria/0000-0003-3740-0019; Jürgens, Monika/0000-0002-6526-589X</t>
  </si>
  <si>
    <t>UK's Department for Environment, Food and Rural Affairs [00462]</t>
  </si>
  <si>
    <t>UK's Department for Environment, Food and Rural Affairs(Department for Environment, Food &amp; Rural Affairs (DEFRA))</t>
  </si>
  <si>
    <t>We would like to thank the UK's Department for Environment, Food and Rural Affairs for funding this project (00462). The views expressed here are of the authors alone. We would also like to thank colleagues at Brunel University and CEH for their advice on the project</t>
  </si>
  <si>
    <t>FA2EL</t>
  </si>
  <si>
    <t>26th International Ornithological Congress (IOC)</t>
  </si>
  <si>
    <t>AUG 18-24, 2014</t>
  </si>
  <si>
    <t>Rikkyo Univ, Tokyo, JAPAN</t>
  </si>
  <si>
    <t>Rikkyo Univ</t>
  </si>
  <si>
    <t>[Blackburn, Tim M.; Dyer, Ellie; Su, Shan] UCL, Ctr Biodivers &amp; Environm Res, Dept Genet Evolut &amp; Environm, London WC1E 6BT, England; [Blackburn, Tim M.; Dyer, Ellie; Su, Shan] Zool Soc London, Inst Zool, London NW1 4RY, England; [Blackburn, Tim M.; Cassey, Phillip] Univ Adelaide, Sch Biol Sci, Adelaide, SA 5005, Australia; [Blackburn, Tim M.] Univ Stellenbosch, Dept Bot &amp; Zool, Ctr Invas Biol, ZA-7600 Stellenbosch, South Africa; [Blackburn, Tim M.] King Saud Univ, Distinguished Scientist Fellowship Program, Riyadh 1145, Saudi Arabia</t>
  </si>
  <si>
    <t>University of London; University College London; Zoological Society of London; Adelaide University; University of Adelaide; Stellenbosch University; King Saud University</t>
  </si>
  <si>
    <t>Blackburn, TM (corresponding author), UCL, Ctr Biodivers &amp; Environm Res, Dept Genet Evolut &amp; Environm, Gower St, London WC1E 6BT, England.</t>
  </si>
  <si>
    <t>t.blackburn@ucl.ac.uk</t>
  </si>
  <si>
    <t>Blackburn, Tim/AAC-3144-2019</t>
  </si>
  <si>
    <t>Dyer, Ellie/0000-0001-5331-4490</t>
  </si>
  <si>
    <t>King Saud University Distinguished Scientist Fellowship Program; ARC [DP140102319]; Future Fellowship [FT0991420]</t>
  </si>
  <si>
    <t>King Saud University Distinguished Scientist Fellowship Program(King Saud University); ARC(Australian Research Council); Future Fellowship(Australian Research Council)</t>
  </si>
  <si>
    <t>We thank the organizing committee of the 26th International Ornithological Congress for the opportunity to present our work, and two anonymous referees for their helpful comments on an earlier version of the paper. This study was supported by the King Saud University Distinguished Scientist Fellowship Program (TMB), and by an ARC Discovery Grant (DP140102319) and Future Fellowship (FT0991420) to PC.</t>
  </si>
  <si>
    <t>2193-7206</t>
  </si>
  <si>
    <t>S15</t>
  </si>
  <si>
    <t>S25</t>
  </si>
  <si>
    <t>CZ9ZT</t>
  </si>
  <si>
    <t>Robinson, Carol; Steinberg, Deborah K.; Anderson, Thomas R.; Aristegui, Javier; Carlson, Craig A.; Frost, Jessica R.; Ghiglione, Jean-Francois; Hernandez-Leon, Santiago; Jackson, George A.; Koppelmann, Rolf; Queguiner, Bernard; Ragueneau, Olivier; Rassoulzadegan, Fereidoun; Robison, Bruce H.; Tamburini, Christian; Tanaka, Tsuneo; Wishner, Karen F.; Zhang, Jing</t>
  </si>
  <si>
    <t>[Robinson, Carol] Univ E Anglia, Sch Environm Sci, Norwich NR4 7TJ, Norfolk, England; [Steinberg, Deborah K.] Virginia Inst Marine Sci, Gloucester Point, VA 23062 USA; [Anderson, Thomas R.] Univ Southampton, Natl Oceanog Ctr, Southampton SO14 3ZH, Hants, England; [Aristegui, Javier; Hernandez-Leon, Santiago] Univ Las Palmas Gran Canaria, Fac Ciencias Mar, Las Palmas Gran Canaria 35017, Spain; [Carlson, Craig A.] Univ Calif Santa Barbara, Dept Ecol Evolut &amp; Marine Biol, Santa Barbara, CA 93106 USA; [Frost, Jessica R.; Koppelmann, Rolf] Univ Hamburg, Inst Hydrobiol &amp; Fisheries Sci, D-22767 Hamburg, Germany; [Ghiglione, Jean-Francois] CNRS, Observ Oceanol Banyuls, UMR 7621, F-66651 Banyuls Sur Mer, France; [Jackson, George A.] Texas A&amp;M Univ, Dept Oceanog, College Stn, TX 77843 USA; [Queguiner, Bernard] Aix Marseille Univ, F-13288 Marseille 9, France; [Queguiner, Bernard] Ctr Oceanol Marseille, LOPB, UMR 6535, OSU, F-13288 Marseille 9, France; [Ragueneau, Olivier] Inst Univ Europeen Mer, UMR 6539, F-29280 Plouzane, France; [Rassoulzadegan, Fereidoun; Tanaka, Tsuneo] Lab Oceanog Villefranche, UMR 7093, Stn Zool, F-06234 Villefranche Sur Mer, France; [Robison, Bruce H.] Monterey Bay Aquarium Res Inst, Moss Landing, CA 95039 USA; [Tamburini, Christian] Univ Mediterranee, Ctr Oceanol Marseille, Lab Microbiol Geochim &amp; Ecol Marines, CNRS,INSU,UMR 6117, F-13288 Marseille 9, France; [Wishner, Karen F.] Univ Rhode Isl, Narragansett, RI 02882 USA; [Zhang, Jing] E China Normal Univ, State Key Lab Estuarine &amp; Coastal Res, Shanghai 200062, Peoples R China</t>
  </si>
  <si>
    <t>University of East Anglia; William &amp; Mary; Virginia Institute of Marine Science; NERC National Oceanography Centre; University of Southampton; Universidad de Las Palmas de Gran Canaria; University of California System; University of California Santa Barbara; University of Hamburg; Centre National de la Recherche Scientifique (CNRS); CNRS - National Institute for Earth Sciences &amp; Astronomy (INSU); Sorbonne Universite; Texas A&amp;M University System; Texas A&amp;M University College Station; Aix-Marseille Universite; Universite de Bretagne Occidentale; Institut Universitaire Europeen de la Mer (IUEM); Centre National de la Recherche Scientifique (CNRS); CNRS - Institute of Ecology &amp; Environment (INEE); Ifremer; Institut de Recherche pour le Developpement (IRD); Sorbonne Universite; Centre National de la Recherche Scientifique (CNRS); CNRS - National Institute for Earth Sciences &amp; Astronomy (INSU); Monterey Bay Aquarium Research Institute; Aix-Marseille Universite; Centre National de la Recherche Scientifique (CNRS); CNRS - National Institute for Earth Sciences &amp; Astronomy (INSU); University of Rhode Island; East China Normal University</t>
  </si>
  <si>
    <t>Robinson, C (corresponding author), Univ E Anglia, Sch Environm Sci, Norwich NR4 7TJ, Norfolk, England.</t>
  </si>
  <si>
    <t>carol.robinson@uea.ac.uk</t>
  </si>
  <si>
    <t>; Quéguiner, Bernard/B-4060-2008; Robinson, Carol/F-7649-2011; Ragueneau, Olivier/H-6021-2017; Hernández-León, Santiago/M-2563-2014; Arístegui, Javier/D-5833-2013; Carlson, Craig/LWI-9996-2024; Tanaka, Tsuneo/G-3751-2011; Tamburini, Christian/I-7821-2012; Anderson, Thomas/K-5487-2012; Ghiglione, Jean-Francois/A-7540-2011; Rassoulzadegan, Fereidoun/A-2650-2012</t>
  </si>
  <si>
    <t>Steinberg, Deborah K/0000-0001-9884-4655; Quéguiner, Bernard/0000-0001-5020-8297; Robinson, Carol/0000-0003-3033-4565; Ragueneau, Olivier/0000-0001-8598-1730; Arístegui, Javier/0000-0002-7526-7741; Hernández-León, Santiago/0000-0002-3085-4969; Tamburini, Christian/0000-0003-3752-7423; Koppelmann, Rolf/0000-0002-0561-9617;</t>
  </si>
  <si>
    <t>Ocean Carbon and Biogeochemistry (OCB); Scientific Committee on Oceanic Research (SCOR); National Science Foundation (NSF) [OCE-0628444, OCE-0526502, OCE-0801991]; EurOceans fellowship [WP4-SYSMS-1101]; ANR-POTES [ANR-05-BLAN-0161-01]; Anderson by the Natural Environment Research Council, UK; NERC [noc010005, noc010010] Funding Source: UKRI; Natural Environment Research Council [noc010010, noc010005] Funding Source: researchfish; Division Of Ocean Sciences; Directorate For Geosciences [0927863] Funding Source: National Science Foundation</t>
  </si>
  <si>
    <t>Ocean Carbon and Biogeochemistry (OCB); Scientific Committee on Oceanic Research (SCOR); National Science Foundation (NSF)(National Science Foundation (NSF)); EurOceans fellowship; ANR-POTES(Agence Nationale de la Recherche (ANR)); Anderson by the Natural Environment Research Council, UK; NERC(UK Research &amp; Innovation (UKRI)Natural Environment Research Council (NERC)); Natural Environment Research Council(UK Research &amp; Innovation (UKRI)Natural Environment Research Council (NERC)); Division Of Ocean Sciences; Directorate For Geosciences(National Science Foundation (NSF)NSF - Directorate for Geosciences (GEO))</t>
  </si>
  <si>
    <t>This review was developed out of discussions during the mesopelagic workshop at the first IMBER IMBIZO meeting 'Integrating biogeochemistry and ecosystems in a changing ocean' held in Miami in November 2008. We thank all those involved in co-ordinating this meeting including the IMBER International Project Office, the scientific organizing committee, the session chairs and the sponsors. Financial support for workshop attendees came from the Ocean Carbon and Biogeochemistry (OCB) program and the Scientific Committee on Oceanic Research (SCOR). During the preparation of this manuscript D.K. Steinberg was supported by National Science Foundation (NSF) grant OCE-0628444, J.R. Frost by EurOceans fellowship award WP4-SYSMS-1101, K.F. Wishner by NSF grant OCE-0526502, CA Carlson by NSF grant OCE-0801991, C.T. by the ANR-POTES (ANR-05-BLAN-0161-01) grant, and T.R. Anderson by the Natural Environment Research Council, UK.</t>
  </si>
  <si>
    <t>0967-0645</t>
  </si>
  <si>
    <t>1879-0100</t>
  </si>
  <si>
    <t>631VI</t>
  </si>
  <si>
    <t>[Geyer, Roland] Univ Calif Santa Barbara, Bren Sch Environm Sci &amp; Management, Santa Barbara, CA 93106 USA; [Jambeck, Jenna R.] Univ Georgia, Coll Engn, Driftmier Engn Ctr 412, Athens, GA 30602 USA; [Law, Kara Lavender] Sea Educ Assoc, Woods Hole, MA 02543 USA</t>
  </si>
  <si>
    <t>University of California System; University of California Santa Barbara; University System of Georgia; University of Georgia</t>
  </si>
  <si>
    <t>Geyer, R (corresponding author), Univ Calif Santa Barbara, Bren Sch Environm Sci &amp; Management, Santa Barbara, CA 93106 USA.</t>
  </si>
  <si>
    <t>geyer@bren.ucsb.edu</t>
  </si>
  <si>
    <t>Jambeck, Jenna/C-3357-2018; Law, Kara/OJU-3096-2025; Ciocioc, Ion Valentin/KGM-1552-2024</t>
  </si>
  <si>
    <t>Jambeck, Jenna/0000-0003-1248-7218; Ciocioc, Ion Valentin/0009-0002-5711-5856</t>
  </si>
  <si>
    <t>NSF Chemical, Bioengineering, Environmental and Transport Systems [1335478]; Directorate For Engineering [1335478] Funding Source: National Science Foundation; Div Of Chem, Bioeng, Env, &amp; Transp Sys [1335478] Funding Source: National Science Foundation</t>
  </si>
  <si>
    <t>NSF Chemical, Bioengineering, Environmental and Transport Systems; Directorate For Engineering(National Science Foundation (NSF)NSF - Directorate for Engineering (ENG)); Div Of Chem, Bioeng, Env, &amp; Transp Sys(National Science Foundation (NSF)NSF - Directorate for Engineering (ENG))</t>
  </si>
  <si>
    <t>This work was conducted within the Marine Debris Working Group at the National Center for Ecological Analysis and Synthesis, University of California, Santa Barbara, with support from Ocean Conservancy. R.G. was supported by the NSF Chemical, Bioengineering, Environmental and Transport Systems grant #1335478.</t>
  </si>
  <si>
    <t>FI0CH</t>
  </si>
  <si>
    <t>Capinha, Cesar; Essl, Franz; Seebens, Hanno; Moser, Dietmar; Pereira, Henrique Miguel</t>
  </si>
  <si>
    <t>[Capinha, Cesar; Pereira, Henrique Miguel] Univ Porto, CIBIO InBIO, Ctr Invest Biodiversidade &amp; Recursos Genet, Catedra REFER Biodiversidade, P-4485661 Vairao, Portugal; [Capinha, Cesar] Museumsmeile Bonn, Zool Forschungsmuseum Alexander Koenig, D-53113 Bonn, Germany; [Essl, Franz; Moser, Dietmar] Univ Vienna, Fac Ctr Biodivers, Div Conservat Biol Vegetat &amp; Landscape Ecol, A-1030 Vienna, Austria; [Seebens, Hanno] Carl von Ossietzky Univ Oldenburg, Inst Chem &amp; Biol Marine Environm ICBM, D-26111 Oldenburg, Germany; [Pereira, Henrique Miguel] German Ctr Integrat Biodivers Res iDiv, D-04103 Leipzig, Germany; [Pereira, Henrique Miguel] Univ Halle Wittenberg, Inst Biol, D-06108 Halle, Saale, Germany</t>
  </si>
  <si>
    <t>Universidade do Porto; Zoologisches Forschungsmuseum Alexander Koenig (ZFMK); University of Vienna; Carl von Ossietzky Universitat Oldenburg; German Research Foundation (DFG); German Centre for Integrative Biodiversity Research (iDiv); Martin Luther University Halle Wittenberg</t>
  </si>
  <si>
    <t>Capinha, C (corresponding author), Univ Porto, CIBIO InBIO, Ctr Invest Biodiversidade &amp; Recursos Genet, Catedra REFER Biodiversidade, Campus Agr Vairao, P-4485661 Vairao, Portugal.</t>
  </si>
  <si>
    <t>ccapinha@cibio.up.pt</t>
  </si>
  <si>
    <t>Capinha, César/K-6439-2017; Pereira, Henrique/B-3975-2009; Seebens, Hanno/I-2310-2019; Essl, Franz/ABE-7064-2020</t>
  </si>
  <si>
    <t>Capinha, César/0000-0002-0666-9755; Pereira, Henrique/0000-0003-1043-1675; Seebens, Hanno/0000-0001-8993-6419; Moser, Dietmar/0000-0002-2745-7508; Essl, Franz/0000-0001-8253-2112</t>
  </si>
  <si>
    <t>Portuguese Foundation for Science and Technology (FCT/MCTES); POPH/FSE (EC) [SFRH/BPD/84422/2012]; Austrian Climate and Energy Fund [KR11AC0K00355]; German VW-Foundation; German Centre for Integrative Biodiversity Research (iDiv) Halle-Jena-Leipzig - German Research Foundation [FZT 118]; Catedra-REFER-Biodiversidade</t>
  </si>
  <si>
    <t>Portuguese Foundation for Science and Technology (FCT/MCTES)(Fundacao para a Ciencia e a Tecnologia (FCT)); POPH/FSE (EC)(European Union (EU)European Commission Joint Research CentreEuropean Social Fund (ESF)); Austrian Climate and Energy Fund; German VW-Foundation; German Centre for Integrative Biodiversity Research (iDiv) Halle-Jena-Leipzig - German Research Foundation; Catedra-REFER-Biodiversidade</t>
  </si>
  <si>
    <t>We thank the many researchers who provided information on the native and current distribution of the species, particularly B. Roth, D. Herbert, D. Robinson, G. Stuffle, H. Kappes, J. Ablett, J. Gerlach, K. Hayes, O. Griffiths, R. Preece, R. Forsyth, S. Martin, T.-S. Liew, and T. A. Pearce. We highly appreciate the comments and suggestions of three anonymous reviewers. All sources of species distribution data used in this study are listed in the supplementary materials. Climate and trade data are freely available in the WorldClim (www.worldclim.org) and the UN Comtrade (http://comtrade.un.org) online databases, respectively. Supported by a postdoctoral grant from the Portuguese Foundation for Science and Technology (FCT/MCTES) and POPH/FSE (EC) grant SFRH/BPD/84422/2012 (C.C.), the Austrian Climate and Energy Fund (project no. KR11AC0K00355, SpecAdapt) (F.E.), the German VW-Foundation (H. S.), the German Centre for Integrative Biodiversity Research (iDiv) Halle-Jena-Leipzig funded by German Research Foundation grant FZT 118 (H.M.P.), and Catedra-REFER-Biodiversidade.</t>
  </si>
  <si>
    <t>CK2AK</t>
  </si>
  <si>
    <t>[Guler, Yasmin; Ford, Alex T.] Univ Portsmouth, Sch Biol Sci, Inst Marine Sci, Portsmouth PO4 9LY, Hants, England</t>
  </si>
  <si>
    <t>University of Portsmouth</t>
  </si>
  <si>
    <t>Ford, AT (corresponding author), Univ Portsmouth, Sch Biol Sci, Inst Marine Sci, Ferry Rd, Portsmouth PO4 9LY, Hants, England.</t>
  </si>
  <si>
    <t>Ford, Alex/C-3522-2008</t>
  </si>
  <si>
    <t>Ford, Alex/0000-0001-5202-546X</t>
  </si>
  <si>
    <t>1879-1514</t>
  </si>
  <si>
    <t>645VD</t>
  </si>
  <si>
    <t>Univ Calif Berkeley, Museum Vertebrate Zool, Berkeley, CA 94720 USA; Univ Calif Davis, Dept Environm Sci &amp; Policy, Davis, CA 95616 USA; Univ Queensland, Rainforest Cooperat Res Ctr, St Lucia, Qld 4067, Australia; Ctr Int Agr Trop, Cali, Colombia; Int Plant Genet Resources Inst, Cali, Colombia</t>
  </si>
  <si>
    <t>University of California System; University of California Berkeley; University of California System; University of California Davis; University of Queensland; Alliance; International Center for Tropical Agriculture - CIAT</t>
  </si>
  <si>
    <t>Hijmans, RJ (corresponding author), Univ Calif Berkeley, Museum Vertebrate Zool, 3101 Valley Life Sci Bldg, Berkeley, CA 94720 USA.</t>
  </si>
  <si>
    <t>rhijmans@berkeley.edu</t>
  </si>
  <si>
    <t>Hijmans, Robert/N-3299-2016; Jarvis, Andy/K-5516-2013; Parra, Juan/AFL-2308-2022</t>
  </si>
  <si>
    <t>Jarvis, Andy/0000-0001-6543-0798;</t>
  </si>
  <si>
    <t>0899-8418</t>
  </si>
  <si>
    <t>1097-0088</t>
  </si>
  <si>
    <t>001FT</t>
  </si>
  <si>
    <t>Seebens, Hanno; Blackburn, Tim M.; Dyer, Ellie E.; Genovesi, Piero; Hulme, Philip E.; Jeschke, Jonathan M.; Pagad, Shyama; Pysek, Petr; van Kleunen, Mark; Winter, Marten; Ansong, Michael; Arianoutsou, Margarita; Bacher, Sven; Blasius, Bernd; Brockerhoff, Eckehard G.; Brundu, Giuseppe; Capinha, Cesar; Causton, Charlotte E.; Celesti-Grapow, Laura; Dawson, Wayne; Dullinger, Stefan; Economo, Evan P.; Fuentes, Nicol; Guenard, Benoit; Jager, Heinke; Kartesz, John; Kenis, Marc; Kuehn, Ingolf; Lenzner, Bernd; Liebhold, Andrew M.; Mosena, Alexander; Moser, Dietmar; Nentwig, Wolfgang; Nishino, Misako; Pearman, David; Pergl, Jan; Rabitsch, Wolfgang; Rojas-Sandoval, Julissa; Roques, Alain; Rorke, Stephanie; Rossinelli, Silvia; Roy, Helen E.; Scalera, Riccardo; Schindler, Stefan; Stajerova, Katerina; Tokarska-Guzik, Barbara; Walker, Kevin; Ward, Darren F.; Yamanaka, Takehiko; Essl, Franz</t>
  </si>
  <si>
    <t>[Seebens, Hanno] Senckenberg Biodivers &amp; Climate Res Ctr, D-60325 Frankfurt, Germany; [Seebens, Hanno; Dullinger, Stefan; Lenzner, Bernd; Moser, Dietmar; Schindler, Stefan; Essl, Franz] Univ Vienna, Dept Bot &amp; Biodivers Res, A-1030 Vienna, Austria; [Blackburn, Tim M.; Dyer, Ellie E.] UCL, Ctr Biodivers &amp; Environm Res, Dept Genet Evolut &amp; Environm, London WC1E 6BT, England; [Blackburn, Tim M.; Dyer, Ellie E.] Zool Soc London, Inst Zool, London NW1 4RY, England; [Blackburn, Tim M.; Essl, Franz] Stellenbosch Univ, Dept Bot &amp; Zool, Ctr Invas Biol, ZA-7599 Stellenbosch, South Africa; [Genovesi, Piero] Inst Environm Protect &amp; Res, I-00144 Rome, Italy; [Genovesi, Piero; Scalera, Riccardo] Int Union Conservat Nat, Species Survival Commiss, Invas Species Specialist Grp, I-00144 Rome, Italy; [Hulme, Philip E.] Lincoln Univ, Bioprotect Res Ctr, Christchurch 7648, New Zealand; [Jeschke, Jonathan M.] Leibniz Inst Freshwater Ecol &amp; Inland Fisheries, D-12587 Berlin, Germany; [Jeschke, Jonathan M.] Free Univ Berlin, Dept Biol Chem &amp; Pharm, Inst Biol, D-14195 Berlin, Germany; [Jeschke, Jonathan M.] Berlin Brandenburg Inst Adv Biodivers Res, D-14195 Berlin, Germany; [Pagad, Shyama] Univ Auckland, Int Union Conservat Nat, Species Survival Commiss, Invas Species Specialist Grp, Auckland 1072, New Zealand; [Pysek, Petr; Stajerova, Katerina] Czech Acad Sci, Dept Invas Ecol, Inst Bot, CZ-25243 Pruhonice, Czech Republic; [Pysek, Petr; Stajerova, Katerina] Charles Univ Prague, Fac Sci, Dept Ecol, Vinicna 7, CZ-12844 Prague, Czech Republic; [van Kleunen, Mark] Univ Konstanz, Dept Biol, Ecol, D-78457 Constance, Germany; [van Kleunen, Mark] Zhejiang Prov Key Lab Plant Evolutionary Ecol &amp;, Taizhou 318000, Peoples R China; [Winter, Marten; Kuehn, Ingolf] German Ctr Integrat Biodivers Res iDiv, D-04103 Leipzig, Germany; [Ansong, Michael] Kwame Nkrumah Univ Sci &amp; Technol, Fac Renewable Nat Resource, Dept Silviculture &amp; Forest Management, Kumasi, Ghana; [Arianoutsou, Margarita] Natl &amp; Kapodistrian Univ Athens, Fac Biol, Dept Ecol &amp; Systemat, Athens 15784, Greece; [Bacher, Sven; Rossinelli, Silvia] Univ Fribourg, Dept Biol, CH-1700 Fribourg, Switzerland; [Blasius, Bernd] Carl von Ossietzky Univ Oldenburg, Inst Chem &amp; Biol Marine Environm, D-26111 Oldenburg, Germany; [Brockerhoff, Eckehard G.] Sc New Zealand Forest Res Inst, Christchurch 8440, New Zealand; [Brundu, Giuseppe] Univ Sassari, Dept Agr, I-07100 Sassari, Italy; [Capinha, Cesar] Univ Porto, Ctr Invest Biodiversidade Recursos Genet, InBIO, CIBIO, P-4485661 Vairao, Portugal; [Capinha, Cesar] Univ Nova Lisboa, IHMT, Global Hlth &amp; Trop Med, P-1349008 Lisbon, Portugal; [Causton, Charlotte E.; Jager, Heinke] Charles Darwin Fdn Galapagos Islands, Santa Cruz, Galapagos, Ecuador; [Celesti-Grapow, Laura] Sapienza Univ, Dept Environm Biol, I-00185 Rome, Italy; [Dawson, Wayne] Univ Durham, Sch Biol &amp; Biomed Sci, Durham DH1 3LE, England; [Economo, Evan P.] Grad Univ, Okinawa Inst Sci &amp; Technol, Biodivers &amp; Biocomplex Unit, Onna, Okinawa 9040495, Japan; [Fuentes, Nicol] Univ Concepcion, Fac Ciencias Nat &amp; Oceanog, Dept Botan, Casilla 160-C, Concepcion, Chile; [Guenard, Benoit] Univ Hong Kong, Sch Biol Sci, Pokfulam, Hong Kong, Peoples R China; [Kartesz, John; Nishino, Misako] Biota North Amer Program, Chapel Hill, NC 27516 USA; [Kenis, Marc] CABI, CH-2800 Delemont, Switzerland; [Kuehn, Ingolf] UFZ Helmholtz Ctr Environm Res, Dept Community Ecol, D-06120 Halle, Germany; [Kuehn, Ingolf] Martin Luther Univ Halle Wittenberg, Dept Geobotany &amp; Bot Garden, D-06108 Halle, Germany; [Liebhold, Andrew M.] US Forest Serv, Northern Res Stn, Morgantown, WV 26505 USA; [Mosena, Alexander] Bielefeld Univ, Dept Expt &amp; Syst Ecol, D-33615 Bielefeld, Germany; [Mosena, Alexander] Bielefeld Univ, Ctr InterAmer Studies, D-33615 Bielefeld, Germany; [Nentwig, Wolfgang] Univ Bern, Inst Ecol &amp; Evolut, CH-3012 Bern, Switzerland; [Pearman, David; Pergl, Jan; Walker, Kevin] Bot Soc Britain &amp; Ireland, Harrogate HG1 1SS, England; [Rabitsch, Wolfgang] Environm Agcy, Dept Biol Div &amp; Nat Conservat, A-1090 Vienna, Austria; [Rojas-Sandoval, Julissa] Smithsonian Inst, Natl Museum Nat Hist, Dept Bot, Washington, DC 20013 USA; [Roques, Alain] Zool Forestiere, Inst Natl Rech Agron, UR 0633, F-45075 Orleans, France; [Rorke, Stephanie; Roy, Helen E.] Ctr Ecol &amp; Hydrol, Wallingford OX10 8BB, Oxon, England; [Tokarska-Guzik, Barbara] Univ Silesia, Fac Biol &amp; Environm Protect, Dept Bot &amp; Nat Protect, PL-40032 Katowice, Poland; [Ward, Darren F.] Univ Auckland, Sch Biol Sci, Auckland 1142, New Zealand; [Ward, Darren F.] Landcare Res, PB 92170, Auckland, New Zealand; [Yamanaka, Takehiko] Natl Agr &amp; Food Res Org, Inst Agroenvironm Sci, Tsukuba, Ibaraki 3058604, Japan</t>
  </si>
  <si>
    <t>Senckenberg Biodiversitat &amp; Klima- Forschungszentrum (BiK-F); Leibniz Association; Senckenberg Gesellschaft fur Naturforschung (SGN); University of Vienna; University of London; University College London; Zoological Society of London; Stellenbosch University; Italian Institute for Environmental Protection &amp; Research (ISPRA); Lincoln University - New Zealand; Leibniz Association; Leibniz Institut fur Gewasserokologie und Binnenfischerei (IGB); Free University of Berlin; University of Auckland; Czech Academy of Sciences; Institute of Botany of the Czech Academy of Sciences; Charles University Prague; University of Konstanz; German Research Foundation (DFG); German Centre for Integrative Biodiversity Research (iDiv); Kwame Nkrumah University Science &amp; Technology; National &amp; Kapodistrian University of Athens; University of Fribourg; Carl von Ossietzky Universitat Oldenburg; University of Sassari; Universidade do Porto; Universidade Nova de Lisboa; Institute of Hygiene &amp; Tropical Medicine - UNL; Sapienza University Rome; Durham University; Okinawa Institute of Science &amp; Technology Graduate University; Universidad de Concepcion; University of Hong Kong; Helmholtz Association; Helmholtz Center for Environmental Research (UFZ); Martin Luther University Halle Wittenberg; United States Department of Agriculture (USDA); United States Forest Service; University of Bielefeld; University of Bielefeld; University of Bern; Smithsonian Institution; Smithsonian National Museum of Natural History; INRAE; UK Centre for Ecology &amp; Hydrology (UKCEH); University of Silesia in Katowice; University of Auckland; Landcare Research - New Zealand; National Agriculture &amp; Food Research Organization - Japan</t>
  </si>
  <si>
    <t>Seebens, H (corresponding author), Senckenberg Biodivers &amp; Climate Res Ctr, D-60325 Frankfurt, Germany.;Seebens, H; Essl, F (corresponding author), Univ Vienna, Dept Bot &amp; Biodivers Res, A-1030 Vienna, Austria.;Essl, F (corresponding author), Stellenbosch Univ, Dept Bot &amp; Zool, Ctr Invas Biol, ZA-7599 Stellenbosch, South Africa.</t>
  </si>
  <si>
    <t>hanno.seebens@senckenberg.de; franz.essl@univie.ac.at</t>
  </si>
  <si>
    <t>Brundu, Giuseppe/C-6772-2012; Blackburn, Tim/A-7685-2011; Kühn, Ingolf/B-9756-2009; Schindler, Stefan/A-1695-2011; Brockerhoff, Eckehard/C-1528-2009; Liebhold, Andrew/C-1423-2008; Jeschke, Jonathan/A-2707-2008; Arianoutsou, Margarita/ABA-1614-2021; Štajerová, Kateřina/Q-8991-2017; Ansong, Michael/GXG-4349-2022; Rabitsch, Wolfgang/G-4562-2011; Essl, Franz/ABE-7064-2020; Blasius, Bernd/AAH-1897-2019; van Kleunen, Mark/B-3769-2009; Pergl, Jan/H-1071-2011; Genovesi, Piero/Z-1571-2019; Lenzner, Bernd/AAS-9140-2020; Roy, Helen/A-1488-2010; Pysek, Petr/B-1957-2012; Winter, Marten/E-7979-2011; Seebens, Hanno/I-2310-2019; Bacher, Sven/F-5431-2010; Kenis, Marc/HMD-4929-2023; Štajerová, Kateřina/Q-8991-2017; Hulme, Philip/F-7454-2011; Causton, Charlotte/HKF-2623-2023; Tokarska-Guzik, Barbara/L-8891-2019; Capinha, César/K-6439-2017; CELESTI, Laura/R-3615-2016; Jäger, Heinke/ABH-5731-2020; CELESTI, Laura/ABA-2552-2021; Ward, Darren/A-3238-2009; Fuentes, Nicol/IWU-9404-2023; Scalera, Riccardo/KMY-1169-2024</t>
  </si>
  <si>
    <t>Brundu, Giuseppe/0000-0003-3076-4098; Economo, Evan/0000-0001-7402-0432; Rabitsch, Wolfgang/0000-0002-3811-6071; Fuentes, Nicol/0000-0002-3773-9832; Dawson, Wayne/0000-0003-3402-0774; Štajerová, Kateřina/0000-0001-7824-1793; Dyer, Ellie/0000-0001-5331-4490; Rojas-Sandoval, Julissa/0000-0001-6620-4741; van Kleunen, Mark/0000-0002-2861-3701; Pergl, Jan/0000-0002-0045-1974; Brockerhoff, Eckehard G/0000-0002-5962-3208; Lenzner, Bernd/0000-0002-2616-3479; Scalera, Riccardo/0000-0002-4100-3959; ARIANOUTSOU, MARGARITA/0000-0002-6743-9240; Genovesi, Piero/0000-0002-0262-1420; Dullinger, Stefan/0000-0003-3919-0887; Essl, Franz/0000-0001-8253-2112; Seebens, Hanno/0000-0001-8993-6419; Tokarska-Guzik, Barbara/0000-0002-4058-1220; Bacher, Sven/0000-0001-5147-7165; Ward, Darren/0000-0002-4509-8553; Jäger, Heinke/0000-0001-9065-4048; Ansong, Michael/0000-0003-3811-3230; Kenis, Marc/0000-0002-3179-0872; Štajerová, Kateřina/0000-0001-7824-1793; Hulme, Philip/0000-0001-5712-0474; Capinha, César/0000-0002-0666-9755; CELESTI, Laura/0000-0002-9533-6919; Yamanaka, Takehiko/0000-0003-2888-1076; Moser, Dietmar/0000-0002-2745-7508; Guénard, Benoit/0000-0002-7144-1175; Jeschke, Jonathan/0000-0003-3328-4217; Blasius, Bernd/0000-0002-6558-1462</t>
  </si>
  <si>
    <t>Deutsche Forschungsgemeinschaft (DFG) [SE 1891/2-1, KL 1866/9-1]; Invasion Dynamics Network DFG Grant [JE 288/8-1]; Austrian Science Fund Grant [I2086-B16]; COST Action TD1209 Alien Challenge; Galapagos Conservancy [2160]; Czech Academy of Sciences [RVO 67985939]; Czech Science Foundation [14-36079G]; Centre of Excellence PLADIAS; New Zealand Ministry of Business, Innovation and Employment (MBIE) core funding [CO4X1104]; Better Border Biosecurity collaboration; Polish National Science Centre; Portuguese Foundation for Science and Technology; Programa Operacional Potencial Humano/Fundo Social Europeu Grants [SFRH/BPD/84422/20, GHTM - UID/Multi/04413/2013]; Fondecyt postdoc [3120125]; Leverhulme Trust [RF/2/RFG/2010/0016]; King Saud University Distinguished Scientist Research Fellowship; Federal Ministry of Education and Research, Germany project The Americas as Space of Entanglements; Defra in compiling first records through the GB Non-Native Species Information Portal; German Centre for Integrative Biodiversity Research (iDiv) Halle-Jena-Leipzig Grant [DFG FZT 118]; MBIE; US Department of Energy, Office of Science Innovative and Novel Computational Impact on Theory and Experiment program; US Department of Energy, Office of Biological and Environmental Research; National Oceanic and Atmospheric Administration Climate Program Office; [P505/11/1112]; NERC [NE/R016429/1] Funding Source: UKRI; Natural Environment Research Council [NE/R016429/1] Funding Source: researchfish; Austrian Science Fund (FWF) [I2086] Funding Source: Austrian Science Fund (FWF)</t>
  </si>
  <si>
    <t>Deutsche Forschungsgemeinschaft (DFG)(German Research Foundation (DFG)); Invasion Dynamics Network DFG Grant(German Research Foundation (DFG)); Austrian Science Fund Grant; COST Action TD1209 Alien Challenge; Galapagos Conservancy; Czech Academy of Sciences(Czech Academy of Sciences); Czech Science Foundation(Grant Agency of the Czech Republic); Centre of Excellence PLADIAS; New Zealand Ministry of Business, Innovation and Employment (MBIE) core funding(New Zealand Ministry of Business, Innovation and Employment (MBIE)); Better Border Biosecurity collaboration; Polish National Science Centre; Portuguese Foundation for Science and Technology(Fundacao para a Ciencia e a Tecnologia (FCT)); Programa Operacional Potencial Humano/Fundo Social Europeu Grants; Fondecyt postdoc(Comision Nacional de Investigacion Cientifica y Tecnologica (CONICYT)CONICYT FONDECYT); Leverhulme Trust(Leverhulme Trust); King Saud University Distinguished Scientist Research Fellowship; Federal Ministry of Education and Research, Germany project The Americas as Space of Entanglements; Defra in compiling first records through the GB Non-Native Species Information Portal; German Centre for Integrative Biodiversity Research (iDiv) Halle-Jena-Leipzig Grant; MBIE(New Zealand Ministry of Business, Innovation and Employment (MBIE)); US Department of Energy, Office of Science Innovative and Novel Computational Impact on Theory and Experiment program(United States Department of Energy (DOE)); US Department of Energy, Office of Biological and Environmental Research(United States Department of Energy (DOE)); National Oceanic and Atmospheric Administration Climate Program Office(National Oceanic Atmospheric Admin (NOAA) - USA); ; NERC(UK Research &amp; Innovation (UKRI)Natural Environment Research Council (NERC)); Natural Environment Research Council(UK Research &amp; Innovation (UKRI)Natural Environment Research Council (NERC)); Austrian Science Fund (FWF)(Austrian Science Fund (FWF))</t>
  </si>
  <si>
    <t>We thank the Comision Nacional para el Conocimiento y Uso de la Biodiversidad team, David Baxter, Yves Frenot, Eckehart Jager, Wojciech Solarz, Agnes Dellinger, Stephan Gollasch, Marc Lebouvier, and Zuzana Sixtova, for providing data of first records or contacts to data providers; Johan Liakka for assistance in climate data acquisition; Eva-Maria Gerstner for help in archiving data; Bob O'Hara for statistical advice; and two anonymous reviewers for their helpful comments. First records of plants in Greece were derived from unpublished data of M. Arianoutsou, Ioannis Bazos, Pinelopi Delipetrou, Yannis Kokkoris, and Andreas Zikos. The study was supported by Deutsche Forschungsgemeinschaft (DFG) Grants SE 1891/2-1 (to H.S.) and KL 1866/9-1 (to M.v.K.), Invasion Dynamics Network DFG Grant JE 288/8-1, Austrian Science Fund Grant I2086-B16 (to H.S., F.E., and S.D.), COST Action TD1209 Alien Challenge (S.B., F.E., R.S., H.E.R., M. Arianoutsou, A.R., M.v.K., S.S., W.N., and I.K.), the Galapagos Conservancy (C.E.C. and H.J., contribution 2160 of the Charles Darwin Foundation for the Galapagos Islands), The Czech Academy of Sciences (research development project RVO 67985939 and Praemium Academiae award supporting P.P., J.P., and K.S.), Czech Science Foundation Projects 14-36079G, Centre of Excellence PLADIAS and P505/11/1112 (P.P., J.P., and K.S.), New Zealand Ministry of Business, Innovation and Employment (MBIE) core funding (CO4X1104) to Scion and the Better Border Biosecurity collaboration (E.G.B.), the Polish National Science Centre (B.T.-G), the Portuguese Foundation for Science and Technology and Programa Operacional Potencial Humano/Fundo Social Europeu Grants SFRH/BPD/84422/20 and GHTM - UID/Multi/04413/2013 (to C.C.), Fondecyt postdoc 3120125 (N.F.), the Leverhulme Trust (RF/2/RFG/2010/0016) and a King Saud University Distinguished Scientist Research Fellowship (both to T.M.B.), the Federal Ministry of Education and Research, Germany project The Americas as Space of Entanglements (A.M.), Defra in compiling first records through the GB Non-Native Species Information Portal (H.E.R.), the German Centre for Integrative Biodiversity Research (iDiv) Halle-Jena-Leipzig Grant DFG FZT 118 (to M.W.), subsidy funding to Okinawa Institute of Science and Technology Graduate University (E.P.E.), MBIE to Landcare Research within the Managing Invasives Portfolio (D.W.). Support for the Twentieth Century Reanalysis Project dataset is provided by the US Department of Energy, Office of Science Innovative and Novel Computational Impact on Theory and Experiment program and Office of Biological and Environmental Research and by the National Oceanic and Atmospheric Administration Climate Program Office.</t>
  </si>
  <si>
    <t>E2264</t>
  </si>
  <si>
    <t>E2273</t>
  </si>
  <si>
    <t>FY2UK</t>
  </si>
  <si>
    <t>L'Heureux, Michelle L.; Takahashi, Ken; Watkins, Andrew B.; Barnston, Anthony G.; Becker, Emily J.; Di Liberto, Tom E.; Gamble, Felicity; Gottschalck, Jon; Halpert, Michael S.; Huang, Boyin; Mosquera-Vasquez, Kobi; Wittenberg, Andrew T.</t>
  </si>
  <si>
    <t>[L'Heureux, Michelle L.; Gottschalck, Jon; Halpert, Michael S.] NOAA, NWS, NCEPNCEPNCEPNCEP, Climate Predict Ctr, College Pk, MD 20740 USA; [Mosquera-Vasquez, Kobi] Inst Geofis Peru, Lima, Peru; [Watkins, Andrew B.; Gamble, Felicity] Australian Bur Meteorol, Melbourne, Vic, Australia; [Barnston, Anthony G.] Columbia Univ, Int Res Inst Climate &amp; Soc, New York, NY USA; [Becker, Emily J.; Di Liberto, Tom E.] NOAA, NWS, NCEP, Climate Predict Ctr,Innovim, College Pk, MD USA; [Huang, Boyin] NOAA, Natl Ctr Environm Informat, Asheville, NC USA; [Wittenberg, Andrew T.] NOAA, Geophys Fluid Dynam Lab, Princeton, NJ USA</t>
  </si>
  <si>
    <t>National Oceanic Atmospheric Admin (NOAA) - USA; Bureau of Meteorology - Australia; Columbia University; National Oceanic Atmospheric Admin (NOAA) - USA; National Oceanic Atmospheric Admin (NOAA) - USA; National Oceanic Atmospheric Admin (NOAA) - USA</t>
  </si>
  <si>
    <t>L'Heureux, ML (corresponding author), NOAA, NWS, NCEPNCEPNCEPNCEP, Climate Predict Ctr, College Pk, MD 20740 USA.</t>
  </si>
  <si>
    <t>michelle.lheureux@noaa.gov</t>
  </si>
  <si>
    <t>L'Heureux, Michelle/C-7517-2013; Mosquera, Kobi/O-6725-2019; Barnston, Anthony/AHB-2825-2022; Takahashi, Ken/G-5321-2010; Wittenberg, Anew/G-9619-2013; Wittenberg, Andrew/G-9619-2013</t>
  </si>
  <si>
    <t>Takahashi, Ken/0000-0003-3670-2939; Wittenberg, Anew/0000-0003-1680-8963; Becker, Emily/0000-0002-5533-9891; Mosquera-Vásquez, Kobi/0000-0003-0253-4201;</t>
  </si>
  <si>
    <t>NOAA Climate Programs Office (CPO)/Climate.gov for the ENSO Blog; NOAA CPO/MAPP [NA12OAR4310082]; U. S. Embassy in Peru; Peruvian Embassy in the United States; [PP068]</t>
  </si>
  <si>
    <t>NOAA Climate Programs Office (CPO)/Climate.gov for the ENSO Blog; NOAA CPO/MAPP; U. S. Embassy in Peru; Peruvian Embassy in the United States;</t>
  </si>
  <si>
    <t>We thank Leigh Zhang (NOAA/CPC) for updating several reanalysis datasets on our behalf. ML, EB, TD, and AB are grateful for support from the NOAA Climate Programs Office (CPO)/Climate.gov for the ENSO Blog. AB also acknowledges NOAA CPO/MAPP Grant NA12OAR4310082. KT and KM acknowledge the PP068 program and colleagues at the ENFEN Committee. KT also appreciates the support of the U. S. Embassy in Peru, the Peruvian Embassy in the United States, and Min. J. M. Benites.</t>
  </si>
  <si>
    <t>FC0BH</t>
  </si>
  <si>
    <t>[Heron, Scott F.; Eakin, C. Mark] NOAA Coral Reef Watch, NESDIS Ctr Satellite Applicat &amp; Res, 5830 Univ Res Ct,E-RA3, College Pk, MD 20740 USA; [Heron, Scott F.] Global Sci &amp; Technol Inc, Greenbelt, MD 20770 USA; [Heron, Scott F.] James Cook Univ, Marine Geophys Lab, Dept Phys, Coll Sci Technol &amp; Engn, Townsville, Qld 4811, Australia; [Maynard, Jeffrey A.] SymbioSeas &amp; Marine Appl Res Ctr, Wilmington, NC 28411 USA; [Maynard, Jeffrey A.] CNRS EPHE UPVD, CRIOBE, USR 3278, Lab Excellence CORAIL, 58 Ave Paul Alduy, F-66860 Perpignan, France; [van Hooidonk, Ruben] NOAA Atlantic Oceanog &amp; Meteorol Lab, Ocean Chem &amp; Ecosyst Div, 4301 Rickenbacker Causeway, Miami, FL 33149 USA; [van Hooidonk, Ruben] Univ Miami, Rosenstiel Sch Marine &amp; Atmospher Sci, Cooperat Inst Marine &amp; Atmospher Studies, 4600 Rickenbacker Cswy, Miami, FL 33149 USA</t>
  </si>
  <si>
    <t>National Oceanic Atmospheric Admin (NOAA) - USA; National Aeronautics &amp; Space Administration (NASA); James Cook University; Centre National de la Recherche Scientifique (CNRS); CNRS - Institute of Ecology &amp; Environment (INEE); National Oceanic Atmospheric Admin (NOAA) - USA; Atlantic Oceanographic &amp; Meteorological Laboratory (AOML); University of Miami</t>
  </si>
  <si>
    <t>Heron, SF (corresponding author), NOAA Coral Reef Watch, NESDIS Ctr Satellite Applicat &amp; Res, 5830 Univ Res Ct,E-RA3, College Pk, MD 20740 USA.;Heron, SF (corresponding author), Global Sci &amp; Technol Inc, Greenbelt, MD 20770 USA.;Heron, SF (corresponding author), James Cook Univ, Marine Geophys Lab, Dept Phys, Coll Sci Technol &amp; Engn, Townsville, Qld 4811, Australia.</t>
  </si>
  <si>
    <t>scott.heron@noaa.gov</t>
  </si>
  <si>
    <t>; Eakin, C Mark/F-5585-2010; van Hooidonk, Ruben/F-7395-2010; Eakin, C./F-5585-2010; Heron, Scott/E-7928-2011</t>
  </si>
  <si>
    <t>Heron, Scott/0000-0001-5262-6978; Eakin, C Mark/0000-0002-5987-0858;</t>
  </si>
  <si>
    <t>National Oceanic and Atmospheric Administration (NOAA) Coral Reef Conservation Program (CRCP) via the U.S. National Fish and Wildlife Foundation; NOAA CRCP; National Environmental Satellite, Data, and Information Service (NESDIS); Total Foundation (Fondation Total)</t>
  </si>
  <si>
    <t>National Oceanic and Atmospheric Administration (NOAA) Coral Reef Conservation Program (CRCP) via the U.S. National Fish and Wildlife Foundation(National Oceanic Atmospheric Admin (NOAA) - USA); NOAA CRCP(National Oceanic Atmospheric Admin (NOAA) - USA); National Environmental Satellite, Data, and Information Service (NESDIS); Total Foundation (Fondation Total)</t>
  </si>
  <si>
    <t>This study was primarily funded by a grant from the National Oceanic and Atmospheric Administration (NOAA) Coral Reef Conservation Program (CRCP) via the U.S. National Fish and Wildlife Foundation awarded to SFH and JAM. G Liu, J De La Cour and E Geiger co-developed the NOAA Coral Reef Watch (CRW) webpages that contain static and interactive maps of the thermal history metrics presented here. The NOAA CRCP and National Environmental Satellite, Data, and Information Service (NESDIS) support the NOAA CRW team. Figures were collaboratively developed with D Tracey. The Total Foundation (Fondation Total) is providing financial support to ongoing analyses using thermal history data layers to identify reefs potentially more resilient to climate change. The contents in this manuscript are solely the opinions of the authors and do not constitute a statement of policy, decision or position on behalf of NOAA or the U.S. Government.</t>
  </si>
  <si>
    <t>EE0BV</t>
  </si>
  <si>
    <t>International Marine Conservation Congress (IMCC3)</t>
  </si>
  <si>
    <t>AUG 14-18, 2014</t>
  </si>
  <si>
    <t>Glasgow, SCOTLAND</t>
  </si>
  <si>
    <t>[Williams, R.; Ashe, E.; Hammond, P. S.] Univ St Andrews, Scottish Oceans Inst, Sea Mammal Res Unit, St Andrews KY16 8LB, Fife, Scotland; [Williams, R.; Ashe, E.] Oceans Initiat, Pearse Isl, BC V0N 1A0, Canada; [Wright, A. J.] George Mason Univ, Dept Environm Sci &amp; Policy, Fairfax, VA 22030 USA; [Blight, L. K.] Procellaria Res &amp; Consulting, Victoria, BC V9A 5C3, Canada; [Bruintjes, R.; Simpson, S. D.] Univ Exeter, Coll Life &amp; Environm Sci, Biosci, Exeter EX4 4QD, Devon, England; [Canessa, R.] Univ Victoria, Dept Geog, Victoria, BC V8W 3R4, Canada; [Clark, C. W.] Cornell Univ, Bioacoust Res Program, Ithaca, NY 14850 USA; [Cullis-Suzuki, S.] Univ York, Dept Environm, York YO10 5DD, N Yorkshire, England; [Dakin, D. T.] Univ Victoria, Ocean Networks Canada, Victoria, BC V8W 2Y2, Canada; [Erbe, C.] Curtin Univ, Ctr Marine Sci &amp; Technol, Perth, WA 6102, Australia; [Merchant, N. D.] Ctr Environm Fisheries &amp; Aquaculture Sci Cefas, Lowestoft NR33 0HT, Suffolk, England; [O'Hara, P. D.] Environm Canada, Inst Ocean Sci, Canadian Wildlife Serv, Sidney, BC V8L 4B2, Canada; [Purser, J.; Radford, A. N.] Univ Bristol, Sch Biol Sci, Bristol BS8 1TQ, Avon, England; [Thomas, L.] Univ St Andrews, Ctr Res Ecol &amp; Environm Modelling, St Andrews KY16 9LZ, Fife, Scotland; [Thomas, L.] Univ St Andrews, Sch Math &amp; Stat, St Andrews KY16 9LZ, Fife, Scotland; [Wale, M. A.] Edinburgh Napier Univ, Sch Life Sport &amp; Social Sci, Edinburgh EH11 4BN, Midlothian, Scotland</t>
  </si>
  <si>
    <t>University of St Andrews; George Mason University; University of Exeter; University of Victoria; Cornell University; University of York - UK; University of Victoria; Curtin University; Centre for Environment Fisheries &amp; Aquaculture Science; Environment &amp; Climate Change Canada; Canadian Wildlife Service; University of Bristol; University of St Andrews; University of St Andrews; Edinburgh Napier University</t>
  </si>
  <si>
    <t>Williams, R (corresponding author), Univ St Andrews, Scottish Oceans Inst, Sea Mammal Res Unit, St Andrews KY16 8LB, Fife, Scotland.</t>
  </si>
  <si>
    <t>rmcw@st-andrews.ac.uk</t>
  </si>
  <si>
    <t>; Simpson, Stephen/KZU-8465-2024; Wale, Matthew/NXY-3976-2025; Purser, Julia/C-2538-2013; Willia, Rob/C-5882-2011; Erbe, Christine/AAA-3801-2021; Wright, Andrew/HDM-9615-2022; Clark, Chris/B-6471-2008; Thomas, Len/JQI-5425-2023; Merchant, Nathan/B-7007-2015; Williams, Rob/C-5882-2011</t>
  </si>
  <si>
    <t>Hammond, Philip/0000-0002-2381-8302; Simpson, Stephen J/0000-0003-0256-7687; Thomas, Len/0000-0002-7436-067X; Wale, Matthew/0000-0002-0293-3635; Simpson, Stephen/0000-0002-4856-6164; Willia, Rob/0000-0001-7496-453X; Radford, Anew N/0000-0001-5470-3463; Wright, Anew/0000-0002-8718-8143; Ashe, Erin/0000-0001-9918-1419; Erbe, Christine/0000-0002-7884-9907;</t>
  </si>
  <si>
    <t>UK Department for Environment Food and Rural Affairs (Defra); Ocean Networks Canada; European Community [PIIF-GA-2009-253407]; Society for Conservation Biology (SCB) Marine Section; International Whaling Commission's Climate Change steering group; SCB Marine Section; WWF Canada; Natural Environment Research Council [smru10001, NE/J500616/2] Funding Source: researchfish; NERC [NE/J500616/2] Funding Source: UKRI</t>
  </si>
  <si>
    <t>UK Department for Environment Food and Rural Affairs (Defra)(Department for Environment, Food &amp; Rural Affairs (DEFRA)); Ocean Networks Canada; European Community; Society for Conservation Biology (SCB) Marine Section; International Whaling Commission's Climate Change steering group; SCB Marine Section; WWF Canada; Natural Environment Research Council(UK Research &amp; Innovation (UKRI)Natural Environment Research Council (NERC)); NERC(UK Research &amp; Innovation (UKRI)Natural Environment Research Council (NERC))</t>
  </si>
  <si>
    <t>The authors would like to thank the organizers of the 3rd International Marine Conservation Congress for convening a symposium on anthropogenic noise. Funding for R. Bruintjes, J. Purser, A. N. Radford, S. D, Simpson and M. A. Wale was provided by the UK Department for Environment Food and Rural Affairs (Defra). N.D. Merchant received travel funding from Ocean Networks Canada. RW was supported by a Marie Curie International Incoming Fellowship within the 7th European Community Framework Programme (Project CONCEAL, FP7, PIIF-GA-2009-253407), and received travel funding to attend IMCC3 from the Society for Conservation Biology (SCB) Marine Section and the International Whaling Commission's Climate Change steering group (with thanks to Mark Simmonds). A.J. Wright also received travel funding to attend IMCC3 from the SCB Marine Section. A.J. Wright and L.K. Blight thank Linda Nowlan for her insightful contributions to case study vi and WWF Canada for funding their case study. Richard Dewey and John Dorocicz are similarly thanked for their contributions to case study iii, as are Ron Pelot and Norma Serra-Sogas for their contributions to case study iv. The authors thank Trevor A. Branch for advice on methods for the bibliometric search.</t>
  </si>
  <si>
    <t>0964-5691</t>
  </si>
  <si>
    <t>1873-524X</t>
  </si>
  <si>
    <t>CV4QT</t>
  </si>
  <si>
    <t>Nelson, Erik; Sander, Heather; Hawthorne, Peter; Conte, Marc; Ennaanay, Driss; Wolny, Stacie; Manson, Steven; Polasky, Stephen</t>
  </si>
  <si>
    <t>[Nelson, Erik; Conte, Marc; Ennaanay, Driss; Wolny, Stacie] Stanford Univ, Woods Inst Environm, Nat Capital Project, Stanford, CA 94305 USA; [Sander, Heather; Polasky, Stephen] Univ Minnesota, Conservat Biol Grad Program, St Paul, MN 55108 USA; [Hawthorne, Peter] Univ Minnesota, Dept Ecol Evolut &amp; Behav, St Paul, MN 55108 USA; [Manson, Steven] Univ Minnesota, Dept Geog, St Paul, MN 55108 USA; [Polasky, Stephen] Univ Minnesota, Dept Appl Econ, St Paul, MN 55108 USA</t>
  </si>
  <si>
    <t>Stanford University; University of Minnesota System; University of Minnesota Twin Cities; University of Minnesota System; University of Minnesota Twin Cities; University of Minnesota System; University of Minnesota Twin Cities; University of Minnesota System; University of Minnesota Twin Cities</t>
  </si>
  <si>
    <t>Nelson, E (corresponding author), Stanford Univ, Woods Inst Environm, Nat Capital Project, Stanford, CA 94305 USA.</t>
  </si>
  <si>
    <t>enelson2@bowdoin.edu</t>
  </si>
  <si>
    <t>; Polasky, Stephen/AAC-5341-2019; Nelson, Erik/J-4192-2019; Steven, Manson/B-9061-2008</t>
  </si>
  <si>
    <t>Manson, Steven/0000-0001-7697-5339; Sander, Heather/0000-0001-8756-9985; Hawthorne, Peter/0000-0003-1125-5239; Nelson, Erik/0000-0002-7291-5192;</t>
  </si>
  <si>
    <t>P and H Bing foundation; V and R Sant foundation; MacArthur foundation; Winslow foundation; Institute on the Environment at the University of Minnesota; Division Of Behavioral and Cognitive Sci; Direct For Social, Behav &amp; Economic Scie [0814628] Funding Source: National Science Foundation</t>
  </si>
  <si>
    <t>P and H Bing foundation; V and R Sant foundation; MacArthur foundation; Winslow foundation; Institute on the Environment at the University of Minnesota(University of Minnesota System); Division Of Behavioral and Cognitive Sci; Direct For Social, Behav &amp; Economic Scie(National Science Foundation (NSF)NSF - Directorate for Social, Behavioral &amp; Economic Sciences (SBE))</t>
  </si>
  <si>
    <t>We are grateful for support from P and H Bing, V and R Sant, the MacArthur and Winslow foundations, and the Institute on the Environment at the University of Minnesota. The funders had no role in study design, data collection and analysis, decision to publish, or preparation of the manuscript.</t>
  </si>
  <si>
    <t>e14327</t>
  </si>
  <si>
    <t>694ZI</t>
  </si>
  <si>
    <t>[Gibbs, H. K.] Stanford Univ, Program Food Secur &amp; Environm, Stanford, CA 94305 USA; [Ruesch, A. S.] Univ Washington, Coll Environm, Sch Forest Resources, Seattle, WA 98195 USA; [Achard, F.] Joint Res Ctr European Commiss, Global Forest Resource Monitoring Project TREES 3, Inst Environm &amp; Sustainabil, I-21027 Ispra, VA, Italy; [Clayton, M. K.] Univ Wisconsin, Dept Plant Pathol, Dept Stat, Madison, WI 53506 USA; [Holmgren, P.] United Nations Food &amp; Agr Org, Climate Change &amp; Bioenergy Div, I-00100 Rome, Italy; [Ramankutty, N.] McGill Univ, Dept Geog, Montreal, PQ H3A 2K6, Canada; [Ramankutty, N.] McGill Univ, Earth Syst Sci Program, Montreal, PQ H3A 2K6, Canada; [Foley, J. A.] Univ Minnesota, Inst Environm, St Paul, MN 55108 USA</t>
  </si>
  <si>
    <t>Stanford University; University of Washington; University of Washington Seattle; European Commission Joint Research Centre; EC JRC ISPRA Site; University of Wisconsin System; University of Wisconsin Madison; Food &amp; Agriculture Organization of the United Nations (FAO); McGill University; McGill University; University of Minnesota System; University of Minnesota Twin Cities</t>
  </si>
  <si>
    <t>Gibbs, HK (corresponding author), Stanford Univ, Program Food Secur &amp; Environm, Stanford, CA 94305 USA.</t>
  </si>
  <si>
    <t>hgibbs@stanford.edu</t>
  </si>
  <si>
    <t>; Ramankutty, Navin/AAM-6074-2020; Foley, Jonathan/GRS-5522-2022</t>
  </si>
  <si>
    <t>Ramankutty, Navin/0000-0002-3737-5717;</t>
  </si>
  <si>
    <t>US Department of Energy; David H. Smith Conservation Research Fellowship; National Aeronautics and Space Agency</t>
  </si>
  <si>
    <t>US Department of Energy(United States Department of Energy (DOE)); David H. Smith Conservation Research Fellowship; National Aeronautics and Space Agency</t>
  </si>
  <si>
    <t>This paper benefited from suggestions by G. Allez, S. Foley, C. Monfreda, and two anonymous reviewers. Funding for this study was provided by a US Department of Energy Global Change Education Program doctoral fellowship (to H.K.G.), a David H. Smith Conservation Research Fellowship (to H.K.G.), and a Terrestrial Ecology Research grant from the National Aeronautics and Space Agency.</t>
  </si>
  <si>
    <t>652JW</t>
  </si>
  <si>
    <t>Worm, Boris; Hilborn, Ray; Baum, Julia K.; Branch, Trevor A.; Collie, Jeremy S.; Costello, Christopher; Fogarty, Michael J.; Fulton, Elizabeth A.; Hutchings, Jeffrey A.; Jennings, Simon; Jensen, Olaf P.; Lotze, Heike K.; Mace, Pamela M.; McClanahan, Tim R.; Minto, Coilin; Palumbi, Stephen R.; Parma, Ana M.; Ricard, Daniel; Rosenberg, Andrew A.; Watson, Reg; Zeller, Dirk</t>
  </si>
  <si>
    <t>[Worm, Boris; Hutchings, Jeffrey A.; Lotze, Heike K.; Minto, Coilin; Ricard, Daniel] Dalhousie Univ, Dept Biol, Halifax, NS B3H 4J1, Canada; [Hilborn, Ray; Branch, Trevor A.; Jensen, Olaf P.] Univ Washington, Sch Aquat &amp; Fishery Sci, Seattle, WA 98195 USA; [Baum, Julia K.] Univ Calif San Diego, Scripps Inst Oceanog, La Jolla, CA 92093 USA; [Collie, Jeremy S.] Univ Rhode Isl, Grad Sch Oceanog, Narragansett, RI 02882 USA; [Costello, Christopher] Univ Calif Santa Barbara, Donald Bren Sch Environm Sci &amp; Management, Santa Barbara, CA 93106 USA; [Fogarty, Michael J.] NOAA, Natl Marine Fisheries Serv, Woods Hole, MA 02543 USA; [Fulton, Elizabeth A.] CSIRO Marine &amp; Atmospher Res, Hobart, Tas 7001, Australia; [Jennings, Simon] Ctr Environm Fisheries &amp; Aquaculture Sci, Lowestoft NR33 0HT, Suffolk, England; [Jennings, Simon] Univ E Anglia, Sch Environm Sci, Norwich NR4 7TJ, Norfolk, England; [Mace, Pamela M.] Minist Fisheries, Wellington, New Zealand; [McClanahan, Tim R.] Wildlife Conservat Soc Marine Programs, Mombasa, Kenya; [Palumbi, Stephen R.] Stanford Univ, Hopkins Marine Stn, Pacific Grove, CA 93950 USA; [Parma, Ana M.] Ctr Nacl Patagon, RA-9120 Puerto Madryn, Argentina; [Rosenberg, Andrew A.] Univ New Hampshire, Inst Study Earth Oceans &amp; Space, Durham, NH 03824 USA; [Watson, Reg; Zeller, Dirk] Univ British Columbia, Fisheries Ctr, Vancouver, BC V6T 1Z4, Canada</t>
  </si>
  <si>
    <t>Dalhousie University; University of Washington; University of Washington Seattle; University of California System; University of California San Diego; Scripps Institution of Oceanography; University of Rhode Island; University of California System; University of California Santa Barbara; National Oceanic Atmospheric Admin (NOAA) - USA; Commonwealth Scientific &amp; Industrial Research Organisation (CSIRO); Centre for Environment Fisheries &amp; Aquaculture Science; University of East Anglia; Stanford University; Centro Nacional Patagonico (CENPAT); University System Of New Hampshire; University of New Hampshire; University of British Columbia</t>
  </si>
  <si>
    <t>Worm, B (corresponding author), Dalhousie Univ, Dept Biol, Halifax, NS B3H 4J1, Canada.</t>
  </si>
  <si>
    <t>bworm@dal.ca; rayh@u.washington.edu</t>
  </si>
  <si>
    <t>Watson, Reg/F-4850-2012; Jennings, Simon/F-5085-2012; Minto, Coilin/JNR-1568-2023; Baum, Julia/A-4693-2008; Ricard, Daniel/G-1814-2014; Hutchings, Jeffrey/ABA-1098-2020; Jensen, Olaf/E-4947-2011; Fulton, Beth/A-2871-2008; McClanahan, Tim/K-4998-2019; Hilborn, Ray/D-6332-2013; Worm, Boris/ADW-9659-2022; Branch, Trevor/A-5691-2009</t>
  </si>
  <si>
    <t>Watson, Reg/0000-0001-7201-8865; Zeller, Dirk/0000-0001-7304-4125; Jennings, Simon/0000-0002-2390-7225; Lotze, Heike/0000-0001-6258-1304; Baum, Julia/0000-0002-9827-1612; Minto, Cóilín/0000-0003-0630-6775; Worm, Boris/0000-0002-5742-8716; Fulton, Beth/0000-0002-5904-7917; McClanahan, Timothy/0000-0001-5821-3584; Hutchings, Jeffrey/0000-0003-1572-5429;</t>
  </si>
  <si>
    <t>National Center for Ecological Analysis and Synthesis; NSF; University of California, Santa Barbara; Natural Sciences and Engineering Research Council (NSERC); Canadian Foundation for Innovation; Sea Around Us Project; Pew Charitable Trusts</t>
  </si>
  <si>
    <t>National Center for Ecological Analysis and Synthesis; NSF(National Science Foundation (NSF)); University of California, Santa Barbara(University of California System); Natural Sciences and Engineering Research Council (NSERC)(Natural Sciences and Engineering Research Council of Canada (NSERC)); Canadian Foundation for Innovation(Canada Foundation for Innovation); Sea Around Us Project; Pew Charitable Trusts</t>
  </si>
  <si>
    <t>This work was conducted as part of the Finding common ground in marine conservation and management Working Group supported by the National Center for Ecological Analysis and Synthesis funded by NSF, the University of California, and the Santa Barbara campus. The authors acknowledge the Natural Sciences and Engineering Research Council (NSERC) and the Canadian Foundation for Innovation for funding database development, the Sea Around Us Project funded by Pew Charitable Trusts for compiling global catch data, and numerous colleagues and institutions around the world for sharing fisheries assessment, catch, access, and survey data, and ecosystem models.</t>
  </si>
  <si>
    <t>477BY</t>
  </si>
  <si>
    <t>Lebreton, Laurent C. M.; Van der Zwet, Joost; Damsteeg, Jan-Willem; Slat, Boyan; Andrady, Anthony; Reisser, Julia</t>
  </si>
  <si>
    <t>[Lebreton, Laurent C. M.; Damsteeg, Jan-Willem; Slat, Boyan; Reisser, Julia] Ocean Cleanup Fdn, Martinus Nijhofflaan 2, NL-2624 ES Delft, Netherlands; [Lebreton, Laurent C. M.] Modelling House,66b Upper Wainui Rd, Raglan 3297, New Zealand; [Van der Zwet, Joost] HKV Consultants, POB 2120, NL-8203 AC Lelystad, Netherlands; [Andrady, Anthony] North Carolina State Univ, Dept Chem &amp; Biomol Engn, Campus Box 7905, Raleigh, NC 27695 USA</t>
  </si>
  <si>
    <t>North Carolina State University</t>
  </si>
  <si>
    <t>Lebreton, LCM (corresponding author), Ocean Cleanup Fdn, Martinus Nijhofflaan 2, NL-2624 ES Delft, Netherlands.;Lebreton, LCM (corresponding author), Modelling House,66b Upper Wainui Rd, Raglan 3297, New Zealand.</t>
  </si>
  <si>
    <t>laurent.lebreton@theoceancleanup.com</t>
  </si>
  <si>
    <t>Lebreton, Laurent/LFV-1720-2024; Reisser, Julia/K-2065-2013</t>
  </si>
  <si>
    <t>Anady, Anthony/0000-0001-8683-9998; Reisser, Julia/0000-0002-1785-1042</t>
  </si>
  <si>
    <t>Ocean Cleanup Foundation</t>
  </si>
  <si>
    <t>We would like to thank The Ocean Cleanup Foundation supporters who made the realization of this study possible. We would also like to thank three anonymous reviewers for their valuable inputs and comments on this manuscript.</t>
  </si>
  <si>
    <t>EW8YK</t>
  </si>
  <si>
    <t>Seebens, Hanno; Blackburn, Tim M.; Dyer, Ellie E.; Genovesi, Piero; Hulme, Philip E.; Jeschke, Jonathan M.; Pagad, Shyama; Pysek, Petr; Winter, Marten; Arianoutsou, Margarita; Bacher, Sven; Blasius, Bernd; Brundu, Giuseppe; Capinha, Cesar; Celesti-Grapow, Laura; Dawson, Wayne; Dullinger, Stefan; Fuentes, Nicol; Jaeger, Heinke; Kartesz, John; Kenis, Marc; Kreft, Holger; Kuehn, Ingolf; Lenzner, Bernd; Liebhold, Andrew; Mosena, Alexander; Moser, Dietmar; Nishino, Misako; Pearman, David; Pergl, Jan; Rabitsch, Wolfgang; Rojas-Sandoval, Julissa; Roques, Alain; Rorke, Stephanie; Rossinelli, Silvia; Roy, Helen E.; Scalera, Riccardo; Schindler, Stefan; Stajerova, Katerina; Tokarska-Guzik, Barbara; van Kleunen, Mark; Walker, Kevin; Weigelt, Patrick; Yamanaka, Takehiko; Essl, Franz</t>
  </si>
  <si>
    <t>[Seebens, Hanno] Senckenberg Biodivers &amp; Climate Res Ctr BiK F, Senckenberganlage 25, D-60325 Frankfurt, Germany; [Seebens, Hanno; Dullinger, Stefan; Lenzner, Bernd; Moser, Dietmar; Schindler, Stefan; Essl, Franz] Univ Vienna, Dept Bot &amp; Biodivers Res, Rennweg 14, A-1030 Vienna, Austria; [Seebens, Hanno; Blasius, Bernd] Carl von Ossietzky Univ Oldenburg, Inst Chem &amp; Biol Marine Environm, Carl von Ossietzky Str 9-11, D-26111 Oldenburg, Germany; [Blackburn, Tim M.; Dyer, Ellie E.] UCL, Ctr Biodivers &amp; Environm Res, Dept Genet Evolut &amp; Environm, London WC1E 6BT, England; [Blackburn, Tim M.; Dyer, Ellie E.] Zool Soc London, Inst Zool, Regents Pk, London NW1 4RY, England; [Blackburn, Tim M.] Univ Adelaide, Sch Biol Sci, Adelaide, SA 5005, Australia; [Blackburn, Tim M.; Essl, Franz] Univ Stellenbosch, Dept Bot &amp; Zool, Ctr Invas Biol, Private Bag X1, ZA-7602 Matieland, South Africa; [Blackburn, Tim M.] King Saud Univ, Distinguished Scientist Fellowship Program, Riyadh 1145, Saudi Arabia; [Genovesi, Piero] Inst Environm Protect &amp; Res ISPRA, Via Vitaliano Brancati 48, I-00144 Rome, Italy; [Genovesi, Piero] IUCN Species Survival Commiss Invas Species Speci, I-00144 Rome, Italy; [Hulme, Philip E.] Lincoln Univ, Bioprotect Res Ctr, POB 85084, Christchurch 7648, New Zealand; [Jeschke, Jonathan M.] Leibniz Inst Freshwater Ecol &amp; Inland Fisheries I, Muggelseedamm 310, D-12587 Berlin, Germany; [Jeschke, Jonathan M.] Free Univ Berlin, Inst Biol, Dept Biol Chem &amp; Pharm, Konigin Luise Str 1-3, D-14195 Berlin, Germany; [Jeschke, Jonathan M.] Berlin Brandenburg Inst Adv Biodivers Res BBIB, Altensteinstr 34, D-14195 Berlin, Germany; [Pagad, Shyama] Univ Auckland, IUCN Species Survival Commiss Invas Species Speci, Auckland 1072, New Zealand; [Pysek, Petr; Pergl, Jan; Stajerova, Katerina] Acad Sci Czech Republ, Dept Invas Ecol, Inst Bot, Zamek 1, CZ-25243 Pruhonice, Czech Republic; [Pysek, Petr; Stajerova, Katerina] Charles Univ Prague, Dept Ecol, Fac Sci, Vinicna 7, CZ-12844 Prague, Czech Republic; [Winter, Marten; Kuehn, Ingolf] Halle Jena Leipzig, German Ctr Integrat Biodivers Res iDiv, Deutsch Pl 5e, D-04103 Leipzig, Germany; [Arianoutsou, Margarita] Natl &amp; Kapodistrian Univ Athens, Dept Systemat &amp; Ecol, Fac Biol, Sch Sci, Athens 15784, Greece; [Bacher, Sven; Rossinelli, Silvia] Univ Fribourg, Dept Biol, Chemin Musee 10, CH-1700 Fribourg, Switzerland; [Brundu, Giuseppe] Univ Sassari, Dept Agr, Viale Italia 39, I-07100 Sassari, Italy; [Capinha, Cesar] Univ Porto, CIBIO InBIO, Ctr Invest Biodiversidade &amp; Recursos Genet, Catedra Infraestruturas Portugal Biodiversidade, Campus Agrario Vairao, P-4485661 Vairao, Portugal; [Capinha, Cesar] Zool Forsch Museum Alexander Koenig, Museumsmeile Bonn, D-53113 Bonn, Germany; [Celesti-Grapow, Laura] Sapienza Univ, Dept Environm Biol, P Moro 5, I-00185 Rome, Italy; [Dawson, Wayne; van Kleunen, Mark] Univ Konstanz, Dept Ecol, Univ Str 10, D-78457 Constance, Germany; [Dawson, Wayne] Univ Durham, Dept Biosci, South Rd, Durham DH1 3LE, England; [Fuentes, Nicol] Univ Concepcion, Dept Bot, Fac Ciencias Nat &amp; Oceanog, Victor Lamas 1290,Casilla 160-C, Concepcion, Chile; [Jaeger, Heinke] Charles Darwin Fdn, Santa Cruz, Galapagos, Ecuador; [Kartesz, John; Nishino, Misako] Biota North Amer Program, 9319 Bracken Lane, Chapel Hill, NC 27516 USA; [Kenis, Marc] CABI, Rue Grillons 1, CH-2800 Delemont, Switzerland; [Kreft, Holger; Weigelt, Patrick] Georg August Univ Gottingen, Dept Biodivers Macroecol &amp; Biogeog, Busgenweg 1, D-37077 Gottingen, Germany; [Kuehn, Ingolf] Helmholtz Ctr Environm Research UFZ, Dept Community Ecol, Theodor Lieser Str 4, D-06120 Halle, Germany; [Kuehn, Ingolf] Martin Luther Univ Halle Wittenberg, Dept Geobot &amp; Bot Garden, Kirchweg 2, D-06108 Halle, Germany; [Liebhold, Andrew] US Forest Serv, Northern Res Stn, Morgantown, WV 26505 USA; [Mosena, Alexander] Univ Bielefeld, Ctr Interamer Studies CIAS, Dept Expt &amp; Syst Ecol, Univ Str 25, D-33615 Bielefeld, Germany; [Pearman, David; Walker, Kevin] Bot Soc Britain &amp; Ireland, Suite 14,Bridge House,1-2 Stn Bridge, Harrogate HG1 1SS, England; [Rabitsch, Wolfgang] Environm Agcy Austria, Dept Biodivers &amp; Nat Conservat, Spittelauer Laende 5, A-1090 Vienna, Austria; [Rojas-Sandoval, Julissa] Natl Museum Nat Hist, Dept Bot, MRC Smithsonian Inst 166, POB 37012, Washington, DC 20013 USA; [Roques, Alain] INRA, UR 0633, Zool Forestiere, F-45075 Orleans, France; [Rorke, Stephanie; Roy, Helen E.] Ctr Ecol &amp; Hydrol, Maclean Bldg,Benson Lane, Wallingford OX10 8BB, Oxon, England; [Scalera, Riccardo] IUCN Species Survival Commiss Invas Species Speci, Via Valentino Mazzola 38 T2 B 10, I-00142 Rome, Italy; [Tokarska-Guzik, Barbara] Univ Silesia Katowice, Fac Biol &amp; Environm Protect, Dept Bot &amp; Nat Protect, Jagiellonska St 28, PL-40032 Katowice, Poland; [Yamanaka, Takehiko] NARO NIAES, Inst Agroenvironm Sci, 3-1-3 Kannondai, Tsukuba, Ibaraki 3058604, Japan</t>
  </si>
  <si>
    <t>Senckenberg Biodiversitat &amp; Klima- Forschungszentrum (BiK-F); Leibniz Association; Senckenberg Gesellschaft fur Naturforschung (SGN); University of Vienna; Carl von Ossietzky Universitat Oldenburg; University of London; University College London; Zoological Society of London; Adelaide University; University of Adelaide; Stellenbosch University; King Saud University; Italian Institute for Environmental Protection &amp; Research (ISPRA); Lincoln University - New Zealand; Leibniz Association; Leibniz Institut fur Gewasserokologie und Binnenfischerei (IGB); Free University of Berlin; University of Auckland; Czech Academy of Sciences; Institute of Botany of the Czech Academy of Sciences; Charles University Prague; German Research Foundation (DFG); German Centre for Integrative Biodiversity Research (iDiv); National &amp; Kapodistrian University of Athens; University of Fribourg; University of Sassari; Universidade do Porto; Zoologisches Forschungsmuseum Alexander Koenig (ZFMK); Sapienza University Rome; University of Konstanz; Durham University; Universidad de Concepcion; University of Gottingen; Helmholtz Association; Helmholtz Center for Environmental Research (UFZ); Martin Luther University Halle Wittenberg; United States Department of Agriculture (USDA); United States Forest Service; University of Bielefeld; Smithsonian Institution; Smithsonian National Museum of Natural History; INRAE; UK Centre for Ecology &amp; Hydrology (UKCEH); University of Silesia in Katowice; National Agriculture &amp; Food Research Organization - Japan</t>
  </si>
  <si>
    <t>Seebens, H (corresponding author), Senckenberg Biodivers &amp; Climate Res Ctr BiK F, Senckenberganlage 25, D-60325 Frankfurt, Germany.;Seebens, H; Essl, F (corresponding author), Univ Vienna, Dept Bot &amp; Biodivers Res, Rennweg 14, A-1030 Vienna, Austria.;Seebens, H (corresponding author), Carl von Ossietzky Univ Oldenburg, Inst Chem &amp; Biol Marine Environm, Carl von Ossietzky Str 9-11, D-26111 Oldenburg, Germany.;Essl, F (corresponding author), Univ Stellenbosch, Dept Bot &amp; Zool, Ctr Invas Biol, Private Bag X1, ZA-7602 Matieland, South Africa.</t>
  </si>
  <si>
    <t>hanno.seebens@uni-oldenburg.de; franz.essl@univie.ac.at</t>
  </si>
  <si>
    <t>Pysek, Petr/B-1957-2012; Seebens, Hanno/I-2310-2019; Brundu, Giuseppe/C-6772-2012; Rabitsch, Wolfgang/G-4562-2011; Essl, Franz/ABE-7064-2020; Bacher, Sven/F-5431-2010; Genovesi, Piero/Z-1571-2019; Blackburn, Tim/A-7685-2011; Štajerová, Kateřina/Q-8991-2017; Kreft, Holger/A-4736-2008; Jäger, Heinke/ABH-5731-2020; Kühn, Ingolf/B-9756-2009; Weigelt, Patrick/E-2122-2014; CELESTI, Laura/R-3615-2016; Blasius, Bernd/AAH-1897-2019; Pergl, Jan/H-1071-2011; Jeschke, Jonathan/A-2707-2008; Fuentes, Nicol/IWU-9404-2023; Winter, Marten/E-7979-2011; Schindler, Stefan/A-1695-2011; Arianoutsou, Margarita/ABA-1614-2021; Scalera, Riccardo/KMY-1169-2024; Hulme, Philip/F-7454-2011; Kühn, Ingolf/B-9756-2009; CELESTI, Laura/ABA-2552-2021; Štajerová, Kateřina/Q-8991-2017; Roy, Helen/A-1488-2010; van Kleunen, Mark/B-3769-2009; Liebhold, Andrew/C-1423-2008; Lenzner, Bernd/AAS-9140-2020; Tokarska-Guzik, Barbara/L-8891-2019; Kenis, Marc/HMD-4929-2023; Capinha, César/K-6439-2017</t>
  </si>
  <si>
    <t>Dyer, Ellie/0000-0001-5331-4490; Kenis, Marc/0000-0002-3179-0872; Rojas-Sandoval, Julissa/0000-0001-6620-4741; Rabitsch, Wolfgang/0000-0002-3811-6071; Seebens, Hanno/0000-0001-8993-6419; Brundu, Giuseppe/0000-0003-3076-4098; Dullinger, Stefan/0000-0003-3919-0887; Scalera, Riccardo/0000-0002-4100-3959; Bacher, Sven/0000-0001-5147-7165; Essl, Franz/0000-0001-8253-2112; Štajerová, Kateřina/0000-0001-7824-1793; Kreft, Holger/0000-0003-4471-8236; Yamanaka, Takehiko/0000-0003-2888-1076; Kühn, Ingolf/0000-0003-1691-8249; Weigelt, Patrick/0000-0002-2485-3708; Fuentes, Nicol/0000-0002-3773-9832; CELESTI, Laura/0000-0002-9533-6919; Genovesi, Piero/0000-0002-0262-1420; Pergl, Jan/0000-0002-0045-1974; Winter, Marten/0000-0002-9593-7300; Moser, Dietmar/0000-0002-2745-7508; Tokarska-Guzik, Barbara/0000-0002-4058-1220; Jeschke, Jonathan/0000-0003-3328-4217; Hulme, Philip/0000-0001-5712-0474; Kühn, Ingolf/0000-0003-1691-8249; Štajerová, Kateřina/0000-0001-7824-1793; van Kleunen, Mark/0000-0002-2861-3701; Dawson, Wayne/0000-0003-3402-0774; Lenzner, Bernd/0000-0002-2616-3479; Jäger, Heinke/0000-0001-9065-4048; ARIANOUTSOU, MARGARITA/0000-0002-6743-9240; Blasius, Bernd/0000-0002-6558-1462; Capinha, César/0000-0002-0666-9755</t>
  </si>
  <si>
    <t>Deutsche Forschungsgemeinschaft (DFG) [KL 1866/9-1, SE 1891/2-1, FZT 118, JE 288/8-1, JE 288/9-1]; FWF [I2096-B16]; COST Action 'Alien Challenge' [TD1209]; VW Foundation; Galapagos Conservancy; Praemium Academiae award (he Czech Academy of Sciences); Centre of Excellence PLADIAS; Czech Science Foundation [P505/11/1112]; DFG Free Floater Program in the Excellence Initiative at the University of Gottingen; Polish National Science Centre; Portuguese Foundation for Science and Technology (FCT/MCTES); POPH/FSE (EC) [SFRH/BPD/84422/2012]; Fondecyt [3120125]; Leverhulme Trust [RF/2/RFG/2010/0016]; Federal Ministry of Education and Research, Germany, through the project 'The Americas as Space of Entanglements'; Defra; [RVO 67985939]; [14-36079G]; NERC [ceh020004] Funding Source: UKRI; Natural Environment Research Council [ceh020004] Funding Source: researchfish; Austrian Science Fund (FWF) [I2086] Funding Source: Austrian Science Fund (FWF)</t>
  </si>
  <si>
    <t>Deutsche Forschungsgemeinschaft (DFG)(German Research Foundation (DFG)); FWF(Austrian Science Fund (FWF)); COST Action 'Alien Challenge'; VW Foundation(Volkswagen); Galapagos Conservancy; Praemium Academiae award (he Czech Academy of Sciences); Centre of Excellence PLADIAS; Czech Science Foundation(Grant Agency of the Czech Republic); DFG Free Floater Program in the Excellence Initiative at the University of Gottingen; Polish National Science Centre; Portuguese Foundation for Science and Technology (FCT/MCTES)(Fundacao para a Ciencia e a Tecnologia (FCT)); POPH/FSE (EC)(European Union (EU)European Commission Joint Research CentreEuropean Social Fund (ESF)); Fondecyt(Comision Nacional de Investigacion Cientifica y Tecnologica (CONICYT)CONICYT FONDECYT); Leverhulme Trust(Leverhulme Trust); Federal Ministry of Education and Research, Germany, through the project 'The Americas as Space of Entanglements'; Defra(Department for Environment, Food &amp; Rural Affairs (DEFRA)); ; ; NERC(UK Research &amp; Innovation (UKRI)Natural Environment Research Council (NERC)); Natural Environment Research Council(UK Research &amp; Innovation (UKRI)Natural Environment Research Council (NERC)); Austrian Science Fund (FWF)(Austrian Science Fund (FWF))</t>
  </si>
  <si>
    <t>We thank the CONABIO team, David Baxter, Vince Nealis, Ian DeMerchant, Yves Frenot, Eckehart Jager, Wojciech Solarz, Agnes Dellinger, Stephan Gollasch, Marc Lebouvier, and the plant experts group of National and Kapodistrian University of Athens for providing data of first records or contacts to data providers. The study was supported by grants from the Deutsche Forschungsgemeinschaft (DFG; grant KL 1866/9-1 to M.v.K. and W.D.; grant SE 1891/2-1 to H.S.; grant FZT 118 to iDiv/M.W.; grants JE 288/8-1 and JE 288/9-1 (InDyNet) to J.M.J.), the FWF (grant I2096-B16 to H.S., F.E., S.D., D.M. and B.L.) and COST Action TD1209 'Alien Challenge' (to F.E., R.S., H.R., W.R. and M.A.). H.S. and B.B. acknowledge support by the VW Foundation. H.J. acknowledges support by the Galapagos Conservancy. P.P., J.P. and K.S. were supported by long-term research development project RVO 67985939, by Praemium Academiae award (both from The Czech Academy of Sciences) and by project number 14-36079G, Centre of Excellence PLADIAS and number P505/11/1112 (Czech Science Foundation). P.W. and H.K. acknowledge funding from the DFG Free Floater Program in the Excellence Initiative at the University of Gottingen and in the scope of the BEFmate project from the Ministry of Science and Culture of Lower Saxony. B.T.G. acknowledge financial support from the Polish National Science Centre. C.C. was supported by the Portuguese Foundation for Science and Technology (FCT/MCTES) and POPH/FSE (EC) through grant SFRH/BPD/84422/2012. N.F. was supported by project Fondecyt postdoc 3120125. The creation of the GAVIA database was made possible by a grant from the Leverhulme Trust (RF/2/RFG/2010/0016). A.M. acknowledges funding from the Federal Ministry of Education and Research, Germany, through the project 'The Americas as Space of Entanglements'. H.R. acknowledges support from Defra in compiling first records through the GB Non-Native Species Information Portal.</t>
  </si>
  <si>
    <t>EK9CN</t>
  </si>
  <si>
    <t>Green Submitted, Green Accepted, gold</t>
  </si>
  <si>
    <t>[Eriksen, Marcus] Five Gyres Inst, Los Angeles, CA 90016 USA; [Lebreton, Laurent C. M.] Dumpk Data Sci, Wellington, New Zealand; [Carson, Henry S.] Univ Hawaii, Dept Marine Sci, Hilo, HI 96720 USA; [Carson, Henry S.] Washington Dept Fish &amp; Wildlife, Olympia, WA USA; [Thiel, Martin] Univ Catolica Norte, Fac Ciencias Mar, Coquimbo, Chile; [Thiel, Martin] Millennium Nucleus Ecol &amp; Sustainable Management, Coquimbo, Chile; [Thiel, Martin] Ctr Estudios Avanzados &amp; Zonas Aridas, Coquimbo, Chile; [Moore, Charles J.] Algalita Marine Res &amp; Educ, Long Beach, CA USA; [Borerro, Jose C.] eCoast Ltd, Raglan, New Zealand; [Galgani, Francois] IFREMER, Inst Francais Rech Exploitat Mer, Dept Oceanog &amp; Dynam Ecosyst, Bastia, Corsica, France; [Ryan, Peter G.] Univ Cape Town, Percy Fitzpatrick Inst African Ornithol, ZA-7700 Rondebosch, South Africa; [Reisser, Julia] Univ Western Australia, Sch Environm Syst Engn, Perth, WA 6009, Australia; [Reisser, Julia] Univ Western Australia, Oceans Inst, Perth, WA 6009, Australia</t>
  </si>
  <si>
    <t>University of Hawaii System; University Hawaii Hilo; Washington Department of Fish &amp; Wildlife (WDFW); Universidad Catolica del Norte; Ifremer; University of Cape Town; University of Western Australia; University of Western Australia</t>
  </si>
  <si>
    <t>Eriksen, M (corresponding author), Five Gyres Inst, Los Angeles, CA 90016 USA.</t>
  </si>
  <si>
    <t>marcus@5gyres.org</t>
  </si>
  <si>
    <t>Moore, Charles/KIJ-3350-2024; Reisser, Julia/K-2065-2013; galgani, francois/A-1973-2011; Lebreton, Laurent/LFV-1720-2024</t>
  </si>
  <si>
    <t>Reisser, Julia/0000-0002-1785-1042; galgani, francois/0000-0001-8770-6054; thiel, martin/0000-0001-7535-3888;</t>
  </si>
  <si>
    <t>Will J. Reid Foundation; Seaver Institute; IPRS; CSIRO's Flagship Postgraduate scholarship; Chilean Millennium Initiative [NC120030]</t>
  </si>
  <si>
    <t>Will J. Reid Foundation; Seaver Institute; IPRS; CSIRO's Flagship Postgraduate scholarship; Chilean Millennium Initiative</t>
  </si>
  <si>
    <t>Financial support from the Will J. Reid Foundation (HSC) and Seaver Institute (ME) made much of this work possible. J. Reisser is sponsored by an IPRS and a CSIRO's Flagship Postgraduate scholarship and M. Thiel was supported by the Chilean Millennium Initiative (grant NC120030). The funders had no role in study design, data collection and analysis, decision to publish, or preparation of the manuscript.</t>
  </si>
  <si>
    <t>AW9YP</t>
  </si>
  <si>
    <t>USGS, SAIC, EROS Data Ctr, Sioux Falls, SD 57198 USA; Ctr Int Echanges Dev, Dakar, Senegal</t>
  </si>
  <si>
    <t>Science Applications International Corporation (SAIC); United States Department of the Interior; United States Geological Survey</t>
  </si>
  <si>
    <t>Wood, EC (corresponding author), USGS, SAIC, EROS Data Ctr, 47914 252nd St, Sioux Falls, SD 57198 USA.</t>
  </si>
  <si>
    <t>woodec@usgs.gov</t>
  </si>
  <si>
    <t>0140-1963</t>
  </si>
  <si>
    <t>1095-922X</t>
  </si>
  <si>
    <t>854ND</t>
  </si>
  <si>
    <t>[Shannon, Graeme; Crooks, Kevin R.; Warner, Katy A.; Nelson, Misty D.; White, Cecilia; Briggs, Jessica; McFarland, Scott; Wittemyer, George] Colorado State Univ, Dept Fish Wildlife &amp; Conservat Biol, Ft Collins, CO 80523 USA; [McKenna, Megan F.; Fristrup, Kurt M.; Brown, Emma] Natl Pk Serv, Nat Sounds &amp; Night Skies Div, Ft Collins, CO 80525 USA; [Angeloni, Lisa M.] Colorado State Univ, Dept Biol, Ft Collins, CO 80523 USA</t>
  </si>
  <si>
    <t>Colorado State University System; Colorado State University Fort Collins; United States Department of the Interior; US National Park Service; Colorado State University System; Colorado State University Fort Collins</t>
  </si>
  <si>
    <t>Shannon, G (corresponding author), Colorado State Univ, Dept Fish Wildlife &amp; Conservat Biol, Ft Collins, CO 80523 USA.</t>
  </si>
  <si>
    <t>graeme.shannon@colostate.edu</t>
  </si>
  <si>
    <t>Wittemyer, George/AFQ-1840-2022; Shannon, Graeme/A-5790-2011</t>
  </si>
  <si>
    <t>Shannon, Graeme/0000-0002-5039-4904</t>
  </si>
  <si>
    <t>National Park Service, Natural Sounds and Night Skies Division</t>
  </si>
  <si>
    <t>The National Park Service, Natural Sounds and Night Skies Division funded this study. We thank two anonymous referees for their helpful comments and A. Cooper and W. Foster for their editorial assistance.</t>
  </si>
  <si>
    <t>1464-7931</t>
  </si>
  <si>
    <t>1469-185X</t>
  </si>
  <si>
    <t>DZ1AG</t>
  </si>
  <si>
    <t>[Dalin, Carole] London Sch Econ, Grantham Res Inst Climate Change &amp; Environm, London WC2A 2AE, England; [Mauzerall, Denise L.; Rodriguez-Iturbe, Ignacio] Princeton Univ, Dept Civil &amp; Environm Engn, Princeton, NJ 08544 USA; [Qiu, Huanguang] Renmin Univ China, Sch Agr Econ &amp; Rural Dev, Beijing 100872, Peoples R China; [Hanasaki, Naota] Natl Inst Environm Studies, Tsukuba, Ibaraki 3058506, Japan; [Mauzerall, Denise L.] Princeton Univ, Woodrow Wilson Sch Publ &amp; Int Affairs, Princeton, NJ 08544 USA</t>
  </si>
  <si>
    <t>University of London; London School Economics &amp; Political Science; Princeton University; Renmin University of China; National Institute for Environmental Studies - Japan; Princeton University</t>
  </si>
  <si>
    <t>Rodriguez-Iturbe, I (corresponding author), Princeton Univ, Dept Civil &amp; Environm Engn, Princeton, NJ 08544 USA.</t>
  </si>
  <si>
    <t>c.a.dalin@lse.ac.uk; irodrigu@princeton.edu</t>
  </si>
  <si>
    <t>; Hanasaki, Naota/C-2932-2009; Mauzerall, Denise/I-5977-2013; Dalin, Carole/AAF-1151-2021</t>
  </si>
  <si>
    <t>Dalin, Carole/0000-0002-2123-9622; Mauzerall, Denise/0000-0003-3479-1798;</t>
  </si>
  <si>
    <t>School of Engineering and Applied Sciences; Princeton Environmental Institute (Science, Technology, and Environmental Policy Fellowship); National Natural Science Foundation of China [71222302, 91325302]; Newton International Fellowship; Economic and Social Research Council [ES/K006576/1] Funding Source: researchfish; ESRC [ES/K006576/1] Funding Source: UKRI</t>
  </si>
  <si>
    <t>School of Engineering and Applied Sciences; Princeton Environmental Institute (Science, Technology, and Environmental Policy Fellowship); National Natural Science Foundation of China(National Natural Science Foundation of China (NSFC)); Newton International Fellowship; Economic and Social Research Council(UK Research &amp; Innovation (UKRI)Economic &amp; Social Research Council (ESRC)); ESRC(UK Research &amp; Innovation (UKRI)Economic &amp; Social Research Council (ESRC))</t>
  </si>
  <si>
    <t>H.Q. thanks M. Keyzer, J. Huang, W. van Veen, G. Fisher, and L. Sun for their valuable input on the CHINAGRO model. The authors also thank three reviewers for their constructive comments. Most of C.D.'s work was carried out at Princeton University, where the funding support from the School of Engineering and Applied Sciences and the Princeton Environmental Institute (Science, Technology, and Environmental Policy Fellowship) is gratefully acknowledged. H.Q. acknowledges the support of the National Natural Science Foundation of China (71222302, 91325302) and the Newton International Fellowship.</t>
  </si>
  <si>
    <t>CF9BO</t>
  </si>
  <si>
    <t>[Luber, George; McGeehin, Michael] CDC, Natl Ctr Environm Hlth, Atlanta, GA 30341 USA</t>
  </si>
  <si>
    <t>Centers for Disease Control &amp; Prevention - USA</t>
  </si>
  <si>
    <t>Luber, G (corresponding author), CDC, Natl Ctr Environm Hlth, 4770 Buford Highway,MS F-57, Atlanta, GA 30341 USA.</t>
  </si>
  <si>
    <t>gluber@cdc.gov</t>
  </si>
  <si>
    <t>0749-3797</t>
  </si>
  <si>
    <t>1873-2607</t>
  </si>
  <si>
    <t>365HN</t>
  </si>
  <si>
    <t>[Kuemmerle, Tobias; Hostert, Patrick; van der Linden, Sebastian] Humboldt Univ, Geomat Lab, Dept Geog, D-10099 Berlin, Germany; [Radeloff, Volker C.] Univ Wisconsin, Forest &amp; Wildlife Ecol, Madison, WI 53706 USA; [Perzanowski, Kajetan] Catholic Univ Lublin, PL-20708 Lublin, Poland; [Kruhlov, Ivan] Lvov Ivan Franko State Univ, Dept Geog, UA-79000 Lvov, Ukraine</t>
  </si>
  <si>
    <t>Humboldt University of Berlin; University of Wisconsin System; University of Wisconsin Madison; Catholic University of Lublin; Ministry of Education &amp; Science of Ukraine; Ukrainian National Forestry University; Ivan Franko National University Lviv</t>
  </si>
  <si>
    <t>Kuemmerle, T (corresponding author), Humboldt Univ, Geomat Lab, Dept Geog, Unter Linden 6, D-10099 Berlin, Germany.</t>
  </si>
  <si>
    <t>tobias.kuemmerle@geo.hu-berlin.de</t>
  </si>
  <si>
    <t>Kruhlov, Ivan/M-9132-2019; Hostert, Patrick/F-9291-2013; van der Linden, Sebastian/B-4516-2008; Kuemmerle, Tobias/B-4340-2008; Radeloff, Volker/B-6124-2016</t>
  </si>
  <si>
    <t>Hostert, Patrick/0000-0002-5730-5484; van der Linden, Sebastian/0000-0001-6576-8377; Kuemmerle, Tobias/0000-0002-9775-142X; Kruhlov, Ivan/0000-0002-0814-0935; Radeloff, Volker/0000-0001-9004-221X</t>
  </si>
  <si>
    <t>1432-9840</t>
  </si>
  <si>
    <t>1435-0629</t>
  </si>
  <si>
    <t>310KT</t>
  </si>
  <si>
    <t>Stanford Univ, Dept Biol Sci, Stanford, CA 94305 USA</t>
  </si>
  <si>
    <t>Stanford University</t>
  </si>
  <si>
    <t>Schneider, SH (corresponding author), Stanford Univ, Dept Biol Sci, Stanford, CA 94305 USA.</t>
  </si>
  <si>
    <t>shs@stanford.edu</t>
  </si>
  <si>
    <t>1872-9495</t>
  </si>
  <si>
    <t>854EQ</t>
  </si>
  <si>
    <t>[Risser, Mark D.] Lawrence Berkeley Natl Lab, Climate &amp; Ecosyst Sci Div, Berkeley, CA 94720 USA; [Wehner, Michael F.] Lawrence Berkeley Natl Lab, Computat Res Div, Berkeley, CA USA</t>
  </si>
  <si>
    <t>United States Department of Energy (DOE); Lawrence Berkeley National Laboratory; United States Department of Energy (DOE); Lawrence Berkeley National Laboratory</t>
  </si>
  <si>
    <t>Risser, MD (corresponding author), Lawrence Berkeley Natl Lab, Climate &amp; Ecosyst Sci Div, Berkeley, CA 94720 USA.</t>
  </si>
  <si>
    <t>mdrisser@lbl.gov</t>
  </si>
  <si>
    <t>Risser, Mark/J-5801-2015; Wehner, Michael/F-7841-2015</t>
  </si>
  <si>
    <t>Risser, Mark/0000-0003-1956-1783; Wehner, Michael/0000-0001-5991-0082</t>
  </si>
  <si>
    <t>Office of Science, Office of Biological and Environmental Research of the U.S. Department of Energy [DE-AC02-05CH11231]; United States Government</t>
  </si>
  <si>
    <t>Office of Science, Office of Biological and Environmental Research of the U.S. Department of Energy(United States Department of Energy (DOE)); United States Government</t>
  </si>
  <si>
    <t>The authors would like to thank William D. Collins and Benjamin W. Timmermans for helpful discussions, as well as two anonymous reviewers for helpful comments and suggestions. The data supporting this article are based on publicly available measurements from the National Centers for Environmental Information (at ftp://ftp.ncdc.noaa.gov/pub/data/ghcn/daily/). We furthermore note that the key points report what is learned from this study. This research was supported by the Director, Office of Science, Office of Biological and Environmental Research of the U.S. Department of Energy under contract DE-AC02-05CH11231.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</si>
  <si>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1944-8007</t>
  </si>
  <si>
    <t>FT2FG</t>
  </si>
  <si>
    <t>[De Longueville, Florence; Henry, Sabine] Univ Namur, Dept Geog, B-5000 Namur, Belgium; [De Longueville, Florence; Ozer, Pierre] Univ Liege, Dept Environm Sci &amp; Management, B-6700 Arlon, Belgium; [Hountondji, Yvon] Univ Parakou, Fac Agron, Dept Nat Resources Management, Parakou, Benin; [De Longueville, Florence] Univ Liege, CEDEM, B-4000 Liege, Belgium</t>
  </si>
  <si>
    <t>University of Namur; University of Liege; University of Parakou; University of Liege</t>
  </si>
  <si>
    <t>De Longueville, F (corresponding author), Univ Namur, Dept Geog, 61 Rue Bruxelles, B-5000 Namur, Belgium.</t>
  </si>
  <si>
    <t>fdelongueville@ulg.ac.be</t>
  </si>
  <si>
    <t>de Longueville, Florence/0000-0003-3732-8694; HOUNTONDJI, Yvon Carmen/0009-0008-4881-1992; Henry, Sabine/0000-0002-7496-6313</t>
  </si>
  <si>
    <t>AR9RO</t>
  </si>
  <si>
    <t>[Gypens, Nathalie] Univ Libre Bruxelles, Ecole Interfac Bioingenieurs, Lab Ecol Syst Aquat, CP-221, B-1050 Brussels, Belgium; [Borges, Alberto V.] Univ Liege, Inst Phys B5, Dept Astrophys Geophys &amp; Oceanog, Unite Oceanog Chim, Liege, Belgium</t>
  </si>
  <si>
    <t>Universite Libre de Bruxelles; University of Liege</t>
  </si>
  <si>
    <t>Gypens, N (corresponding author), Univ Libre Bruxelles, Ecole Interfac Bioingenieurs, Lab Ecol Syst Aquat, CP-221, B-1050 Brussels, Belgium.</t>
  </si>
  <si>
    <t>ngypens@ulb.ac.be</t>
  </si>
  <si>
    <t>Borges, Alberto/C-4989-2008</t>
  </si>
  <si>
    <t>Borges, Alberto V/0000-0002-5434-2247; Gypens, Nathalie/0000-0002-8154-5613</t>
  </si>
  <si>
    <t>Fonds National de la Recherce Scientifique (FNRS) [2.4580.11 (1882638)]; Belgian Science Policy (BELSPO)</t>
  </si>
  <si>
    <t>Fonds National de la Recherce Scientifique (FNRS); Belgian Science Policy (BELSPO)(Belgian Federal Science Policy Office)</t>
  </si>
  <si>
    <t>We are grateful for the comments from three anonymous reviewers. This contributes to project 2.4580.11 (1882638) of the Fonds National de la Recherce Scientifique (FNRS) and to the EMOSEM (Ecosystem Models as Support to Eutrophication Management in the North Atlantic Ocean) EU FP7 ERA-NET Seas-era project funded by the Belgian Science Policy (BELSPO). Alberto V. Borges is a senior research associate at the FNRS, and co-first author.</t>
  </si>
  <si>
    <t>AVENUE DU TRIBUNAL FEDERAL 34, LAUSANNE, CH-1015, SWITZERLAND</t>
  </si>
  <si>
    <t>VI4JR</t>
  </si>
  <si>
    <t>van Donkelaar, Aaron; Martin, Randall V.; Brauer, Michael; Kahn, Ralph; Levy, Robert; Verduzco, Carolyn; Villeneuve, Paul J.</t>
  </si>
  <si>
    <t>[van Donkelaar, Aaron; Martin, Randall V.; Verduzco, Carolyn] Dalhousie Univ, Dept Phys &amp; Atmospher Sci, Halifax, NS B3H 3J5, Canada; [Martin, Randall V.] Harvard Smithsonian Ctr Astrophys, Cambridge, MA 02138 USA; [Brauer, Michael] Univ British Columbia, Sch Environm Hlth, Vancouver, BC V5Z 1M9, Canada; [Kahn, Ralph; Levy, Robert] NASA, Goddard Space Flight Ctr, Greenbelt, MD 20771 USA; [Villeneuve, Paul J.] Univ Toronto, Dalla Lana Sch Publ Hlth, Toronto, ON, Canada; [Villeneuve, Paul J.] Hlth Canada, Populat Studies Div, Ottawa, ON K1A 0L2, Canada</t>
  </si>
  <si>
    <t>Dalhousie University; Smithsonian Institution; Smithsonian Astrophysical Observatory; Harvard University; University of British Columbia; National Aeronautics &amp; Space Administration (NASA); NASA Goddard Space Flight Center; University of Toronto; Health Canada</t>
  </si>
  <si>
    <t>van Donkelaar, A (corresponding author), Dalhousie Univ, Dept Phys &amp; Atmospher Sci, 6300 Coburg Rd, Halifax, NS B3H 3J5, Canada.</t>
  </si>
  <si>
    <t>Aaron.van.Donkelaar@dal.ca</t>
  </si>
  <si>
    <t>Kahn, Ralph A/D-5371-2012; Martin, Randall/C-1205-2014; Kahn, Ralph/D-5371-2012; Brauer, Michael/Y-2810-2019; van Donkelaar, Aaron/AAF-8355-2021; Levy, Robert/M-7764-2013</t>
  </si>
  <si>
    <t>Kahn, Ralph A/0000-0002-5234-6359; Martin, Randall/0000-0003-2632-8402; Brauer, Michael/0000-0002-9103-9343; Levy, Robert/0000-0002-8933-5303; Villeneuve, Paul/0000-0001-7786-7997</t>
  </si>
  <si>
    <t>Health Canada [4500171909, 4500220294]; Natural Sciences and Engineering Research of Canada; Killam Trust</t>
  </si>
  <si>
    <t>Health Canada; Natural Sciences and Engineering Research of Canada(Natural Sciences and Engineering Research Council of Canada (NSERC)); Killam Trust</t>
  </si>
  <si>
    <t>This study was funded by contracts from Health Canada (4500171909 and 4500220294). A.v.D. was supported by graduate fellowships from the Natural Sciences and Engineering Research of Canada and the Killam Trust.</t>
  </si>
  <si>
    <t>NATL INST HEALTH, NATL INST ENVIRONMENTAL HEALTH SCIENCES, PO BOX 12233, RES TRIANGLE PK, NC 27709-2233 USA</t>
  </si>
  <si>
    <t>0091-6765</t>
  </si>
  <si>
    <t>1552-9924</t>
  </si>
  <si>
    <t>608NP</t>
  </si>
  <si>
    <t>Rhein Westfal TH Aachen, Dept Gen Biol, D-52056 Aachen, Germany</t>
  </si>
  <si>
    <t>RWTH Aachen University</t>
  </si>
  <si>
    <t>Cleuvers, M (corresponding author), Rhein Westfal TH Aachen, Dept Gen Biol, Kopernikusstr 16, D-52056 Aachen, Germany.</t>
  </si>
  <si>
    <t>cleuvers@bio2.rwth-aachen.de</t>
  </si>
  <si>
    <t>860DG</t>
  </si>
  <si>
    <t>British Antarctic Survey, Nat Environm Res Council, Cambridge CB3 OET, England; Univ Coll Cork, Dept Zool &amp; Anim Ecol, Cork, Ireland</t>
  </si>
  <si>
    <t>UK Research &amp; Innovation (UKRI); Natural Environment Research Council (NERC); NERC British Antarctic Survey; University College Cork</t>
  </si>
  <si>
    <t>Barnes, DKA (corresponding author), British Antarctic Survey, Nat Environm Res Council, High Cross,Madingley Rd, Cambridge CB3 OET, England.</t>
  </si>
  <si>
    <t>dkab@bas.ac.uk</t>
  </si>
  <si>
    <t>544MH</t>
  </si>
  <si>
    <t>Osterblom, Henrik; Jouffray, Jean-Baptiste; Folke, Carl; Crona, Beatrice; Troell, Max; Merrie, Andrew; Rockstrom, Johan</t>
  </si>
  <si>
    <t>[Osterblom, Henrik; Jouffray, Jean-Baptiste; Folke, Carl; Crona, Beatrice; Merrie, Andrew; Rockstrom, Johan] Stockholm Univ, Stockholm Resilience Ctr, S-10691 Stockholm, Sweden; [Jouffray, Jean-Baptiste; Folke, Carl; Crona, Beatrice; Troell, Max] Royal Swedish Acad Sci, Global Econ Dynam &amp; Biosphere Acad Programme, S-10405 Stockholm, Sweden; [Folke, Carl; Troell, Max] Royal Swedish Acad Sci, Beijer Inst Ecol Econ, S-10405 Stockholm, Sweden</t>
  </si>
  <si>
    <t>Stockholm University; Royal Swedish Academy of Sciences; Global Economic Dynamics &amp; Biosphere - The Erling-Persson Family Academy Program; Royal Swedish Academy of Sciences; Beijer Institute of Ecological Economics</t>
  </si>
  <si>
    <t>Österblom, H (corresponding author), Stockholm Univ, Stockholm Resilience Ctr, S-10691 Stockholm, Sweden.</t>
  </si>
  <si>
    <t>henrik.osterblom@su.se</t>
  </si>
  <si>
    <t>Jouffray, Jean-Baptiste/AAN-1329-2020; Folke, Carl/Z-1545-2019; Rockström, Johan/G-1168-2010; Osterblom, Henrik/D-4249-2012; Troell, Max/I-1724-2019; Crona, Beatrice/HHZ-3183-2022</t>
  </si>
  <si>
    <t>Crona, Beatrice/0000-0003-1617-4067; Osterblom, Henrik/0000-0002-1913-5197; Folke, Carl/0000-0002-4050-3281; Rockström, Johan/0000-0001-8988-2983; Jouffray, Jean-Baptiste/0000-0002-4105-6372; Troell, Max/0000-0002-7509-8140</t>
  </si>
  <si>
    <t>Swedish Government; Nippon Foundation; Family Erling Persson Foundation; Kjell and Marta Beijer Foundation; Ivar Bendixsons fond</t>
  </si>
  <si>
    <t>Swedish Government; Nippon Foundation(Nippon Foundation); Family Erling Persson Foundation; Kjell and Marta Beijer Foundation; Ivar Bendixsons fond</t>
  </si>
  <si>
    <t>Baltic Ecosystem Adaptive Management (BEAM) is a strategic research initiative funded by the Swedish Government: http://www.regeringen.se/ (HO), the Nippon Foundation: http://www.nippon-foundation.or.jp/en/(HO, CF, AM), the Family Erling Persson Foundation: http://familjenerlingperssonsstiftelse.se/en/ (CF, BC, JBJ), the Kjell and Marta Beijer Foundation: http://www.beijerstiftelsen.se/(CF, MT, BC), Mistra (CF, JR, HO), Ivar Bendixsons fond (HO). The funders had no role in study design, data collection and analysis, decision to publish, or preparation of the manuscript.</t>
  </si>
  <si>
    <t>CJ0RO</t>
  </si>
  <si>
    <t>[Moschet, Christoph; Wittmer, Irene; Simovic, Jelena; Piazzoli, Alessandro; Singer, Heinz; Stamm, Christian; Hollender, Juliane] Eawag, Swiss Fed Inst Aquat Sci &amp; Technol, CH-8600 Dubendorf, Switzerland; [Moschet, Christoph; Piazzoli, Alessandro; Hollender, Juliane] Swiss Fed Inst Technol, Inst Biogeochem &amp; Pollutant Dynam, CH-8092 Zurich, Switzerland; [Junghans, Marion] EPFL, Swiss Ctr Appl Ecotoxicol Eawag, CH-8600 Dubendorf, Switzerland; [Wittmer, Irene; Stamm, Christian] Fed Off Environm FOEN, CH-3000 Bern, Switzerland</t>
  </si>
  <si>
    <t>Swiss Federal Institutes of Technology Domain; Swiss Federal Institute of Aquatic Science &amp; Technology (EAWAG); Swiss Federal Institutes of Technology Domain; ETH Zurich; Swiss Federal Institutes of Technology Domain; Swiss Federal Institute of Aquatic Science &amp; Technology (EAWAG)</t>
  </si>
  <si>
    <t>Moschet, C (corresponding author), Eawag, Swiss Fed Inst Aquat Sci &amp; Technol, CH-8600 Dubendorf, Switzerland.</t>
  </si>
  <si>
    <t>christoph.moschet@eawag.ch; juliane.hollender@eawag.ch</t>
  </si>
  <si>
    <t>Stamm, Christian/ABF-9581-2021; Singer, Heinz/B-3316-2013; Hollender, Juliane/A-2145-2014</t>
  </si>
  <si>
    <t>Stamm, Christian/0000-0001-5888-6535; Singer, Heinz/0000-0002-8542-3699; Junghans, Marion/0000-0002-8118-9145; Hollender, Juliane/0000-0002-4660-274X</t>
  </si>
  <si>
    <t>Swiss Federal Office for the Environment (FOEN)</t>
  </si>
  <si>
    <t>This study was funded by the Swiss Federal Office for the Environment (FOEN). The sampling by the cantonal authorities of the Canton Thurgau, Aargau, Solothurn, Waadt, and Zurich is gratefully acknowledged. We thank Philipp Longree, Sebastian Huntscha, and Tobias Doppler (all Eawag) for the help in the laboratory and in planning the field study, and we thank Devon Wemyss and Jennifer Schollee (both Eawag) for improving the manuscript.</t>
  </si>
  <si>
    <t>AH8VB</t>
  </si>
  <si>
    <t>[Aukema, Juliann E.] Natl Ctr Ecol Anal &amp; Synth, Santa Barbara, CA USA; [McCullough, Deborah G.] Michigan State Univ, Dept Entomol, E Lansing, MI 48824 USA; [McCullough, Deborah G.] Michigan State Univ, Dept Forestry, E Lansing, MI 48824 USA; [Von Holle, Betsy] Univ Cent Florida, Dept Biol, Orlando, FL 32816 USA; [Liebhold, Andrew M.] US Forest Serv, No Res Stn, USDA, Morgantown, WV USA; [Britton, Kerry] US Forest Serv, USDA, Arlington, VA USA; [Frankel, Susan J.] US Forest Serv, USDA, Pacific SW Res Stn, Albany, CA USA</t>
  </si>
  <si>
    <t>University of California System; University of California Santa Barbara; Michigan State University; Michigan State University; State University System of Florida; University of Central Florida; United States Department of Agriculture (USDA); United States Forest Service; United States Department of Agriculture (USDA); United States Forest Service; United States Department of Agriculture (USDA); United States Forest Service</t>
  </si>
  <si>
    <t>Aukema, JE (corresponding author), Natl Ctr Ecol Anal &amp; Synth, Santa Barbara, CA USA.</t>
  </si>
  <si>
    <t>; Frankel, Susan/AAQ-7781-2021; Von Holle, Betsy/GZG-5112-2022; Liebhold, Andrew/C-1423-2008</t>
  </si>
  <si>
    <t>Von Holle, Betsy/0000-0002-3116-3027;</t>
  </si>
  <si>
    <t>National Science Foundation [DEB-0553768]; University of California, Santa Barbara; State of California</t>
  </si>
  <si>
    <t>National Science Foundation(National Science Foundation (NSF)); University of California, Santa Barbara(University of California System); State of California</t>
  </si>
  <si>
    <t>We are grateful to William J Mattson and David Langor for providing electronic copies of their lists of nonindigenous insect species Thanks to Joe Elkinton, Gary Parsons, Robert Rabaglia, and Nathan Havill, who contributed their expertise on specific insect groups, and to Amy Rossman, Bruce Moltzan, and Brenda Callan for consultations on invasive pathogens We thank Andrea Anulewicz, Ashley Conrad-Saydah, and Amelia Nuding for help in compiling the database Eckehard Brockerhoff and Frank Lowenstein participated in valuable discussions Sylvia Mori, Ann Von Holle, and Jim Regetz provided statistical assistance This project represents part of a larger effort to assess economic impacts of nonindigenous forest pests undertaken by a working group at the National Center for Ecological Analysis and Synthesis (NCEAS) It was supported by The Nature Conservancy and the NCEAS, which is funded by the National Science Foundation (grant #DEB-0553768), the University of California, Santa Barbara, and the state of California</t>
  </si>
  <si>
    <t>1444 EYE ST, NW, STE 200, WASHINGTON, DC 20005 USA</t>
  </si>
  <si>
    <t>694VZ</t>
  </si>
  <si>
    <t>Ahrends, Antje; Burgess, Neil D.; Milledge, Simon A. H.; Bulling, Mark T.; Fisher, Brendan; Smart, James C. R.; Clarke, G. Philip; Mhoro, Boniface E.; Lewis, Simon L.</t>
  </si>
  <si>
    <t>[Ahrends, Antje] Royal Bot Garden, Edinburgh EH3 5LR, Midlothian, Scotland; [Ahrends, Antje; Smart, James C. R.] Univ York, Dept Environm, York YO10 5DD, N Yorkshire, England; [Burgess, Neil D.] Univ Cambridge, Dept Zool, Cambridge CB2 3EJ, England; [Burgess, Neil D.] World Wildlife Fund US, Washington, DC 20037 USA; [Burgess, Neil D.] Univ Copenhagen, Dept Biol, Ctr Macroecol Evolut &amp; Climate, DK-2100 Copenhagen, Denmark; [Milledge, Simon A. H.] Wildlife Trade Monitoring Org, TRAFFIC, Dar Es Salaam, Tanzania; [Bulling, Mark T.] Univ Aberdeen, Oceanlab, Newburgh AB41 6AA, Aberdeen, Scotland; [Fisher, Brendan] Princeton Univ, Woodrow Wilson Sch Publ &amp; Int Affairs, Program Sci Technol &amp; Environm Policy, Princeton, NJ 08540 USA; [Clarke, G. Philip] The Hermitage, Crewkerne TA18 8HA, Somerset, England; [Mhoro, Boniface E.] Univ Dar Es Salaam, Dept Bot, Dar Es Salaam, Tanzania; [Lewis, Simon L.] Univ Leeds, Sch Geog, Earth &amp; Biosphere Inst, Leeds LS2 9JT, W Yorkshire, England</t>
  </si>
  <si>
    <t>University of York - UK; University of Cambridge; University of Copenhagen; University of Aberdeen; Princeton University; University of Dar es Salaam; University of Leeds</t>
  </si>
  <si>
    <t>Ahrends, A (corresponding author), Royal Bot Garden, 20A Inverleith Row, Edinburgh EH3 5LR, Midlothian, Scotland.</t>
  </si>
  <si>
    <t>aahrends@rbge.ac.uk</t>
  </si>
  <si>
    <t>; Smart, James/AAC-8967-2021; Lewis, Simon/I-9025-2012</t>
  </si>
  <si>
    <t>Lewis, Simon/0000-0002-8066-6851; Bulling, Mark/0000-0002-0742-256X; Smart, James/0000-0003-4597-1460</t>
  </si>
  <si>
    <t>Critical Ecosystem Partnership Fund; World Wildlife Fund; Deutscher Akademischer Austauschdienst; Marie Curie Actions [MEXT-CT-2004-517098]; Leverhulme Trust; Royal Society; UK Natural Environment Research Council [NE/E006795/1]; Natural Environment Research Council [NE/E006795/1, NE/H017445/1] Funding Source: researchfish; NERC [NE/E006795/1, NE/H017445/1] Funding Source: UKRI</t>
  </si>
  <si>
    <t>Critical Ecosystem Partnership Fund; World Wildlife Fund; Deutscher Akademischer Austauschdienst(Deutscher Akademischer Austausch Dienst (DAAD)); Marie Curie Actions(European Union (EU)Marie Curie Actions); Leverhulme Trust(Leverhulme Trust); Royal Society(Royal Society UK); UK Natural Environment Research Council(UK Research &amp; Innovation (UKRI)Natural Environment Research Council (NERC)); Natural Environment Research Council(UK Research &amp; Innovation (UKRI)Natural Environment Research Council (NERC)); NERC(UK Research &amp; Innovation (UKRI)Natural Environment Research Council (NERC))</t>
  </si>
  <si>
    <t>We thank N. Doggart, C. Meshack, and P. Sumbi for assistance with fieldwork arrangements. A. Balmford, S. A. Bhagwat, P. M. Hollingsworth, J. C. Lovett, R. Marchant, A. R. Marshall, R. T. Pennington, D. Raffaelli, and two anonymous reviewers provided helpful comments on the manuscript. Funding was provided by the Critical Ecosystem Partnership Fund, World Wildlife Fund, Deutscher Akademischer Austauschdienst, and Marie Curie Actions (Grant MEXT-CT-2004-517098 to A. A.), the Leverhulme Trust's Valuing the Arc programme (B. F. and S. L. L.), the Royal Society (S. L. L.), and UK Natural Environment Research Council (Grant NE/E006795/1 to M. T. B.), and data from the 1990/1994 survey were provided by Frontier Tanzania.</t>
  </si>
  <si>
    <t>643IA</t>
  </si>
  <si>
    <t>Discussion Meeting on Extreme Natural Hazards</t>
  </si>
  <si>
    <t>OCT 26-27, 2005</t>
  </si>
  <si>
    <t>Royal Soc, London, ENGLAND</t>
  </si>
  <si>
    <t>Royal Soc</t>
  </si>
  <si>
    <t>Meteorol Off, Exeter EX1 3PB, Devon, England</t>
  </si>
  <si>
    <t>Met Office - UK</t>
  </si>
  <si>
    <t>Mitchell, JFB (corresponding author), Meteorol Off, FitzRoy Rd, Exeter EX1 3PB, Devon, England.</t>
  </si>
  <si>
    <t>john.f.mitchell@metoffice.com</t>
  </si>
  <si>
    <t>Lowe, Jason/GQI-4036-2022; Wood, Richard/HKW-7781-2023</t>
  </si>
  <si>
    <t>Wood, Richard/0000-0002-3960-9513;</t>
  </si>
  <si>
    <t>1364-503X</t>
  </si>
  <si>
    <t>1471-2962</t>
  </si>
  <si>
    <t>075YM</t>
  </si>
  <si>
    <t>NOAA, Pacific Marine Environm Lab, Seattle, WA 98115 USA; Pohang Univ Sci &amp; Technol, Sch Environm Sci &amp; Engn, Pohang 790784, South Korea; Univ So Calif, Dept Earth Sci, Los Angeles, CA 90089 USA; Natl Ctr Atmospher Res, Environm &amp; Soc Impacts Grp, Boulder, CO 80307 USA; Calif State Univ San Marcos, Dept Biol Sci, San Marcos, CA USA; Univ Miami, Rosenstiel Sch Marine &amp; Atmospher Sci, Miami, FL 33149 USA</t>
  </si>
  <si>
    <t>National Oceanic Atmospheric Admin (NOAA) - USA; Pohang University of Science &amp; Technology (POSTECH); University of Southern California; National Center Atmospheric Research (NCAR) - USA; California State University System; California State University San Marcos; University of Miami</t>
  </si>
  <si>
    <t>Feely, RA (corresponding author), NOAA, Pacific Marine Environm Lab, 7600 Sand Point Way Ne, Seattle, WA 98115 USA.</t>
  </si>
  <si>
    <t>richard.a.feely@noaa.gov</t>
  </si>
  <si>
    <t>Feely, Richard/ABI-5740-2020; Lee, Kitack/G-7184-2015</t>
  </si>
  <si>
    <t>Lee, Kitack/0000-0002-4226-2303;</t>
  </si>
  <si>
    <t>837TE</t>
  </si>
  <si>
    <t>[Jambeck, Jenna R.; Perryman, Miriam] Univ Georgia, Coll Engn, Athens, GA 30602 USA; [Geyer, Roland] Univ Calif, Bren Sch Environm Sci &amp; Management, Santa Barbara, CA 93106 USA; [Wilcox, Chris] Commonwealth Sci &amp; Ind Res Org, Oceans &amp; Atmosphere Flagship, Hobart, Tas 7000, Australia; [Siegler, Theodore R.] DSM Environm Serv, Windsor, VT 05089 USA; [Andrady, Anthony] N Carolina State Univ, Dept Chem &amp; Biomol Engn, Raleigh, NC 27695 USA; [Narayan, Ramani] Michigan State Univ, Dept Chem Engn &amp; Mat Sci, E Lansing, MI 48824 USA; [Law, Kara Lavender] Sea Educ Assoc, Woods Hole, MA 02543 USA</t>
  </si>
  <si>
    <t>University System of Georgia; University of Georgia; Commonwealth Scientific &amp; Industrial Research Organisation (CSIRO); North Carolina State University; Michigan State University</t>
  </si>
  <si>
    <t>Jambeck, JR (corresponding author), Univ Georgia, Coll Engn, 412 Driftmier Engn Ctr, Athens, GA 30602 USA.</t>
  </si>
  <si>
    <t>jjambeck@uga.edu</t>
  </si>
  <si>
    <t>Wilcox, Chris/A-3585-2010; Law, Kara/OJU-3096-2025; Jambeck, Jenna/C-3357-2018</t>
  </si>
  <si>
    <t>Jambeck, Jenna/0000-0003-1248-7218; Law, Kara/0000-0002-5298-6751; Anady, Anthony/0000-0001-8683-9998</t>
  </si>
  <si>
    <t>Ocean Conservancy</t>
  </si>
  <si>
    <t>We thank M. A. Barlaz and N. Starr for critical discussions and L. Amaral-Zettler, M. G. Chapman, G. Leonard, and R. Williams for helpful reading of the manuscript. We also thank the anonymous reviewers for their constructive comments. This work was conducted within the Marine Debris Working Group at the National Center for Ecological Analysis and Synthesis, University of California, Santa Barbara, with support from the Ocean Conservancy. Our data and model can be found at http://jambeck.engr.uga.edu/landplasticinput and in the supplementary materials.</t>
  </si>
  <si>
    <t>CA9DT</t>
  </si>
  <si>
    <t>Malaj, Egina; von der Ohe, Peter C.; Grote, Matthias; Kuehne, Ralph; Mondy, Cedric P.; Usseglio-Polatera, Philippe; Brack, Werner; Schaefer, Ralf B.</t>
  </si>
  <si>
    <t>[Malaj, Egina; von der Ohe, Peter C.; Brack, Werner] UFZ Helmholtz Ctr Environm Res, Dept Effect Directed Anal, D-04318 Leipzig, Germany; [Malaj, Egina; Schaefer, Ralf B.] Univ Koblenz Landau, Inst Environm Sci, D-76829 Landau, Germany; [von der Ohe, Peter C.] Amalex Environm Solut, D-04103 Leipzig, Germany; [Grote, Matthias] Elect France, Div Res &amp; Dev, Natl Hydraul &amp; Environm Lab, F-78401 Chatou, France; [Kuehne, Ralph] UFZ Helmholtz Ctr Environm Res, Dept Ecol Chem, D-04318 Leipzig, Germany; [Mondy, Cedric P.] Eawag Swiss Fed Inst Aquat Sci &amp; Technol, Dept Syst Anal Integrated Assessment &amp; Modelling, CH-8600 Dubendorf, Switzerland; [Usseglio-Polatera, Philippe] Univ Lorraine, CNRS, Interdisciplinary Lab Continental Environm, Unite Mixte Rech 7360, F-57070 Metz, France</t>
  </si>
  <si>
    <t>Helmholtz Association; Helmholtz Center for Environmental Research (UFZ); RPTU University Kaiserslautern; Electricite de France (EDF); Helmholtz Association; Helmholtz Center for Environmental Research (UFZ); Swiss Federal Institutes of Technology Domain; Swiss Federal Institute of Aquatic Science &amp; Technology (EAWAG); Universite de Lorraine; Centre National de la Recherche Scientifique (CNRS)</t>
  </si>
  <si>
    <t>Malaj, E (corresponding author), UFZ Helmholtz Ctr Environm Res, Dept Effect Directed Anal, D-04318 Leipzig, Germany.</t>
  </si>
  <si>
    <t>egina.malaj@ufz.de</t>
  </si>
  <si>
    <t>Schaefer, Ralf/E-1926-2011; von der Ohe, Peter/C-4464-2010; Grote, Matthias/D-2294-2009; Mondy, Cédric/H-9605-2019; Kühne, Ralph/D-4889-2015</t>
  </si>
  <si>
    <t>Mondy, Céic/0000-0003-2788-0936; Schäfer, Ralf B/0000-0003-3510-1701; Malaj, Egina/0000-0003-1549-4069; Kühne, Ralph/0000-0002-0916-4904; von der Ohe, Peter Carsten/0000-0001-7350-8962; Brack, Werner/0000-0001-9269-6524; Grote, Matthias/0000-0002-3323-540X</t>
  </si>
  <si>
    <t>Electricite de France; French National Research Agency [ANR-07-ECOT-013]; Deutsche Forschungsgemeinschaft [PAK 406/1]</t>
  </si>
  <si>
    <t>Electricite de France; French National Research Agency(Agence Nationale de la Recherche (ANR)); Deutsche Forschungsgemeinschaft(German Research Foundation (DFG))</t>
  </si>
  <si>
    <t>We thank R. Schulz, M. Bundschuh, A. Lorke, V. Dietrich-Bischoff, C. Hug, C. Vogs, S. Steiner, and two anonymous reviewers for comments that improved this manuscript and E. Szocs for checking the computer code. This work was funded by Electricite de France with financial support from the French National Research Agency (Grant ANR-07-ECOT-013). P.C.v.d.O. was supported through a Deutsche Forschungsgemeinschaft postdoctoral fellowship (Grant PAK 406/1).</t>
  </si>
  <si>
    <t>AK0QG</t>
  </si>
  <si>
    <t>[Brink, Andreas Bernhard; Eva, Hugh Douglas] European Commiss, Joint Res Ctr, Global Environm Monitoring Unit, Inst Environm &amp; Sustainabil, I-21027 Ispra, VA, Italy</t>
  </si>
  <si>
    <t>European Commission Joint Research Centre; EC JRC ISPRA Site</t>
  </si>
  <si>
    <t>Brink, AB (corresponding author), European Commiss, Joint Res Ctr, Global Environm Monitoring Unit, Inst Environm &amp; Sustainabil, V E Fermi 2749, I-21027 Ispra, VA, Italy.</t>
  </si>
  <si>
    <t>EVA, Hugh/F-8412-2011</t>
  </si>
  <si>
    <t>512NI</t>
  </si>
  <si>
    <t>Luethi, Dieter; Le Floch, Martine; Bereiter, Bernhard; Blunier, Thomas; Barnola, Jean-Marc; Siegenthaler, Urs; Raynaud, Dominique; Jouzel, Jean; Fischer, Hubertus; Kawamura, Kenji; Stocker, Thomas F.</t>
  </si>
  <si>
    <t>[Luethi, Dieter; Bereiter, Bernhard; Blunier, Thomas; Siegenthaler, Urs; Kawamura, Kenji; Stocker, Thomas F.] Univ Bern, Inst Phys, CH-3012 Bern, Switzerland; [Luethi, Dieter; Bereiter, Bernhard; Blunier, Thomas; Siegenthaler, Urs; Kawamura, Kenji; Stocker, Thomas F.] Univ Bern, Oeschger Ctr Climate Change Res, CH-3012 Bern, Switzerland; [Le Floch, Martine; Barnola, Jean-Marc; Raynaud, Dominique] Univ Grenoble 1, CNRS, Lab Glaciol &amp; Geophys Environm, F-38402 St Martin Dheres, France; [Jouzel, Jean] Univ Versailles St Quentin, Inst Pierre Simon Laplace, Lab Sci Climat &amp; Environm, CEA CNRS,CE Saclay, F-91191 Gif Sur Yvette, France; [Fischer, Hubertus] Alfred Wegener Inst Polar &amp; Marine Res, D-27568 Bremerhaven, Germany</t>
  </si>
  <si>
    <t>University of Bern; University of Bern; Communaute Universite Grenoble Alpes; Universite Grenoble Alpes (UGA); Centre National de la Recherche Scientifique (CNRS); CEA; Universite Paris Saclay; Helmholtz Association; Alfred Wegener Institute, Helmholtz Centre for Polar &amp; Marine Research</t>
  </si>
  <si>
    <t>Lüthi, D (corresponding author), Univ Bern, Inst Phys, Sidlerstr 5, CH-3012 Bern, Switzerland.</t>
  </si>
  <si>
    <t>luethi@climate.unibe.ch</t>
  </si>
  <si>
    <t>Fischer, Hubertus/A-1211-2014; raynaud, dominique/ABG-4718-2020; Stocker, Thomas/B-1273-2013; Blunier, Thomas/M-4609-2014; Kawamura, Kenji/C-7660-2011</t>
  </si>
  <si>
    <t>Fischer, Hubertus/0000-0002-2787-4221; Blunier, Thomas/0000-0002-6065-7747; Kawamura, Kenji/0000-0003-1163-700X</t>
  </si>
  <si>
    <t>301AI</t>
  </si>
  <si>
    <t>Dixon, M. J. R.; Loh, J.; Davidson, N. C.; Beltrame, C.; Freeman, R.; Walpole, M.</t>
  </si>
  <si>
    <t>[Dixon, M. J. R.; Walpole, M.] UNEP, WCMC, 219 Huntingdon Rd, Cambridge CB3 0DL, England; [Loh, J.] Univ Kent, Sch Anthropol &amp; Conservat, Canterbury CT2 7NR, Kent, England; [Davidson, N. C.] Charles Sturt Univ, Inst Land Water &amp; Soc, Albury, NSW, Australia; [Davidson, N. C.] Queens House,Ford St, Wigmore HR6 9UN, Herts, England; [Beltrame, C.] Tour Valat, F-13200 Arles, France; [Freeman, R.] Zool Soc London, Regents Pk, London NW1 4RY, England</t>
  </si>
  <si>
    <t>University of Kent; Charles Sturt University; Zoological Society of London</t>
  </si>
  <si>
    <t>Walpole, M (corresponding author), UNEP, WCMC, 219 Huntingdon Rd, Cambridge CB3 0DL, England.</t>
  </si>
  <si>
    <t>mjrdixon@icloud.com; jl590@kent.ac.uk; arenaria.interpres@gmail.com; beltrame@tourduvalat.org; Robin.Freeman@ioz.ac.uk; matt.walpole@unep-wcmc.org</t>
  </si>
  <si>
    <t>; Davidson, Nicholas/AAA-9921-2019; Freeman, Robin/JOZ-4393-2023</t>
  </si>
  <si>
    <t>Freeman, Robin/0000-0002-0560-8942; Dixon, Matthew/0000-0001-5020-7171; Davidson, Nick/0000-0002-2466-0658</t>
  </si>
  <si>
    <t>WCMC</t>
  </si>
  <si>
    <t>We thank the Ramsar Secretariat and WCMC for providing funding to develop the method, carry out data collection and analysis and prepare the paper for publication. In addition we thank Andy Arnell for his analysis of the GLWD and Mike Harfoot for his statistical advice. Fiona Danks, Neil Burgess, Eugenie Regan, Jenni Grossmann, Christian Perennou, Anis Guelmami, Roy Gardner and other members of the Ramsar Scientific and Technical Review Panel provided helpful comments at various stages of this work. We also thank the many authors that responded to our data search and to our anonymous reviewers.</t>
  </si>
  <si>
    <t>DC1GB</t>
  </si>
  <si>
    <t>Hegerl, Gabriele; Luterbacher, Juerg; Gonzalez-Rouco, Fidel; Tett, Simon F. B.; Crowley, Thomas; Xoplaki, Elena</t>
  </si>
  <si>
    <t>[Hegerl, Gabriele; Tett, Simon F. B.; Crowley, Thomas] Univ Edinburgh, Sch Geosci, Edinburgh EH9 3JW, Midlothian, Scotland; [Luterbacher, Juerg] Univ Giessen, Dept Geog, D-35390 Giessen, Germany; [Gonzalez-Rouco, Fidel] Univ Complutense Madrid, E-28040 Madrid, Spain; [Xoplaki, Elena] Univ Bern, Inst Geog, CH-3012 Bern, Switzerland; [Xoplaki, Elena] Univ Bern, Oeschger Ctr Climate Change Res, CH-3012 Bern, Switzerland</t>
  </si>
  <si>
    <t>University of Edinburgh; Justus Liebig University Giessen; Complutense University of Madrid; University of Bern; University of Bern</t>
  </si>
  <si>
    <t>Hegerl, G (corresponding author), Univ Edinburgh, Sch Geosci, W Mains Rd, Edinburgh EH9 3JW, Midlothian, Scotland.</t>
  </si>
  <si>
    <t>gabi.hegerl@ed.ac.uk</t>
  </si>
  <si>
    <t>; Hegerl, Gabi/ACX-5813-2022; González-Rouco, Jesús Fidel/B-1761-2012; Luterbacher, Juerg/H-2408-2018; Tett, Simon/B-1504-2013; Xoplaki, Elena/AAF-1901-2020</t>
  </si>
  <si>
    <t>Hegerl, Gabriele/0000-0002-4159-1295; Luterbacher, Juerg/0000-0002-8569-0973; González-Rouco, Jesús Fidel/0000-0001-7090-6797; Tett, Simon/0000-0001-7526-560X; Xoplaki, Elena/0000-0002-2745-2467</t>
  </si>
  <si>
    <t>NSF [ATM-0296007]; NERC [NE/G019819/1]; NCAS; EU/FP6 [NO036961]; EU/FP7 [NO212250]; DFG; NERC [NE/G019819/1] Funding Source: UKRI; Natural Environment Research Council [ncas10009, NE/G019819/1] Funding Source: researchfish</t>
  </si>
  <si>
    <t>NSF(National Science Foundation (NSF)); NERC(UK Research &amp; Innovation (UKRI)Natural Environment Research Council (NERC)); NCAS; EU/FP6(European Union (EU)); EU/FP7(European Union (EU)); DFG(German Research Foundation (DFG)); NERC(UK Research &amp; Innovation (UKRI)Natural Environment Research Council (NERC)); Natural Environment Research Council(UK Research &amp; Innovation (UKRI)Natural Environment Research Council (NERC))</t>
  </si>
  <si>
    <t>We thank E. Zorita and C. Ammann for help with data from the ECHO-G and CCSM models. We thank A. Schurer, A. Bozzo and M. Kuttel for comments and discussion and three anonymous reviewers for their constructive comments. The publication was supported by NSF grant ATM-0296007, NERC grant NE/G019819/1 and NCAS. E.X. and J.L. acknowledge support by the EU/FP6 integrated project CIRCE (NO036961) and from the EU/FP7 project ACQWA (NO212250). J. L. also acknowledges support from the DFG Projects PRIME ('Precipitation in the past millennium in Europe') within the Priority Programme 'INTERDYNAMIK' and 'Historical climatology of the Middle East based on Arabic sources back to AD 800'.</t>
  </si>
  <si>
    <t>75 VARICK ST, 9TH FLR, NEW YORK, NY 10013-1917 USA</t>
  </si>
  <si>
    <t>1752-0908</t>
  </si>
  <si>
    <t>713GN</t>
  </si>
  <si>
    <t>Univ Lancaster, Dept Environm Sci, Lancaster LA1 4YQ, England; UCL, Dept Geog, London WC1E 6BT, England; Rothamsted Res, Agr &amp; Environm Div, Harpenden AL5 2JQ, Herts, England</t>
  </si>
  <si>
    <t>Lancaster University; University of London; University College London; UK Research &amp; Innovation (UKRI); Biotechnology and Biological Sciences Research Council (BBSRC); Rothamsted Research</t>
  </si>
  <si>
    <t>Quinton, JN (corresponding author), Univ Lancaster, Dept Environm Sci, Lancaster LA1 4YQ, England.</t>
  </si>
  <si>
    <t>J.Quinton@Lancaster.ac.uk</t>
  </si>
  <si>
    <t>Quinton, John/B-1290-2011</t>
  </si>
  <si>
    <t>Quinton, John/0000-0003-1746-4795</t>
  </si>
  <si>
    <t>166IG</t>
  </si>
  <si>
    <t>Arroita, Maite; Flores, Lorea; Larranaga, Aitor; Martinez, Aingeru; Martinez-Santos, Miren; Pereda, Olatz; Ruiz-Romera, Estilita; Solagaistua, Libe; Elosegi, Arturo</t>
  </si>
  <si>
    <t>[Arroita, Maite; Larranaga, Aitor; Martinez, Aingeru; Pereda, Olatz; Solagaistua, Libe; Elosegi, Arturo] Univ Basque Country, Fac Sci &amp; Technol, Bilbao, Spain; [Flores, Lorea] INRA, UMR 1224, ECOBIOP, Aquapole, St Pee Sur Nive, France; [Martinez-Santos, Miren; Ruiz-Romera, Estilita] Univ Basque Country, Dept Chem &amp; Environm Engn, Bilbao, Spain</t>
  </si>
  <si>
    <t>University of Basque Country; INRAE; University of Basque Country</t>
  </si>
  <si>
    <t>Arroita, M (corresponding author), Univ Basque Country, Fac Sci &amp; Technol, Dept Plant Biol &amp; Ecol, POB 644, Bilbao 48080, Spain.</t>
  </si>
  <si>
    <t>maite.arroita@ehu.eus</t>
  </si>
  <si>
    <t>; Martínez-Santos, Miren/L-2197-2014; Larrañaga, Aitor/A-6185-2009; Elosegi, Arturo/B-7796-2009; Martínez, Aingeru/R-5531-2019</t>
  </si>
  <si>
    <t>Martínez-Santos, Miren/0000-0002-0577-5185; LARRAÑAGA ARRIZABALAGA, AITOR/0000-0002-0185-9154; Elosegi, Arturo/0000-0001-8809-8484; Arroita, Maite/0000-0001-8754-7604; Martínez, Aingeru/0000-0002-7888-1798</t>
  </si>
  <si>
    <t>Spanish Ministry of Economy and Competitiveness; FEDER through the ABSTRACT [CGL2012-35848]; SCARCE Consolider-Ingenio [CSD2009-00065]; Basque Government [7-CA-18/10]; Basque Government; University of the Basque Country</t>
  </si>
  <si>
    <t>Spanish Ministry of Economy and Competitiveness(Spanish Government); FEDER through the ABSTRACT; SCARCE Consolider-Ingenio; Basque Government(Basque Government); Basque Government(Basque Government); University of the Basque Country(University of Basque Country)</t>
  </si>
  <si>
    <t>This work was supported by the Spanish Ministry of Economy and Competitiveness and FEDER through the ABSTRACT CGL2012-35848 and SCARCE Consolider-Ingenio CSD2009-00065 projects and the Basque Government (7-CA-18/10). Thanks to Ibon Aristi and Jose Manuel Gonzalez for assisting in fieldwork, to Daniel von Schiller for his help during data analysis and writing processes, and to the staff of Artikutza for continuous support during the experiment. We also acknowledge financial support in terms of predoctoral grants from the Basque Government (M. Arroita) and the University of the Basque Country (O. Pereda, L. Solagaistua) and post-doctoral grant from the University of the Basque Country (A. Martinez). We thank the comments by the associate editor and referees that enhanced the quality of the paper.</t>
  </si>
  <si>
    <t>EK2YN</t>
  </si>
  <si>
    <t>Friedrich, Tobias; Timmermann, Axel; Tigchelaar, Michelle; Timm, Oliver Elison; Ganopolski, Andrey</t>
  </si>
  <si>
    <t>[Friedrich, Tobias; Timmermann, Axel] Univ Hawaii Manoa, Int Pacific Res Ctr, Honolulu, HI 96822 USA; [Tigchelaar, Michelle] Univ Washington, Dept Atmospher Sci, Seattle, WA 98195 USA; [Timm, Oliver Elison] SUNY Albany, Dept Atmospher &amp; Environm Sci, Albany, NY 12222 USA; [Ganopolski, Andrey] Potsdam Inst Climate Impact Res, Potsdam, Germany</t>
  </si>
  <si>
    <t>University of Hawaii System; University of Hawaii Manoa; University of Washington; University of Washington Seattle; State University of New York (SUNY) System; University at Albany, SUNY; Potsdam Institut fur Klimafolgenforschung</t>
  </si>
  <si>
    <t>Friedrich, T (corresponding author), Univ Hawaii Manoa, Int Pacific Res Ctr, Honolulu, HI 96822 USA.</t>
  </si>
  <si>
    <t>tobiasf@hawaii.edu</t>
  </si>
  <si>
    <t>Timmermann, Axel/F-4977-2011; Friedrich, Tobias/D-1053-2013; Timm, Oliver/L-2543-2018</t>
  </si>
  <si>
    <t>Timmermann, Axel/0000-0003-0657-2969; Tigchelaar, Michelle/0000-0001-7964-229X</t>
  </si>
  <si>
    <t>NSF [1341311, 1400914]; Directorate For Geosciences; Office of Polar Programs (OPP) [1341311] Funding Source: National Science Foundation; Division Of Ocean Sciences; Directorate For Geosciences [1400914] Funding Source: National Science Foundation</t>
  </si>
  <si>
    <t>NSF(National Science Foundation (NSF)); Directorate For Geosciences; Office of Polar Programs (OPP)(National Science Foundation (NSF)NSF - Directorate for Geosciences (GEO)); Division Of Ocean Sciences; Directorate For Geosciences(National Science Foundation (NSF)NSF - Directorate for Geosciences (GEO))</t>
  </si>
  <si>
    <t>This study was supported by NSF grants 1341311 and 1400914.</t>
  </si>
  <si>
    <t>e1501923</t>
  </si>
  <si>
    <t>EG7WS</t>
  </si>
  <si>
    <t>[Halpern, Benjamin S.] Univ Calif Santa Barbara, Bren Sch Environm Sci &amp; Management, Santa Barbara, CA 93106 USA; [Halpern, Benjamin S.] Univ London Imperial Coll Sci Technol &amp; Med, Ascot SL5 7PY, Berks, England; [Halpern, Benjamin S.; Frazier, Melanie; Longo, Catherine; Lowndes, Julia Stewart; Selkoe, Kimberly A.] Natl Ctr Ecol Anal &amp; Synth, Santa Barbara, CA 93101 USA; [Potapenko, John] Univ Calif Santa Barbara, Dept Geog, Santa Barbara, CA 93106 USA; [Casey, Kenneth S.] NOAA, Natl Ctrs Environm Informat, Silver Spring, MD 20910 USA; [Koenig, Kellee; Selig, Elizabeth R.] Conservat Int, Betty &amp; Gordon Moore Ctr Sci &amp; Oceans, Arlington, VA 22202 USA; [Rockwood, R. Cotton] Univ Calif San Diego, Scripps Inst Oceanog, La Jolla, CA 92093 USA; [Selkoe, Kimberly A.] Univ Hawaii, Hawaii Inst Marine Biol, Kaneohe, HI 96744 USA; [Walbridge, Shaun] Boston Off, ESRI, Middleton, MA 01949 USA</t>
  </si>
  <si>
    <t>University of California System; University of California Santa Barbara; Imperial College London; University of California System; University of California Santa Barbara; University of California System; University of California Santa Barbara; National Oceanic Atmospheric Admin (NOAA) - USA; Conservation International; University of California System; University of California San Diego; Scripps Institution of Oceanography; University of Hawaii System</t>
  </si>
  <si>
    <t>Halpern, BS (corresponding author), Univ Calif Santa Barbara, Bren Sch Environm Sci &amp; Management, Santa Barbara, CA 93106 USA.</t>
  </si>
  <si>
    <t>halpern@bren.ucsb.edu</t>
  </si>
  <si>
    <t>; Halpern, Benjamin/J-6141-2014; Frazier, Melanie/A-2367-2012; Casey, Kenneth/D-4065-2013</t>
  </si>
  <si>
    <t>Lowndes, Julia/0000-0003-1682-3872; Rockwood, R Cotton/0000-0002-1231-4221; Koenig, Kellee/0000-0002-2505-860X; Casey, Kenneth/0000-0002-6052-7117; Halpern, Benjamin/0000-0001-8844-2302</t>
  </si>
  <si>
    <t>Arctic Options: Holistic Integration for Arctic Coastal Marine Sustainability; National Science Foundation, Division of Polar Programs [PLR-1263819]; Directorate For Geosciences [1263819] Funding Source: National Science Foundation; Office of Polar Programs (OPP) [1263819] Funding Source: National Science Foundation</t>
  </si>
  <si>
    <t>Arctic Options: Holistic Integration for Arctic Coastal Marine Sustainability; National Science Foundation, Division of Polar Programs(National Science Foundation (NSF)); Directorate For Geosciences(National Science Foundation (NSF)NSF - Directorate for Geosciences (GEO)); Office of Polar Programs (OPP)(National Science Foundation (NSF)NSF - Directorate for Geosciences (GEO))</t>
  </si>
  <si>
    <t>All data are described in the Supplementary Information and are freely available at doi:10.5063/F19Z92TW. This paper is a contribution to Imperial College's Grand Challenges in Ecosystems and the Environment initiative. This manuscript has been prepared with support from Arctic Options: Holistic Integration for Arctic Coastal Marine Sustainability, with funding from the National Science Foundation, Division of Polar Programs (Grant No. PLR-1263819).</t>
  </si>
  <si>
    <t>CO0QM</t>
  </si>
  <si>
    <t>[Loarie, Scott R.; Duffy, Philip B.; Asner, Gregory P.; Field, Christopher B.] Carnegie Inst Sci, Dept Global Ecol, Stanford, CA 94305 USA; [Duffy, Philip B.] Climate Cent Inc, Palo Alto, CA 94301 USA; [Hamilton, Healy] Calif Acad Sci, Ctr Appl Biodivers Informat, San Francisco, CA 94118 USA; [Ackerly, David D.] Univ Calif Berkeley, Dept Integrat Biol, Berkeley, CA 94720 USA</t>
  </si>
  <si>
    <t>Carnegie Institution for Science; California Academy of Sciences; University of California System; University of California Berkeley</t>
  </si>
  <si>
    <t>Loarie, SR (corresponding author), Carnegie Inst Sci, Dept Global Ecol, Stanford, CA 94305 USA.</t>
  </si>
  <si>
    <t>loarie@stanford.edu</t>
  </si>
  <si>
    <t>Asner, Gregory/G-9268-2013; Field, Christopher/AEN-8826-2022; Ackerly, David/A-1247-2009; Asner, Gregory/G-9268-2013</t>
  </si>
  <si>
    <t>Asner, Gregory/0000-0001-7893-6421; Ackerly, David/0000-0002-1847-7398; Loarie, Scott/0000-0002-6898-3221; Asner, Gregory/0000-0001-7893-6421</t>
  </si>
  <si>
    <t>Gordon and Betty Moore Foundation; Stanford University Global Climate and Energy Project</t>
  </si>
  <si>
    <t>Gordon and Betty Moore Foundation(Gordon &amp; Betty Moore Foundation); Stanford University Global Climate and Energy Project</t>
  </si>
  <si>
    <t>This work was made possible through the support of the Gordon and Betty Moore Foundation and the Stanford University Global Climate and Energy Project.</t>
  </si>
  <si>
    <t>U111</t>
  </si>
  <si>
    <t>535UB</t>
  </si>
  <si>
    <t>Univ Virginia, Dept Environm Sci, Charlottesville, VA 22904 USA; Duke Univ, Dept Bot, Durham, NC 27708 USA</t>
  </si>
  <si>
    <t>University of Virginia; Duke University</t>
  </si>
  <si>
    <t>Lawrence, D (corresponding author), Univ Virginia, Dept Environm Sci, POB 400123, Charlottesville, VA 22904 USA.</t>
  </si>
  <si>
    <t>lawrence@virginia.edu</t>
  </si>
  <si>
    <t>0012-9658</t>
  </si>
  <si>
    <t>1939-9170</t>
  </si>
  <si>
    <t>894KX</t>
  </si>
  <si>
    <t>Alexander, Peter; Rounsevell, Mark D. A.; Dislich, Claudia; Dodson, Jennifer R.; Engstroem, Kerstin; Moran, Dominic</t>
  </si>
  <si>
    <t>[Alexander, Peter; Rounsevell, Mark D. A.] Univ Edinburgh, Sch GeoSci, Edinburgh EH8 9XP, Midlothian, Scotland; [Alexander, Peter; Moran, Dominic] SRUC, Land Econ &amp; Environm Res Grp, Edinburgh EH9 3JG, Midlothian, Scotland; [Dislich, Claudia] Univ Gottingen, Dept Ecosyst Modelling, D-37077 Gottingen, Germany; [Dislich, Claudia] UFZ Helmholtz Ctr Environm Res, Dept Ecol Modelling, Leipzig, Germany; [Dodson, Jennifer R.] Univ York, Dept Chem, Green Chem Ctr Excellence, York YO10 5DD, N Yorkshire, England; [Engstroem, Kerstin] Lund Univ, Dept Geog &amp; Ecosyst Sci, Lund, Sweden</t>
  </si>
  <si>
    <t>University of Edinburgh; University of Gottingen; Helmholtz Association; Helmholtz Center for Environmental Research (UFZ); University of York - UK; Lund University</t>
  </si>
  <si>
    <t>Alexander, P (corresponding author), Univ Edinburgh, Sch GeoSci, Drummond St, Edinburgh EH8 9XP, Midlothian, Scotland.</t>
  </si>
  <si>
    <t>peter.alexander@ed.ac.uk</t>
  </si>
  <si>
    <t>; Alexander, Peter/AGE-8260-2022; Rounsevell, Mark/AAC-4498-2021</t>
  </si>
  <si>
    <t>Alexander, Peter/0000-0001-6010-1186; Rounsevell, Mark/0000-0001-7476-9398;</t>
  </si>
  <si>
    <t>EU FP7 project LUC4C; Scottish Government Rural and Environmental Science and Analytical Services division through ClimatexChange; Deutsche Forschungsgemeinschaft (DFG) in the framework of the collaborative German-Indonesian project EFFORTS [CRC990]; EPSRC; Future Earth</t>
  </si>
  <si>
    <t>EU FP7 project LUC4C(European Union (EU)); Scottish Government Rural and Environmental Science and Analytical Services division through ClimatexChange; Deutsche Forschungsgemeinschaft (DFG) in the framework of the collaborative German-Indonesian project EFFORTS(German Research Foundation (DFG)); EPSRC(UK Research &amp; Innovation (UKRI)Engineering &amp; Physical Sciences Research Council (EPSRC)); Future Earth</t>
  </si>
  <si>
    <t>The research was supported by the EU FP7 project LUC4C. We acknowledge the financial support of the Scottish Government Rural and Environmental Science and Analytical Services division through ClimatexChange. CD acknowledges financial support from the Deutsche Forschungsgemeinschaft (DFG) in the framework of the collaborative German-Indonesian project EFFORTS (CRC990). JRD acknowledges financial support from the EPSRC. We acknowledge the funding of Future Earth to attend the 2014 Networking Conference on Integrated Science.</t>
  </si>
  <si>
    <t>CZ0AI</t>
  </si>
  <si>
    <t>[Rochman, Chelsea M.; Baxa, Dolores V.; Lam, Rosalyn; Teh, Foo-Ching; Teh, Swee J.] Univ Calif Davis, Sch Vet Med, Aquat Hlth Program, Davis, CA 95616 USA; [Tahir, Akbar; Werorilangi, Shinta] Univ Hasanuddin, Fac Marine &amp; Fisheries Sci, Dept Marine Sci, Makassar 90245, Indonesia; [Williams, Susan L.] Univ Calif Davis, Bodega Marine Lab, Bodega Bay, CA 94923 USA; [Williams, Susan L.] Univ Calif Davis, Dept Ecol &amp; Evolut, Bodega Bay, CA 94923 USA; [Miller, Jeffrey T.] Univ Calif Davis, Dept Environm Toxicol, Davis, CA 95616 USA</t>
  </si>
  <si>
    <t>University of California System; University of California Davis; Universitas Hasanuddin; University of California System; University of California Davis; University of California System; University of California Davis; University of California System; University of California Davis</t>
  </si>
  <si>
    <t>Rochman, CM (corresponding author), Univ Calif Davis, Sch Vet Med, Aquat Hlth Program, Davis, CA 95616 USA.</t>
  </si>
  <si>
    <t>chelsearochman@gmail.com</t>
  </si>
  <si>
    <t>; Rochman, Chelsea/HSH-6526-2023; Werorilangi, Shinta/HDN-9410-2022; Miller, Jeff/AGT-3772-2022</t>
  </si>
  <si>
    <t>Rochman, Chelsea/0000-0002-7624-711X; Werorilangi, shinta/0000-0002-0444-0789; Huang, Wei-Ling/0000-0001-5060-9904; Tahir, Akbar/0000-0001-5485-0033;</t>
  </si>
  <si>
    <t>David H. Smith Postdoctoral Research Fellowship; NOAA; UC Davis Outreach and International Program; National Science Foundation [DGE0801430]; IGERT [DEB0841297]; NIEHS Superfund Research Program [P42 ES04699]; National Institute of Environmental Health Sciences [P42ES004699] Funding Source: NIH RePORTER; Directorate For Geosciences; Division Of Ocean Sciences [1234345] Funding Source: National Science Foundation</t>
  </si>
  <si>
    <t>David H. Smith Postdoctoral Research Fellowship; NOAA(National Oceanic Atmospheric Admin (NOAA) - USA); UC Davis Outreach and International Program; National Science Foundation(National Science Foundation (NSF)); IGERT(National Science Foundation (NSF)); NIEHS Superfund Research Program; National Institute of Environmental Health Sciences(United States Department of Health &amp; Human ServicesNational Institutes of Health (NIH) - USANIH National Institute of Environmental Health Sciences (NIEHS)); Directorate For Geosciences; Division Of Ocean Sciences(National Science Foundation (NSF)NSF - Directorate for Geosciences (GEO))</t>
  </si>
  <si>
    <t>We thank: Nicole David, Tom Mattusch, Donald Marshall, Princeton Seafood Company and Half Moon Bay Seafood Company for donating fish and GI tracts; Robbie Santosa, Jessica Abbott, Elliot Crafton, Tomo Kurobe for helping in the field and lab; Professor A. Iqbal Burhanuddin for helping ID the fish, Hasanuddin University for its hospitality and access to facilities. Rochman was supported by the David H. Smith Postdoctoral Research Fellowship and a NOAA Marine Debris Research Grant during the preparation of this manuscript. during the preparation of this manuscript. This research was supported by a UC Davis Outreach and International Program SEED Grant (to Baxa and Teh) and the National Science Foundation's Graduate K-12 (DGE0801430 to Williams) and IGERT (DEB0841297) programs, and NIEHS Superfund Research Program P42 ES04699.</t>
  </si>
  <si>
    <t>CR9HE</t>
  </si>
  <si>
    <t>[Stehle, Sebastian; Schulz, Ralf] Univ Koblenz Landau, Inst Environm Sci, D-76829 Landau, Germany</t>
  </si>
  <si>
    <t>RPTU University Kaiserslautern</t>
  </si>
  <si>
    <t>Schulz, R (corresponding author), Univ Koblenz Landau, Inst Environm Sci, D-76829 Landau, Germany.</t>
  </si>
  <si>
    <t>schulz@uni-landau.de</t>
  </si>
  <si>
    <t>Schulz, Ralf/G-3674-2011</t>
  </si>
  <si>
    <t>German Society for the Advancement of Sciences [DFG SCHU 2271/6-1]</t>
  </si>
  <si>
    <t>German Society for the Advancement of Sciences</t>
  </si>
  <si>
    <t>We thank Walter H. Schreiber and Ralf B. Schafer for statistical advice; Jorg Rapp and Caroline Nagele for support with Fig. 1; Ralf B. Schafer and Mikhail A. Beketov for support with Fig. 2A; Sascha Bub for support with database generation; Navin Ramankutty, Chris Metcalfe, Martin Scheringer, Ralf B. Schafer, Carsten A. Bruhl, James M. Dabrowski, Erin R. Bennett, and two anonymous reviewers for their valuable comments on earlier drafts of the manuscript; and David Imo, Niklas Keck, Bonny Krell, Koffi Tassou, and Sie Yung for translating the foreign-language studies. This study was funded by the German Society for the Advancement of Sciences (DFG SCHU 2271/6-1).</t>
  </si>
  <si>
    <t>CH3TS</t>
  </si>
  <si>
    <t>Hosonuma, Noriko; Herold, Martin; De Sy, Veronique; De Fries, Ruth S.; Brockhaus, Maria; Verchot, Louis; Angelsen, Arild; Romijn, Erika</t>
  </si>
  <si>
    <t>[Herold, Martin; De Sy, Veronique] Wageningen Univ, Lab Geoinformat Sci &amp; Remote Sensing, NL-6708 PB Wageningen, Netherlands; [De Fries, Ruth S.] Columbia Univ, Dept Ecol Evolut &amp; Environm Biol E3B, New York, NY 10027 USA; [Brockhaus, Maria; Verchot, Louis; Angelsen, Arild; Romijn, Erika] Jl CIFOR, Ctr Int Forestry Res, Bogor 16115, Indonesia; [Angelsen, Arild] Norwegian Univ Life Sci UMB, Sch Business &amp; Econ, NO-1432 As, Norway</t>
  </si>
  <si>
    <t>Wageningen University &amp; Research; Columbia University; CGIAR; Center for International Forestry Research (CIFOR); Norwegian University of Life Sciences</t>
  </si>
  <si>
    <t>niki.desy@wur.nl</t>
  </si>
  <si>
    <t>; DeFries, Ruth/AFJ-8022-2022; De Sy, Veronique/P-6526-2014; Verchot, Louis/C-4537-2008; Herold, Martin/F-8553-2012</t>
  </si>
  <si>
    <t>Brockhaus, Maria/0000-0001-7348-4921; De Sy, Veronique/0000-0003-3647-7866; Herold, Martin/0000-0003-0246-6886; Angelsen, Arild/0000-0002-6037-6849; Verchot, Louis/0000-0001-8309-6754</t>
  </si>
  <si>
    <t>NORAD; Ministry of Education, Culture, Sports, Science and Technology (MEXT) in Japan</t>
  </si>
  <si>
    <t>NORAD(CGIAR); Ministry of Education, Culture, Sports, Science and Technology (MEXT) in Japan(Ministry of Education, Culture, Sports, Science and Technology, Japan (MEXT))</t>
  </si>
  <si>
    <t>The authors gratefully acknowledge the support of NORAD for the CIFOR Global Comparative Study on REDD, under which parts of this research were carried out. N Hosonuma gratefully acknowledges support from the overseas fellowship for space development by the Ministry of Education, Culture, Sports, Science and Technology (MEXT) in Japan.</t>
  </si>
  <si>
    <t>059IA</t>
  </si>
  <si>
    <t>van Vliet, Nathalie; Mertz, Ole; Heinimann, Andreas; Langanke, Tobias; Pascual, Unai; Schmook, Birgit; Adams, Cristina; Schmidt-Vogt, Dietrich; Messerli, Peter; Leisz, Stephen; Castella, Jean-Christophe; Jorgensen, Lars; Birch-Thomsen, Torben; Hett, Cornelia; Bruun, Thilde Bech; Ickowitz, Amy; Kim Chi Vu; Yasuyuki, Kono; Fox, Jefferson; Padoch, Christine; Dressler, Wolfram; Ziegler, Alan D.</t>
  </si>
  <si>
    <t>[van Vliet, Nathalie; Mertz, Ole; Langanke, Tobias; Jorgensen, Lars; Birch-Thomsen, Torben] Univ Copenhagen, Dept Geog &amp; Geol, DK-1350 Copenhagen K, Denmark; [Heinimann, Andreas; Hett, Cornelia] Univ Bern, Ctr Dev &amp; Environm, Swiss Natl Ctr Res NCCR N S, CH-3012 Bern, Switzerland; [Pascual, Unai] Univ Cambridge, Dept Land Econ, Cambridge CB3 9EP, England; [Pascual, Unai] Basque Fdn Sci, Bilbao Bizkaia 48011, Spain; [Schmook, Birgit] ECOSUR El Colegio Frontera Sur, Mexico City 77900, DF, Mexico; [Adams, Cristina] Univ Sao Paulo, Escola Artes Ciencias &amp; Humanidades, Lab Ecol Humana, BR-05508 Sao Paulo, Brazil; [Schmidt-Vogt, Dietrich] Chinese Acad Sci, Kunming Inst Bot, Ctr Mt Ecosyst Studies, Heilongtan 650204, Kunming, Peoples R China; [Leisz, Stephen] Colorado State Univ, Dept Anthropol, Ft Collins, CO 80525 USA; [Castella, Jean-Christophe] Inst Dev Res, Viangchan, Laos; [Castella, Jean-Christophe] Ctr Int Forestry Res CIFOR, Viangchan, Laos; [Bruun, Thilde Bech] Univ Copenhagen, Dept Agrculture &amp; Ecol, DK-1871 Frederiksberg, Denmark; [Ickowitz, Amy] Clark Univ, Dept Econ, Worcester, MA 01610 USA; [Kim Chi Vu] Vietnam Natl Univ, Univ Sci, Fac Geog, Hanoi, Vietnam; [Yasuyuki, Kono] Kyoto Univ, Ctr SE Asian Studies, Kyoto 6068501, Japan; [Fox, Jefferson] East West Ctr, Honolulu, HI 96848 USA; [Padoch, Christine] New York Bot Garden, Inst Econ Bot, Bronx, NY 10458 USA; [Dressler, Wolfram] Univ Queensland, Sch Social Sci, St Lucia, Qld, Australia; [Ziegler, Alan D.] Natl Univ Singapore, Dept Geog, Singapore 117570, Singapore</t>
  </si>
  <si>
    <t>University of Copenhagen; University of Bern; University of Cambridge; Basque Foundation for Science; El Colegio de la Frontera Sur (ECOSUR); Universidade de Sao Paulo; Chinese Academy of Sciences; Kunming Institute of Botany, CAS; Colorado State University System; Colorado State University Fort Collins; CGIAR; Center for International Forestry Research (CIFOR); University of Copenhagen; Clark University; Vietnam National University Hanoi (VNU Hanoi) System; Kyoto University; East West Center; New York Botanical Garden; University of Queensland; National University of Singapore</t>
  </si>
  <si>
    <t>van Vliet, N (corresponding author), Univ Copenhagen, Dept Geog &amp; Geol, Oster Voldgade 10, DK-1350 Copenhagen K, Denmark.</t>
  </si>
  <si>
    <t>nvv@geo.ku.dk; om@geo.ku.dk; andreas.heinimann@cde.unibe.ch; Tla@geo.ku.dk; up211@cam.ac.uk; bschmook@ecosur.mx; cadams@usp.br; peter.messerli@cde.unibe.ch; Steve.Leisz@colostate.edu; j.castella@ird.fr; lj@geo.ku.dk; tbt@geo.ku.dk; cornelia.hett@cde.unibe.ch; thbb@life.ku.dk; vukimchi@hus.edu.vn; kono@cseas.kyoto-u.ac.jp; foxj@eastwestcenter.org; w.dressler@uq.edu.au; geoadz@nus.edu.sg</t>
  </si>
  <si>
    <t>Birch-Thomsen, Torben/L-8722-2014; Schmook, Birgit/AAF-7069-2020; Castella, Jean-Christophe/A-7419-2008; , dr dr/AAA-5406-2022; ZIEGLER, ALAN D/A-5463-2012; PASCUAL, UNAI/B-4766-2012; Leisz, Stephen/GQY-8145-2022; Birch-Thoen, Torben/L-8722-2014; Adams, Cristina/C-5585-2009; Mertz, Ole/M-2482-2014; Bruun, Thilde Bech/G-5151-2014; Pascual, Unai/O-7946-2019; Ada, Cristina/C-5585-2009; Bruun, Thilde/AGI-9225-2022</t>
  </si>
  <si>
    <t>Duc Vien, Tran/0000-0001-5649-6082; Đức Viên, Trần/0000-0003-1997-7973; Castella, Jean-Christophe/0000-0003-3532-0728; Vu, Kim Chi/0000-0002-8695-1661; ZIEGLER, ALAN D/0000-0001-5305-2136; Schmook, Birgit/0000-0001-5775-0310; PASCUAL, UNAI/0000-0002-5696-236X; Leisz, Stephen/0000-0002-0726-8996; Fox, Jefferson/0000-0002-0508-654X; Birch-Thoen, Torben/0000-0002-4164-2486; Mertz, Ole/0000-0002-3876-6779; Bruun, Thilde Bech/0000-0002-6037-7884; Messerli, Peter/0000-0002-0286-6348; Ickowitz, Amy/0000-0002-0965-7661; Heinimann, Aneas/0000-0001-8905-8169; Ada, Cristina/0000-0003-2594-9186;</t>
  </si>
  <si>
    <t>Danish Social Science Research Council; Global Land Project (GLP); Swiss National Centre of Competence in Research (NCCR) North-South; Division Of Behavioral and Cognitive Sci; Direct For Social, Behav &amp; Economic Scie [1134890] Funding Source: National Science Foundation; Grants-in-Aid for Scientific Research [23401013, 22241058, 22241012] Funding Source: KAKEN</t>
  </si>
  <si>
    <t>Danish Social Science Research Council; Global Land Project (GLP); Swiss National Centre of Competence in Research (NCCR) North-South(Swiss National Science Foundation (SNSF)); Division Of Behavioral and Cognitive Sci; Direct For Social, Behav &amp; Economic Scie(National Science Foundation (NSF)NSF - Directorate for Social, Behavioral &amp; Economic Sciences (SBE)); Grants-in-Aid for Scientific Research(Ministry of Education, Culture, Sports, Science and Technology, Japan (MEXT)Japan Society for the Promotion of ScienceGrants-in-Aid for Scientific Research (KAKENHI))</t>
  </si>
  <si>
    <t>Work for this paper was supported by a grant from the Danish Social Science Research Council, the Global Land Project (GLP) and the Swiss National Centre of Competence in Research (NCCR) North-South. The authors are grateful for contributions by Daniel Muller and Patrick Meyfroidt.</t>
  </si>
  <si>
    <t>945QC</t>
  </si>
  <si>
    <t>Green Submitted, Green Published</t>
  </si>
  <si>
    <t>Macedo, Marcia N.; DeFries, Ruth S.; Morton, Douglas C.; Stickler, Claudia M.; Galford, Gillian L.; Shimabukuro, Yosio E.</t>
  </si>
  <si>
    <t>[Macedo, Marcia N.; DeFries, Ruth S.] Columbia Univ, Dept Ecol Evolut &amp; Environm Biol, New York, NY 10027 USA; [Morton, Douglas C.] NASA, Goddard Space Flight Ctr, Greenbelt, MD 20771 USA; [Galford, Gillian L.] Woods Hole Res Ctr, Falmouth, MA 02540 USA; [Stickler, Claudia M.] Inst Pesquisa Ambiental Amazonia, BR-71503505 Brasilia, DF, Brazil; [Shimabukuro, Yosio E.] Inst Nacl Pesquisas Espaciais, Div Sensoriamento Remoto, BR-12227010 Sao Jose Dos Campos, SP, Brazil</t>
  </si>
  <si>
    <t>Columbia University; National Aeronautics &amp; Space Administration (NASA); NASA Goddard Space Flight Center; Woodwell Climate Research Center; Instituto Nacional de Pesquisas Espaciais (INPE)</t>
  </si>
  <si>
    <t>DeFries, RS (corresponding author), Columbia Univ, Dept Ecol Evolut &amp; Environm Biol, New York, NY 10027 USA.</t>
  </si>
  <si>
    <t>rd2402@columbia.edu</t>
  </si>
  <si>
    <t>Morton, Douglas/D-5044-2012; Galford, Gillian/K-6240-2012; DeFries, Ruth/AFJ-8022-2022; Shimabukuro, Yosio/F-2956-2012; Macedo, Marcia/HSF-2886-2023; Nunes Macedo, Marcia/N-3044-2017</t>
  </si>
  <si>
    <t>Galford, Gillian/0000-0003-2192-7385; Nunes Macedo, Marcia/0000-0001-8102-5901</t>
  </si>
  <si>
    <t>National Aeronautics and Space Administration [NNX08AX08H]; Gordon and Betty Moore Foundation; Packard Foundation; National Science Foundation [DEB-0949996, DEB-0743703]; Division Of Environmental Biology; Direct For Biological Sciences [0949996] Funding Source: National Science Foundation; Emerging Frontiers; Direct For Biological Sciences [0949370] Funding Source: National Science Foundation</t>
  </si>
  <si>
    <t>National Aeronautics and Space Administration(National Aeronautics &amp; Space Administration (NASA)); Gordon and Betty Moore Foundation(Gordon &amp; Betty Moore Foundation); Packard Foundation(The David &amp; Lucile Packard Foundation); National Science Foundation(National Science Foundation (NSF)); Division Of Environmental Biology; Direct For Biological Sciences(National Science Foundation (NSF)NSF - Directorate for Biological Sciences (BIO)); Emerging Frontiers; Direct For Biological Sciences(National Science Foundation (NSF)NSF - Directorate for Biological Sciences (BIO))</t>
  </si>
  <si>
    <t>This manuscript was greatly improved by the constructive comments of Arild Angelsen, Paulo Brando, Victor Gutierrez-Velez, Ramon Lopez, and two anonymous reviewers. We thank Michael Coe, Christopher Neill, and the Instituto de Pesquisa Ambiental da Amazonia for logistical support in the field; and Rebecca de Sa and Darlisson Nunes da Costa for assistance with data collection. This work was funded by National Aeronautics and Space Administration Earth System Science Fellowship NNX08AX08H, The Gordon and Betty Moore Foundation, the Packard Foundation, and National Science Foundation Grants DEB-0949996 and DEB-0743703.</t>
  </si>
  <si>
    <t>880NA</t>
  </si>
  <si>
    <t>Critchell, Kay; Lambrechts, Jonathan</t>
  </si>
  <si>
    <t>[Critchell, Kay] James Cook Univ, Coll Marine &amp; Environm Sci, Ctr Trop Water &amp; Aquat Ecosyst Res, Townsville, Qld 4814, Australia; [Lambrechts, Jonathan] Catholic Univ Louvain, Inst Mech Mat &amp; Civil Engn, B-1348 Louvain, Belgium</t>
  </si>
  <si>
    <t>James Cook University; Universite Catholique Louvain</t>
  </si>
  <si>
    <t>Critchell, K (corresponding author), James Cook Univ, Coll Marine &amp; Environm Sci, Ctr Trop Water &amp; Aquat Ecosyst Res, Townsville, Qld 4814, Australia.</t>
  </si>
  <si>
    <t>kay.critchell@my.jcu.edu.au</t>
  </si>
  <si>
    <t>Critchell, Kay/E-3150-2017; Critchell, Kay/M-8859-2019</t>
  </si>
  <si>
    <t>Critchell, Kay/0000-0003-0599-2355; Lambrechts, Jonathan/0000-0003-1061-6514</t>
  </si>
  <si>
    <t>Communaute Francaise de Belgique [ARC 10/15-028]</t>
  </si>
  <si>
    <t>Communaute Francaise de Belgique(Australian Research Council)</t>
  </si>
  <si>
    <t>The development of the Second-generation Louvain-la-Neuve Ice-ocean Model (SLIM, www.climate.be/slim) has been supported by the Communaute Francaise de Belgique under contract ARC 10/15-028.</t>
  </si>
  <si>
    <t>DJ4SX</t>
  </si>
  <si>
    <t>[Burke, Marshall] Stanford Univ, Dept Earth Syst Sci, Stanford, CA 94305 USA; [Burke, Marshall] Stanford Univ, Ctr Food Secur &amp; Environm, Stanford, CA 94305 USA; [Hsiang, Solomon M.] Univ Calif Berkeley, Goldman Sch Publ Policy, Berkeley, CA 94720 USA; [Hsiang, Solomon M.; Miguel, Edward] Univ Calif Berkeley, Natl Bur Econ Res, Berkeley, CA 94720 USA; [Miguel, Edward] Univ Calif Berkeley, Dept Econ, Berkeley, CA 94720 USA</t>
  </si>
  <si>
    <t>Stanford University; Stanford University; University of California System; University of California Berkeley; University of California System; University of California Berkeley; National Bureau of Economic Research; University of California System; University of California Berkeley</t>
  </si>
  <si>
    <t>Burke, M (corresponding author), Stanford Univ, Dept Earth Syst Sci, Stanford, CA 94305 USA.</t>
  </si>
  <si>
    <t>mburke@stanford.edu</t>
  </si>
  <si>
    <t>Miguel, Edward/AGZ-9405-2022</t>
  </si>
  <si>
    <t>Miguel, Edward/0000-0001-6927-709X; Burke, Marshall/0000-0003-4288-5858</t>
  </si>
  <si>
    <t>CV6RC</t>
  </si>
  <si>
    <t>Lelieveld, J.; Evans, J. S.; Fnais, M.; Giannadaki, D.; Pozzer, A.</t>
  </si>
  <si>
    <t>[Lelieveld, J.; Pozzer, A.] Max Planck Inst Chem, Atmospher Chem Dept, D-55128 Mainz, Germany; [Lelieveld, J.; Giannadaki, D.] Cyprus Inst, Energy Environm &amp; Water Res Ctr, CY-1645 Nicosia, Cyprus; [Evans, J. S.] Harvard Univ, Sch Publ Hlth, Boston, MA 02215 USA; [Evans, J. S.] Cyprus Univ Technol, Cyprus Int Inst Environm &amp; Publ Hlth, CY-3041 Limassol, Cyprus; [Fnais, M.] King Saud Univ, Coll Sci, Riyadh 11451, Saudi Arabia</t>
  </si>
  <si>
    <t>Max Planck Society; Harvard University; Harvard T.H. Chan School of Public Health; Cyprus International Institute for Environmental &amp; Public Health; Cyprus University of Technology; King Saud University</t>
  </si>
  <si>
    <t>Lelieveld, J (corresponding author), Max Planck Inst Chem, Atmospher Chem Dept, D-55128 Mainz, Germany.</t>
  </si>
  <si>
    <t>jos.lelieveld@mpic.de</t>
  </si>
  <si>
    <t>Pozzer, Andrea/L-4872-2013; Fnais, Mohammed/GYJ-2383-2022; Pozzer, Anea/L-4872-2013; Lelieveld, Johannes/A-1986-2013; Lelieveld, Jos/A-1986-2013</t>
  </si>
  <si>
    <t>Pozzer, Anea/0000-0003-2440-6104; Lelieveld, Johannes/0000-0001-6307-3846; Evans, John/0000-0001-9837-1026;</t>
  </si>
  <si>
    <t>Distinguished Scientist Fellowship Program at the King Saud University, Riyadh; European Research Council under European Union/ERC [226144]</t>
  </si>
  <si>
    <t>Distinguished Scientist Fellowship Program at the King Saud University, Riyadh; European Research Council under European Union/ERC(European Research Council (ERC))</t>
  </si>
  <si>
    <t>We are grateful to the EDGAR team of the Joint Research Centre in Ispra, Italy, for the emission data. We acknowledge support from the Distinguished Scientist Fellowship Program at the King Saud University, Riyadh. The research leading to these results has received funding from the European Research Council under the European Union's Seventh Framework Programme (FP7/2007-2013)/ERC grant agreement no. 226144.</t>
  </si>
  <si>
    <t>CR4JL</t>
  </si>
  <si>
    <t>[Kanemoto, K.; Moran, D.; Lenzen, M.; Geschke, A.] Univ Sydney, ISA, Sch Phys A28, Sydney, NSW 2006, Australia; [Kanemoto, K.] Tohoku Univ, Grad Sch Environm Studies, Sendai, Miyagi 9808579, Japan; [Moran, D.] Norwegian Univ Sci &amp; Technol, Programme Ind Ecol, N-7491 Trondheim, Norway</t>
  </si>
  <si>
    <t>University of Sydney; Tohoku University; Norwegian University of Science &amp; Technology (NTNU)</t>
  </si>
  <si>
    <t>Moran, D (corresponding author), Univ Sydney, ISA, Sch Phys A28, Sydney, NSW 2006, Australia.</t>
  </si>
  <si>
    <t>d.moran@physics.usyd.edu.au</t>
  </si>
  <si>
    <t>Moran, Daniel/AAE-6028-2019; Geschke, Arne/AAM-7434-2020; Lenzen, Manfred/D-3161-2013; Kanemoto, Keiichiro/O-9633-2016</t>
  </si>
  <si>
    <t>Geschke, Arne/0000-0001-9193-5829; Lenzen, Manfred/0000-0002-0828-5288; Kanemoto, Keiichiro/0000-0003-0230-9020; Moran, Daniel/0000-0002-2310-2275</t>
  </si>
  <si>
    <t>Australian Research Council [DP0985522, LP0669290]; Australian Research Council [LP0669290] Funding Source: Australian Research Council</t>
  </si>
  <si>
    <t>Australian Research Council(Australian Research Council); Australian Research Council(Australian Research Council)</t>
  </si>
  <si>
    <t>The work described in this paper was financially supported by the Australian Research Council through its Discovery Project DP0985522 and its Linkage Project LP0669290. Further information on data and calculations is available in the Supplementary Information and online at http://worldmrio.com.</t>
  </si>
  <si>
    <t>AD8HC</t>
  </si>
  <si>
    <t>Van Dijk, Tessa C.; Van Staalduinen, Marja A.; Van der Sluijs, Jeroen P.</t>
  </si>
  <si>
    <t>[Van Dijk, Tessa C.; Van Staalduinen, Marja A.; Van der Sluijs, Jeroen P.] Univ Utrecht, Utrecht, Netherlands</t>
  </si>
  <si>
    <t>Utrecht University</t>
  </si>
  <si>
    <t>Van der Sluijs, JP (corresponding author), Univ Utrecht, Utrecht, Netherlands.</t>
  </si>
  <si>
    <t>j.p.vandersluijs@uu.nl</t>
  </si>
  <si>
    <t>van der Sluijs, Jeroen P/B-6302-2008; van der Sluijs, Jeroen/B-6302-2008</t>
  </si>
  <si>
    <t>van der Sluijs, Jeroen P/0000-0002-1346-5953;</t>
  </si>
  <si>
    <t>TVD; MVS; Triodos Foundation's Support Fund for Independent Research on Bee Decline and Systemic Pesticides; Adessium Foundation (The Netherlands); Act Beyond Trust (Japan); Universiteit Utrecht (Netherlands); Stichting Triodos Foundation (The Netherlands); Gesellschaft fur Schmetterlingsschutz (Germany); Gravin van Bylandt Stichting (The Netherlands); Zukunft Stiftung Landwirtschaft (Germany); Beekeepers Union ABTB (Netherlands); Study Association Storm (Student Association Environmental Sciences Utrecht University)</t>
  </si>
  <si>
    <t>TVD; MVS; Triodos Foundation's Support Fund for Independent Research on Bee Decline and Systemic Pesticides; Adessium Foundation (The Netherlands)(Netherlands Government); Act Beyond Trust (Japan); Universiteit Utrecht (Netherlands); Stichting Triodos Foundation (The Netherlands)(Netherlands Government); Gesellschaft fur Schmetterlingsschutz (Germany); Gravin van Bylandt Stichting (The Netherlands)(Netherlands Government); Zukunft Stiftung Landwirtschaft (Germany); Beekeepers Union ABTB (Netherlands); Study Association Storm (Student Association Environmental Sciences Utrecht University)</t>
  </si>
  <si>
    <t>Financial support was given to TVD and MVS by the Triodos Foundation's Support Fund for Independent Research on Bee Decline and Systemic Pesticides. This Support Fund has been created from donations by Adessium Foundation (The Netherlands), Act Beyond Trust (Japan), Universiteit Utrecht (Netherlands), Stichting Triodos Foundation (The Netherlands), Gesellschaft fur Schmetterlingsschutz (Germany), M.A.O.C. Gravin van Bylandt Stichting (The Netherlands), Zukunft Stiftung Landwirtschaft (Germany), Beekeepers Union ABTB (Netherlands), Study Association Storm (Student Association Environmental Sciences Utrecht University) and citizens. The funders had no role in study design, data collection and analysis, decision to publish, or preparation of the manuscript.</t>
  </si>
  <si>
    <t>e62374</t>
  </si>
  <si>
    <t>147KY</t>
  </si>
  <si>
    <t>Klimont, Z.; Smith, S. J.; Cofala, J.</t>
  </si>
  <si>
    <t>[Klimont, Z.; Cofala, J.] Int Inst Appl Syst Anal, A-2361 Laxenburg, Austria; [Smith, S. J.] Pacific NW Natl Lab, Joint Global Change Res Inst, College Pk, MD 20740 USA</t>
  </si>
  <si>
    <t>International Institute for Applied Systems Analysis (IIASA); United States Department of Energy (DOE); Pacific Northwest National Laboratory</t>
  </si>
  <si>
    <t>Klimont, Z (corresponding author), Int Inst Appl Syst Anal, Schlosspl 1, A-2361 Laxenburg, Austria.</t>
  </si>
  <si>
    <t>klimont@iiasa.ac.at</t>
  </si>
  <si>
    <t>Klimont, Zbigniew/O-6683-2019; Klimont, Zbigniew/P-7641-2015; Smith, Steven/F-4502-2010</t>
  </si>
  <si>
    <t>Klimont, Zbigniew/0000-0003-2630-198X;</t>
  </si>
  <si>
    <t>ECLIPSE European Union [282688, 265148]; Office of Biological and Environmental Research of the US Department of Energy</t>
  </si>
  <si>
    <t>ECLIPSE European Union; Office of Biological and Environmental Research of the US Department of Energy(United States Department of Energy (DOE))</t>
  </si>
  <si>
    <t>Z Klimont and J Cofala acknowledge the support of the ECLIPSE European Union's Seventh Framework Programme (FP7/2007-2013) under Grant Agreement no. 282688 and the FP7 PEGASOS project, under Grant Agreement 265148. S Smith's work on this paper was supported by the Office of Biological and Environmental Research of the US Department of Energy as part of the Earth System Modeling Program. The authors would like to thank Stephen Dessel for assistance with data processing and Chris Heyes and Wolfgang Schopp for gridding of emissions.</t>
  </si>
  <si>
    <t>118BV</t>
  </si>
  <si>
    <t>Lund Univ, Ctr Environm &amp; Climate Res, Lund, Sweden</t>
  </si>
  <si>
    <t>Lund University</t>
  </si>
  <si>
    <t>Rummukainen, M (corresponding author), Lund Univ, Ctr Environm &amp; Climate Res, Lund, Sweden.</t>
  </si>
  <si>
    <t>Markku.Rummukainen@cec.lu.se</t>
  </si>
  <si>
    <t>Foundation for Strategic Environmental Research</t>
  </si>
  <si>
    <t>This review contributes to the research efforts within the strategic research area MERGE at Lund University and within the Swedish Mistra-SWECIA research programme funded by the Foundation for Strategic Environmental Research. An early version of the review was prepared of an IAEA workshop in Trieste, April 19-23, 2010.</t>
  </si>
  <si>
    <t>1757-7780</t>
  </si>
  <si>
    <t>1757-7799</t>
  </si>
  <si>
    <t>910MZ</t>
  </si>
  <si>
    <t>[Hostert, Patrick; Kuemmerle, Tobias; Sieber, Anika] Univ Berlin, Dept Geog, D-10099 Berlin, Germany; [Kuemmerle, Tobias] Potsdam Inst Climate Impact Res PIK, D-14412 Potsdam, Germany; [Prishchepov, Alexander] Leibniz Inst Agr Dev Cent &amp; Eastern Europe IAMO, Dept Struct Dev Farms &amp; Rural Areas, D-06120 Halle, Germany; [Lambin, Eric F.] Catholic Univ Louvain, Earth &amp; Life Inst, B-1348 Louvain, Belgium; [Lambin, Eric F.] Stanford Univ, Woods Inst Environm, Dept Environm Earth Syst Sci, Stanford, CA 94305 USA; [Radeloff, Volker C.] Univ Wisconsin, Dept Forest &amp; Wildlife Ecol, Madison, WI 53706 USA</t>
  </si>
  <si>
    <t>Potsdam Institut fur Klimafolgenforschung; Leibniz Association; Leibniz Institut fur Agrarentwicklung in Transformationsokonomien (IAMO); Universite Catholique Louvain; Stanford University; University of Wisconsin System; University of Wisconsin Madison</t>
  </si>
  <si>
    <t>Hostert, P (corresponding author), Univ Berlin, Dept Geog, Unter den Linden 6, D-10099 Berlin, Germany.</t>
  </si>
  <si>
    <t>patrick.hostert@geo.hu-berlin.de</t>
  </si>
  <si>
    <t>Hostert, Patrick/F-9291-2013; Radeloff, Volker/B-6124-2016; Prishchepov, Alexander/H-6708-2012; Kuemmerle, Tobias/B-4340-2008</t>
  </si>
  <si>
    <t>Radeloff, Volker/0000-0001-9004-221X; Prishchepov, Alexander/0000-0003-2375-1651; Kuemmerle, Tobias/0000-0002-9775-142X; Hostert, Patrick/0000-0002-5730-5484; Lambin, Eric/0000-0002-0673-5257</t>
  </si>
  <si>
    <t>Alexander von Humboldt Foundation; German Research Foundation (DFG) [HO 2568/7-1]; National Aeronautics and Space Administration (NASA)</t>
  </si>
  <si>
    <t>Alexander von Humboldt Foundation(Alexander von Humboldt FoundationUniversity of Maryland Baltimore); German Research Foundation (DFG)(German Research Foundation (DFG)); National Aeronautics and Space Administration (NASA)(National Aeronautics &amp; Space Administration (NASA))</t>
  </si>
  <si>
    <t>We thank D Muller for valuable comments and discussions on earlier versions of this manuscript and T Eickhof for help with data processing. We gratefully acknowledge support by the Alexander von Humboldt Foundation, the German Research Foundation (DFG, project HO 2568/7-1), and the Land Cover and Land Use Change (LCLUC) Program of the National Aeronautics and Space Administration (NASA).</t>
  </si>
  <si>
    <t>870MX</t>
  </si>
  <si>
    <t>[Barnes, David K. A.] NERC, British Antarctic Survey, Cambridge CB3 OET, England; [Galgani, Francois] IFREMER, Ctr Mediterranee, Prov Azur Corse LER PAC, F-83507 La Seyne Sur Mer, France; [Thompson, Richard C.] Univ Plymouth, Inst Marine, Marine Biol &amp; Ecol Res Ctr, Plymouth PL4 8AA, Devon, England; [Barlaz, Morton] N Carolina State Univ, Dept Civil Construct &amp; Environm Engn, Raleigh, NC 27695 USA</t>
  </si>
  <si>
    <t>UK Research &amp; Innovation (UKRI); Natural Environment Research Council (NERC); NERC British Antarctic Survey; Ifremer; University of Plymouth; North Carolina State University</t>
  </si>
  <si>
    <t>Barnes, DKA (corresponding author), NERC, British Antarctic Survey, Madingley Rd, Cambridge CB3 OET, England.</t>
  </si>
  <si>
    <t>; galgani, francois/A-1973-2011; Thompson, Richard/J-8879-2014</t>
  </si>
  <si>
    <t>Thompson, Richard/0000-0003-2262-6621; galgani, francois/0000-0001-8770-6054; Barlaz, Morton/0000-0001-8028-3917;</t>
  </si>
  <si>
    <t>Natural Environment Research Council [bas010015] Funding Source: researchfish; NERC [bas010015] Funding Source: UKRI</t>
  </si>
  <si>
    <t>Natural Environment Research Council(UK Research &amp; Innovation (UKRI)Natural Environment Research Council (NERC)); NERC(UK Research &amp; Innovation (UKRI)Natural Environment Research Council (NERC))</t>
  </si>
  <si>
    <t>461PU</t>
  </si>
  <si>
    <t>Camargo, Julio A.; Alonso, Alvaro</t>
  </si>
  <si>
    <t>6th Iberian/3rd Iberoamerican Congress on Environmental Contamination and Toxicology</t>
  </si>
  <si>
    <t>SEP 25-28, 2005</t>
  </si>
  <si>
    <t>Cadiz, SPAIN</t>
  </si>
  <si>
    <t>Univ Alcala de Henares, Dept Ecol, E-28871 Alcala De Henares, Madrid, Spain; INIA, Dept Med Ambiente, Lab Ecotoxicol, E-28040 Madrid, Spain</t>
  </si>
  <si>
    <t>Universidad de Alcala</t>
  </si>
  <si>
    <t>Camargo, JA (corresponding author), Univ Alcala de Henares, Dept Ecol, Edif Ciencias, E-28871 Alcala De Henares, Madrid, Spain.</t>
  </si>
  <si>
    <t>julio.camargo@uah.es</t>
  </si>
  <si>
    <t>Camargo, Júlio/KPB-5008-2024; Alonso, Álvaro/B-4286-2018</t>
  </si>
  <si>
    <t>Alonso, Álvaro/0000-0002-7797-8045; CAMARGO, Julio/0000-0003-3610-2693</t>
  </si>
  <si>
    <t>1873-6750</t>
  </si>
  <si>
    <t>064NF</t>
  </si>
  <si>
    <t>Potsdam Inst Climate Impact Res, D-14412 Potsdam, Germany; Max Planck Inst Biogeochem, D-07745 Jena, Germany; Boston Univ, Dept Geog, Boston, MA 02215 USA; Lab Sci Climat &amp; Environm, F-91198 Gif Sur Yvette, France; Lund Univ, Dept Phys Geog &amp; Ecosyst Anal, S-22362 Lund, Sweden</t>
  </si>
  <si>
    <t>Potsdam Institut fur Klimafolgenforschung; Max Planck Society; Boston University; Universite Paris Saclay; Lund University</t>
  </si>
  <si>
    <t>Lucht, W (corresponding author), Potsdam Inst Climate Impact Res, POB 601203, D-14412 Potsdam, Germany.</t>
  </si>
  <si>
    <t>Wolfgang.Lucht@pik-potsdam.de</t>
  </si>
  <si>
    <t>Lucht, Wolfgang/G-2180-2011; Cramer, Wolfgang/B-8221-2008; Smith, Benjamin/I-1212-2016; Friedlingstein, Pierre/H-2700-2014; BOUSQUET, Philippe/AGI-6602-2022; Sitch, Stephen/F-8034-2015; Myneni, Ranga/F-5129-2012</t>
  </si>
  <si>
    <t>Lucht, Wolfgang/0000-0002-3398-8575; Cramer, Wolfgang/0000-0002-9205-5812; Bousquet, Philippe/0000-0002-4444-2703; Myneni, Ranga/0000-0002-0234-6393; Smith, Benjamin/0000-0002-6987-5337</t>
  </si>
  <si>
    <t>558PR</t>
  </si>
  <si>
    <t>Univ Essex, Ctr Environm &amp; Soc, Colchester CO4 35Q, Essex, England; Univ Essex, Dept Econ, Colchester CO4 3SQ, Essex, England; European Environm Agcy, Dept Econ, DK-1050 Copenhagen, Denmark; Univ Essex, Dept Sci Biol, Colchester CO4 3SQ, Essex, England; Aratornish, Oban PA34 5UZ, Argyll, Scotland; Royal Soc Protect Birds, Sandy SG19 2DL, Beds, England; Ctr Agr &amp; Environm, NL-3505 AA Utrecht, Netherlands</t>
  </si>
  <si>
    <t>University of Essex; University of Essex; University of Essex; Royal Society for Protection of Birds</t>
  </si>
  <si>
    <t>Pretty, JN (corresponding author), Univ Essex, Ctr Environm &amp; Soc, Colchester CO4 35Q, Essex, England.</t>
  </si>
  <si>
    <t>Pretty, Jules/D-4071-2012</t>
  </si>
  <si>
    <t>Bragg, Rachel/0000-0003-1639-9805; Pretty, Jules/0000-0002-3897-6581</t>
  </si>
  <si>
    <t>0308-521X</t>
  </si>
  <si>
    <t>360LU</t>
  </si>
  <si>
    <t>[Rask, Kolleen J.] Coll Holy Cross, Dept Econ, Worcester, MA 01610 USA; [Rask, Norman] Ohio State Univ, Columbus, OH 43210 USA</t>
  </si>
  <si>
    <t>College of the Holy Cross; University System of Ohio; Ohio State University</t>
  </si>
  <si>
    <t>Rask, KJ (corresponding author), Coll Holy Cross, Dept Econ, Worcester, MA 01610 USA.</t>
  </si>
  <si>
    <t>krask@holycross.edu; Rask.1@osu.edu</t>
  </si>
  <si>
    <t>0306-9192</t>
  </si>
  <si>
    <t>1873-5657</t>
  </si>
  <si>
    <t>747ST</t>
  </si>
  <si>
    <t>Fisheries &amp; Oceans Canada, Inst Freshwater, Winnipeg, MB R3T 2N6, Canada; US EPA, Mol Indicators Res Branch, Cincinnati, OH 45268 USA</t>
  </si>
  <si>
    <t>Fisheries &amp; Oceans Canada; United States Environmental Protection Agency</t>
  </si>
  <si>
    <t>Kidd, KA (corresponding author), Univ New Brunswick, Canadian Rivers Inst, St John, NB E2E 4P1, Canada.</t>
  </si>
  <si>
    <t>kiddk@unbsj.ca</t>
  </si>
  <si>
    <t>Kidd, Karen/ABG-3237-2020; Kidd, Karen A/ABG-3237-2020; Lazorchak, James/E-2363-2016; Palace, Vince/AHB-6708-2022; Mills, Kingston/F-5684-2013</t>
  </si>
  <si>
    <t>Kidd, Karen A/0000-0002-5619-1358; Lazorchak, James/0000-0002-7354-7571; Blanchfield, Paul/0000-0003-0886-5642; Mills, Kingston/0000-0003-3646-8222</t>
  </si>
  <si>
    <t>173DM</t>
  </si>
  <si>
    <t>SUNY COLL PLATTSBURGH, CTR EARTH &amp; ENVIRONM SCI, PLATTSBURGH, NY 12901 USA; SYRACUSE UNIV, DEPT CIVIL ENGN, SYRACUSE, NY 13210 USA</t>
  </si>
  <si>
    <t>State University of New York (SUNY) System; SUNY Plattsburgh; Syracuse University</t>
  </si>
  <si>
    <t>LAWRENCE, GB (corresponding author), UNIV MAINE, DEPT PLANT &amp; SOIL SCI, ORONO, ME 04469 USA.</t>
  </si>
  <si>
    <t>iscoll, Charles T/F-9832-2014; Driscoll, Charles/F-9832-2014</t>
  </si>
  <si>
    <t>iscoll, Charles T/0000-0003-2692-2890;</t>
  </si>
  <si>
    <t>0047-2425</t>
  </si>
  <si>
    <t>1537-2537</t>
  </si>
  <si>
    <t>K9002</t>
  </si>
  <si>
    <t>Venter, Oscar; Sanderson, Eric W.; Magrach, Ainhoa; Allan, James R.; Beher, Jutta; Jones, Kendall R.; Possingham, Hugh P.; Laurance, William F.; Wood, Peter; Fekete, Balazs M.; Levy, Marc A.; Watson, James E. M.</t>
  </si>
  <si>
    <t>[Venter, Oscar] Univ Northern British Columbia, Ecosyst Sci &amp; Management, Prince George, BC V2N 4Z9, Canada; [Venter, Oscar; Allan, James R.; Beher, Jutta; Jones, Kendall R.; Possingham, Hugh P.] Univ Queensland, Ctr Excellence Environm Decis, St Lucia, Qld 4072, Australia; [Venter, Oscar; Allan, James R.; Beher, Jutta; Jones, Kendall R.; Possingham, Hugh P.] Univ Queensland, Sch Biol Sci, St Lucia, Qld 4072, Australia; [Venter, Oscar; Laurance, William F.; Wood, Peter] James Cook Univ, Ctr Trop Environm &amp; Sustainabil Sci, Cairns, Qld 4878, Australia; [Venter, Oscar; Laurance, William F.; Wood, Peter] James Cook Univ, Coll Sci &amp; Engn, Cairns, Qld 4878, Australia; [Sanderson, Eric W.; Watson, James E. M.] Wildlife Conservat Soc, Global Conservat Program, Bronx, NY 10460 USA; [Magrach, Ainhoa] Swiss Fed Inst Technol, Ecosyst Management, CH-8092 Zurich, Switzerland; [Magrach, Ainhoa] Donana Biol Stn EBD CSIC, Avd Amer Vespucio S-N, Seville 41092, Spain; [Allan, James R.; Jones, Kendall R.] Univ Queensland, Sch Geog Planning &amp; Environm Management, St Lucia, Qld 4072, Australia; [Possingham, Hugh P.] Imperial Coll London, Dept Life Sci, Silwood Pk, Ascot SL5 7PY, Berks, England; [Fekete, Balazs M.] CUNY City Coll, Dept Civil Engn, New York, NY 10007 USA; [Levy, Marc A.] Columbia Univ, Ctr Int Earth Sci Informat Network, Palisades, NY 10964 USA</t>
  </si>
  <si>
    <t>University of Northern British Columbia; University of Queensland; University of Queensland; James Cook University; James Cook University; Wildlife Conservation Society; Swiss Federal Institutes of Technology Domain; ETH Zurich; Consejo Superior de Investigaciones Cientificas (CSIC); CSIC - Estacion Biologica de Donana (EBD); University of Queensland; Imperial College London; City University of New York (CUNY) System; City College of New York (CUNY); Columbia University</t>
  </si>
  <si>
    <t>Venter, O (corresponding author), Univ Northern British Columbia, Ecosyst Sci &amp; Management, Prince George, BC V2N 4Z9, Canada.;Venter, O (corresponding author), Univ Queensland, Ctr Excellence Environm Decis, St Lucia, Qld 4072, Australia.;Venter, O (corresponding author), Univ Queensland, Sch Biol Sci, St Lucia, Qld 4072, Australia.;Venter, O (corresponding author), James Cook Univ, Ctr Trop Environm &amp; Sustainabil Sci, Cairns, Qld 4878, Australia.;Venter, O (corresponding author), James Cook Univ, Coll Sci &amp; Engn, Cairns, Qld 4878, Australia.</t>
  </si>
  <si>
    <t>oscar.venter@unbc.ca</t>
  </si>
  <si>
    <t>Allan, James/C-6680-2017; Levy, Marc A/K-3557-2015; beher, jutta/AAQ-5350-2020; Jones, Kendall/N-2464-2015; Magrach, Ainhoa/B-1038-2012; Venter, Oscar/ABE-1477-2021; Sanderson, Eric/O-1664-2019; Levy, Marc/K-3557-2015; Laurance, William/B-2709-2012; Watson, James/D-8779-2013; Possingham, Hugh/B-1337-2008; Watson, James/D-8779-2013</t>
  </si>
  <si>
    <t>Allan, James/0000-0001-6322-0172; Levy, Marc A/0000-0002-1111-2222; Jones, Kendall/0000-0003-2221-9938; Watson, James/0000-0003-4942-1984; Venter, Oscar/0000-0003-1719-8474; SANDERSON, ERIC W/0000-0002-7477-0193; Watson, James/0000-0003-4942-1984</t>
  </si>
  <si>
    <t>Wildlife Conservation Society; James Cook University; Australian Research Council [DP110102872, DE140101624]; Australian Research Council [DE140101624] Funding Source: Australian Research Council</t>
  </si>
  <si>
    <t>Wildlife Conservation Society; James Cook University; Australian Research Council(Australian Research Council); Australian Research Council(Australian Research Council)</t>
  </si>
  <si>
    <t>This work was supported by grants from the Wildlife Conservation Society, James Cook University and the Australian Research Council DP110102872 and DE140101624. We thank Neil Burgess, Jonas Geldman, Michelle Venter, Todd Stevens, Dan Segan, Joe Walston, John Robinson, Kim Fisher for their thoughtful feedback on this work. We thank Christopher Small for help with the nightlights data, and Alex De Sherbinin for help with roads and population data.</t>
  </si>
  <si>
    <t>EF3MZ</t>
  </si>
  <si>
    <t>[Hattich, Giannina S. I.; Listmann, Luisa; Raab, Julia; Ozod-Seradj, Dorthe; Reusch, Thorsten B. H.; Matthiessen, Birte] GEOMAR Helmholtz Ctr Ocean Res Kiel, Dusternbrooker Weg 20, D-24105 Kiel, Germany</t>
  </si>
  <si>
    <t>Hattich, GSI (corresponding author), GEOMAR Helmholtz Ctr Ocean Res Kiel, Dusternbrooker Weg 20, D-24105 Kiel, Germany.</t>
  </si>
  <si>
    <t>ghattich@geomar.de</t>
  </si>
  <si>
    <t>; Hattich, Giannina Saskia Isabelle/LKK-3421-2024; Matthiessen, Birte/IZP-7854-2023; Matthiessen, Birte/U-5459-2017; Reusch, Thorsten/B-9311-2019</t>
  </si>
  <si>
    <t>Hattich, Giannina Saskia Isabelle/0000-0003-4660-7759; Reusch, Thorsten B H/0000-0002-8961-4337; Matthiessen, Birte/0000-0001-9673-1876;</t>
  </si>
  <si>
    <t>DFG [MA5058/2-1, RE5058/2-2]</t>
  </si>
  <si>
    <t>DFG(German Research Foundation (DFG))</t>
  </si>
  <si>
    <t>G.H. and L.L. are funded by the DFG priority program 1704 Dynatrait: MA5058/2-1, RE5058/2-2.</t>
  </si>
  <si>
    <t>1744-9561</t>
  </si>
  <si>
    <t>1744-957X</t>
  </si>
  <si>
    <t>EN4ZM</t>
  </si>
  <si>
    <t>Green Submitted, Green Published, Green Accepted, hybrid</t>
  </si>
  <si>
    <t>Vina, Andres; McConnell, William J.; Yang, Hongbo; Xu, Zhenci; Liu, Jianguo</t>
  </si>
  <si>
    <t>[Vina, Andres; Yang, Hongbo; Xu, Zhenci; Liu, Jianguo] Michigan State Univ, Ctr Syst Integrat &amp; Sustainabil, Dept Fisheries &amp; Wildlife, E Lansing, MI 48823 USA; [McConnell, William J.] Michigan State Univ, Ctr Global Change &amp; Earth Observat, E Lansing, MI 48823 USA</t>
  </si>
  <si>
    <t>Michigan State University; Michigan State University</t>
  </si>
  <si>
    <t>Viña, A; Liu, JG (corresponding author), Michigan State Univ, Ctr Syst Integrat &amp; Sustainabil, Dept Fisheries &amp; Wildlife, E Lansing, MI 48823 USA.</t>
  </si>
  <si>
    <t>vina@msu.edu; liuji@msu.edu</t>
  </si>
  <si>
    <t>Yang, Hongbo/AAL-4818-2021; Vina, Andres/KIE-0168-2024; Liu, Jianguo/G-5211-2015</t>
  </si>
  <si>
    <t>Yang, Hongbo/0000-0001-5935-6595; Xu, Zhenci/0000-0003-4123-077X; Viña, Andrés/0000-0001-6240-6610; Liu, Jianguo/0000-0001-6344-0087</t>
  </si>
  <si>
    <t>National Science Foundation; Michigan AgBioResearch; Direct For Biological Sciences; Division Of Environmental Biology [1340812] Funding Source: National Science Foundation; Directorate For Geosciences; ICER [1531086] Funding Source: National Science Foundation</t>
  </si>
  <si>
    <t>National Science Foundation(National Science Foundation (NSF)); Michigan AgBioResearch; Direct For Biological Sciences; Division Of Environmental Biology(National Science Foundation (NSF)NSF - Directorate for Biological Sciences (BIO)); Directorate For Geosciences; ICER(National Science Foundation (NSF)NSF - Directorate for Geosciences (GEO))</t>
  </si>
  <si>
    <t>This study received financial support from the National Science Foundation and Michigan AgBioResearch.</t>
  </si>
  <si>
    <t>e1500965</t>
  </si>
  <si>
    <t>DR0TQ</t>
  </si>
  <si>
    <t>[Richey, Alexandra S.; Famiglietti, James S.] Univ Calif Irvine, Dept Civil &amp; Environm Engn, Irvine, CA 92697 USA; [Thomas, Brian F.; Reager, John T.; Famiglietti, James S.] CALTECH, NASA, Jet Prop Lab, Pasadena, CA 91125 USA; [Lo, Min-Hui] Natl Taiwan Univ, Dept Atmospher Sci, Taipei 10764, Taiwan; [Famiglietti, James S.] Univ Calif Irvine, Dept Earth Syst Sci, Irvine, CA USA; [Voss, Katalyn] Univ Calif Santa Barbara, Dept Geog, Santa Barbara, CA 93106 USA; [Swenson, Sean] Natl Ctr Atmospher Res, Climate &amp; Global Dynam Div, Boulder, CO 80307 USA; [Rodell, Matthew] NASA, Goddard Space Flight Ctr, Hydrol Sci Lab, Greenbelt, MD 20771 USA</t>
  </si>
  <si>
    <t>University of California System; University of California Irvine; California Institute of Technology; National Aeronautics &amp; Space Administration (NASA); NASA Jet Propulsion Laboratory (JPL); National Taiwan University; University of California System; University of California Irvine; University of California System; University of California Santa Barbara; National Center Atmospheric Research (NCAR) - USA; National Aeronautics &amp; Space Administration (NASA); NASA Goddard Space Flight Center</t>
  </si>
  <si>
    <t>Famiglietti, JS (corresponding author), Univ Calif Irvine, Dept Civil &amp; Environm Engn, Irvine, CA 92697 USA.</t>
  </si>
  <si>
    <t>jfamigli@uci.edu</t>
  </si>
  <si>
    <t>; Rodell, Matthew/E-4946-2012; Famiglietti, James/G-7383-2017</t>
  </si>
  <si>
    <t>Thomas, Brian/0000-0003-0080-7958; Voss, Katalyn/0000-0001-8946-8213; LO, MIN-HUI/0000-0002-8653-143X; Rodell, Matthew/0000-0003-0106-7437; Famiglietti, James/0000-0002-6053-5379</t>
  </si>
  <si>
    <t>U.S. National Aeronautics and Space Administration under the GRACE Science Team program; U.S. National Aeronautics and Space Administration under Earth and Space Science Fellowship; University of California Office of the President Multicampus Research Programs and Initiatives program; MOST [104-2923-M-002-002-MY4]; National Aeronautics and Space Administration</t>
  </si>
  <si>
    <t>U.S. National Aeronautics and Space Administration under the GRACE Science Team program; U.S. National Aeronautics and Space Administration under Earth and Space Science Fellowship; University of California Office of the President Multicampus Research Programs and Initiatives program; MOST(Ministry of Science &amp; Technology (MOST), Republic of Korea); National Aeronautics and Space Administration(National Aeronautics &amp; Space Administration (NASA))</t>
  </si>
  <si>
    <t>We gratefully acknowledge support from the U.S. National Aeronautics and Space Administration under the GRACE Science Team program and an Earth and Space Science Fellowship awarded to the first author. Critical support was also provided by the University of California Office of the President Multicampus Research Programs and Initiatives program. Min-Hui Lo is supported by the grant of MOST 104-2923-M-002-002-MY4. A portion of the research was carried out at the Jet Propulsion Laboratory, California Institute of Technology, under a contract with the National Aeronautics and Space Administration. This study was also made possible using freely available data from the Global Land Data Assimilation System (http://disc.sci.gsfc.nasa.gov/hydrology/data-holdings), the GWSP Digital Water Atlas (http://atlas.gwsp.org/), and the Anthropogenic Biomes of the World, Version 1 dataset from the NASA Socioeconomic Data and Applications Center (SEDAC, http://sedac.ciesin.columbia.edu/). Additional data used in this study is available from the authors upon request (arichey@uci.edu). Thank you to the editor who's comments and suggestions greatly improved the manuscript. Finally, we thank Caroline deLinage for her thoughtful contributions to the direction of this work.</t>
  </si>
  <si>
    <t>0043-1397</t>
  </si>
  <si>
    <t>1944-7973</t>
  </si>
  <si>
    <t>CP7PM</t>
  </si>
  <si>
    <t>Butchart, Stuart H. M.; Walpole, Matt; Collen, Ben; van Strien, Arco; Scharlemann, Joern P. W.; Almond, Rosamunde E. A.; Baillie, Jonathan E. M.; Bomhard, Bastian; Brown, Claire; Bruno, John; Carpenter, Kent E.; Carr, Genevieve M.; Chanson, Janice; Chenery, Anna M.; Csirke, Jorge; Davidson, Nick C.; Dentener, Frank; Foster, Matt; Galli, Alessandro; Galloway, James N.; Genovesi, Piero; Gregory, Richard D.; Hockings, Marc; Kapos, Valerie; Lamarque, Jean-Francois; Leverington, Fiona; Loh, Jonathan; McGeoch, Melodie A.; McRae, Louise; Minasyan, Anahit; Morcillo, Monica Hernandez; Oldfield, Thomasina E. E.; Pauly, Daniel; Quader, Suhel; Revenga, Carmen; Sauer, John R.; Skolnik, Benjamin; Spear, Dian; Stanwell-Smith, Damon; Stuart, Simon N.; Symes, Andy; Tierney, Megan; Tyrrell, Tristan D.; Vie, Jean-Christophe; Watson, Reg</t>
  </si>
  <si>
    <t>[Butchart, Stuart H. M.; Walpole, Matt; Scharlemann, Joern P. W.; Almond, Rosamunde E. A.; Chenery, Anna M.; Kapos, Valerie; Morcillo, Monica Hernandez; Stanwell-Smith, Damon; Stuart, Simon N.; Tierney, Megan; Tyrrell, Tristan D.] UN, Environm Programme, World Conservat Monitoring Ctr, Cambridge CB3 0DL, England; [Butchart, Stuart H. M.; Symes, Andy] BirdLife Int, Cambridge CB3 0NA, England; [Collen, Ben; Baillie, Jonathan E. M.; McRae, Louise] Zool Soc London, Inst Zool, London NW1 4RY, England; [van Strien, Arco] Stat Netherlands, NL-2490 HA The Hague, Netherlands; [Bruno, John] Univ N Carolina, Dept Marine Sci, Chapel Hill, NC 27599 USA; [Carpenter, Kent E.] Old Dominion Univ, Norfolk, VA 23529 USA; [Carr, Genevieve M.] Natl Water Res Inst Branch, United Nations Environm Programme, Burlington, ON L7R 4A6, Canada; [Chanson, Janice] Conservat Int, Ctr Appl Biodivers Sci, Biodivers Assessment Unit, IUCN Species Survival Commiss, Arlington, VA 22202 USA; [Csirke, Jorge] UN, Food &amp; Agr Org, Fisheries &amp; Aquaculture Management Div, I-00153 Rome, Italy; [Davidson, Nick C.] Secretariat Ramsar Convent Wetlands, CH-1196 Gland, Switzerland; [Dentener, Frank] European Commiss, Joint Res Ctr, Inst Environm &amp; Sustainabil, I-21027 Ispra, VA, Italy; [Galli, Alessandro] Global Footprint Network, Oakland, CA 94607 USA; [Galloway, James N.] Univ Virginia, Dept Environm Sci, Charlottesville, VA 22903 USA; [Genovesi, Piero] Ist Super Protez &amp; Ric Ambientale, I-00185 Rome, Italy; [Gregory, Richard D.] Royal Soc Protect Birds, Sandy SG19 2DL, Beds, England; [Hockings, Marc; Leverington, Fiona] Univ Queensland, Sch Integrat Syst, Brisbane, Qld 4067, Australia; [Kapos, Valerie] Univ Cambridge, Dept Zool, Cambridge CB2 3EJ, England; [Lamarque, Jean-Francois] Natl Ctr Atmospher Res, Boulder, CO 80301 USA; [Loh, Jonathan] World Wildlife Fund Int, CH-1196 Gland, Switzerland; [McGeoch, Melodie A.] S African Natl Pk, Ctr Invas Biol, ZA-7947 Steenberg, South Africa; [McGeoch, Melodie A.] S African Natl Pk, Global Invas Species Programme, ZA-7947 Steenberg, South Africa; [Minasyan, Anahit] United Nations Educ Sci &amp; Cultural Org, F-75352 Paris, France; [Oldfield, Thomasina E. E.] TRAFFIC Int, Cambridge CB3 0DL, England; [Pauly, Daniel; Watson, Reg] Univ British Columbia, Fisheries Ctr, Sea Us Project, Vancouver, BC V6T 1Z4, Canada; [Quader, Suhel] Natl Ctr Biol Sci, Tata Inst Fundamental Res, Bangalore 560065, Karnataka, India; [Revenga, Carmen] Nature Conservancy, Arlington, VA 22203 USA; [Sauer, John R.] US Geol Survey, Patuxent Wildlife Res Ctr, Laurel, MD 20708 USA; [Skolnik, Benjamin] Amer Bird Conservancy, Washington, DC 20009 USA; [Spear, Dian] Univ Stellenbosch, Ctr Invas Biol, ZA-7602 Matieland, South Africa; [Stuart, Simon N.] Univ Bath, Dept Biol &amp; Biochem, IUCN Species Survival Commiss, Bath BA2 7AY, Avon, England; [Stuart, Simon N.] Al Ain Wildlife Pk &amp; Resort, Abu Dhabi, U Arab Emirates; [Vie, Jean-Christophe] IUCN, CH-1196 Gland, Switzerland</t>
  </si>
  <si>
    <t>United Nations Environment Programme; BirdLife International; Zoological Society of London; University of North Carolina; University of North Carolina Chapel Hill; Old Dominion University; Environment &amp; Climate Change Canada; National Water Research Institute; Conservation International; Food &amp; Agriculture Organization of the United Nations (FAO); European Commission Joint Research Centre; EC JRC ISPRA Site; University of Virginia; Italian Institute for Environmental Protection &amp; Research (ISPRA); Royal Society for Protection of Birds; University of Queensland; University of Cambridge; National Center Atmospheric Research (NCAR) - USA; World Wildlife Fund; University of British Columbia; Tata Institute of Fundamental Research (TIFR); National Centre for Biological Sciences (NCBS); Nature Conservancy; United States Department of the Interior; United States Geological Survey; Stellenbosch University; University of Bath</t>
  </si>
  <si>
    <t>Butchart, SHM (corresponding author), UN, Environm Programme, World Conservat Monitoring Ctr, 219 Huntingdon Rd, Cambridge CB3 0DL, England.</t>
  </si>
  <si>
    <t>stuart.butchart@birdlife.org</t>
  </si>
  <si>
    <t>Quader, Suhel/D-4454-2011; van Strien, Arco J/AAG-1843-2020; Collen, Ben/F-2543-2016; McGeoch, Melodie/F-8353-2011; Scharlemann, Jorn/A-4737-2008; van Strien, Arco/AAG-1843-2020; Spear, Dian/B-2469-2009; Dentener, Frank/ABW-0482-2022; Lamarque, Jean-Francois/L-2313-2014; Pauly, Daniel/AAY-2316-2021; Davidson, Nicholas/AAA-9921-2019; Hockings, Marc/A-1283-2007; Genovesi, Piero/Z-1571-2019; Butchart, Stuart/Y-2711-2018; Bertzky, Bastian/I-6909-2013; Collen, Ben/D-5055-2011; Watson, Reg/F-4850-2012; Kapos, Valerie/G-3136-2010; Galloway, James/C-2769-2013</t>
  </si>
  <si>
    <t>van Strien, Arco J/0000-0003-0451-073X; Collen, Ben/0000-0003-2564-4243; McGeoch, Melodie/0000-0003-3388-2241; Scharlemann, Jorn/0000-0002-2834-6367; Pauly, Daniel/0000-0003-3756-4793; Spear, Dian/0000-0002-2417-3980; Galloway, James/0000-0001-7676-8698; Galli, Alessano/0000-0001-9503-4104; Gregory, Richard/0000-0002-7419-5053; Hockings, Marc/0000-0003-4419-8963; Csirke, Jorge/0000-0002-0253-3535; Watson, Reg/0000-0001-7201-8865; Butchart, Stuart/0000-0002-1140-4049; Kapos, Valerie/0000-0002-5739-8262; Bertzky, Bastian/0000-0001-7025-4733;</t>
  </si>
  <si>
    <t>Global Environment Facility; Shell Foundation; European Commission; University of British Columbia/Pew Environment Group; Nature Conservancy; University of Queensland; New Hampshire Charitable Foundation; National Science Foundation (NSF)</t>
  </si>
  <si>
    <t>Global Environment Facility; Shell Foundation; European Commission(European Union (EU)European Commission Joint Research Centre); University of British Columbia/Pew Environment Group; Nature Conservancy; University of Queensland(University of Queensland); New Hampshire Charitable Foundation; National Science Foundation (NSF)(National Science Foundation (NSF))</t>
  </si>
  <si>
    <t>We are grateful for comments, data, or help from R. Akcakaya, L. Alvarez-Filip, A. Angulo, L. Bennun, L. Coad, N. Cox, M. Dube, C. Estreguil, M. Evans, B. Galil, V. Gaveau, F. Gherardi, S. Goldfinger, R. Green, A. Grigg, P. Herkenrath, C. Hilton-Taylor, M. Hoffmann, E. Kleynhans, J. Lamoreux, S. Livingstone, E. Marais, P. Martin, I. May, A. Milam, K. Noonan-Mooney, H. Pavese, B. Polidoro, C. Pollock, D. Pritchard, J. Schipper, F. Schutyser, V. Shutte, S. Simons, J. Skorpilova, A. Stattersfield, P. Vorisek, R. Wright, M. Wackernagel, and M. Waycott. We acknowledge support from the Global Environment Facility to the 2010 Biodiversity Indicators Partnership; Shell Foundation; European Commission; the Sea Around Us Project (University of British Columbia/Pew Environment Group) to D. P. and R. W.; World Wildlife Fund, The Nature Conservancy, and the University of Queensland to M. H. and F. L.; T. Haas and the New Hampshire Charitable Foundation to K. E. C.; and the National Science Foundation (NSF) to J.-F.L. Opinions and findings expressed here do not necessarily reflect the views of the NSF or other funding bodies.</t>
  </si>
  <si>
    <t>601YR</t>
  </si>
  <si>
    <t>[Quinton, John N.; Bardgett, Richard D.] Univ Lancaster, Lancaster Environm Ctr, Lancaster LA1 4YQ, England; [Govers, Gerard] Katholieke Univ Leuven, Dept Earth &amp; Environm Sci, B-3001 Heverlee, Belgium; [Van Oost, Kristof] Catholic Univ Louvain, Georges Lemaitre Ctr Earth &amp; Climate Res TECLIM, B-1348 Louvain, Belgium</t>
  </si>
  <si>
    <t>Lancaster University; KU Leuven; Universite Catholique Louvain</t>
  </si>
  <si>
    <t>Quinton, JN (corresponding author), Univ Lancaster, Lancaster Environm Ctr, Lancaster LA1 4YQ, England.</t>
  </si>
  <si>
    <t>Bardgett, Richard/E-5599-2014; Quinton, John/B-1290-2011; Govers, Gerard/A-8298-2008; Van Oost, Kristof/B-6941-2008</t>
  </si>
  <si>
    <t>Quinton, John/0000-0003-1746-4795; Bardgett, Richard/0000-0002-5131-0127; Govers, Gerard/0000-0001-9884-4778;</t>
  </si>
  <si>
    <t>Fonds de la Recherche Scientifique (FNRS), Belgium; Communaute Francaise de Belgique [09/14-022]</t>
  </si>
  <si>
    <t>Fonds de la Recherche Scientifique (FNRS), Belgium(Fonds de la Recherche Scientifique - FNRS); Communaute Francaise de Belgique(Australian Research Council)</t>
  </si>
  <si>
    <t>K.V.O is a research associate of the Fonds de la Recherche Scientifique (FNRS), Belgium, and is supported by the Communaute Francaise de Belgique (convention number 09/14-022).</t>
  </si>
  <si>
    <t>589XW</t>
  </si>
  <si>
    <t>Michigan State Univ, Dept Fisheries &amp; Wildlife, E Lansing, MI 48824 USA; Stanford Univ, Ctr Conservat Biol, Stanford, CA 94305 USA</t>
  </si>
  <si>
    <t>Michigan State University; Stanford University</t>
  </si>
  <si>
    <t>Liu, JG (corresponding author), Michigan State Univ, Dept Fisheries &amp; Wildlife, E Lansing, MI 48824 USA.</t>
  </si>
  <si>
    <t>jliu@panda.msu.edu</t>
  </si>
  <si>
    <t>; Liu, Jianguo/G-5211-2015</t>
  </si>
  <si>
    <t>Luck, Gary/0000-0002-7266-5568; Liu, Jianguo/0000-0001-6344-0087</t>
  </si>
  <si>
    <t>640DB</t>
  </si>
  <si>
    <t>[Six, Katharina D.; Kloster, Silvia; Ilyina, Tatiana; Maier-Reimer, Ernst] Max Planck Inst Meteorol, D-20146 Hamburg, Germany; [Archer, Stephen D.] Plymouth Marine Lab, Plymouth PL1 3DH, Devon, England; [Archer, Stephen D.] Bigelow Lab Ocean Sci, East Boothbay, ME 04544 USA; [Zhang, Kai] Pacific NW Natl Lab, Richland, WA 99352 USA</t>
  </si>
  <si>
    <t>Max Planck Society; Plymouth Marine Laboratory; Bigelow Laboratory for Ocean Sciences; United States Department of Energy (DOE); Pacific Northwest National Laboratory</t>
  </si>
  <si>
    <t>Six, KD (corresponding author), Max Planck Inst Meteorol, Bundesstr 55, D-20146 Hamburg, Germany.</t>
  </si>
  <si>
    <t>katharina.six@zmaw.de</t>
  </si>
  <si>
    <t>Archer, Stephen/H-5490-2012; Ilyina, Tatiana/ABE-9164-2020; Zhang, Kai/F-8415-2010</t>
  </si>
  <si>
    <t>Archer, Stephen/0000-0001-6054-2424; Zhang, Kai/0000-0003-0457-6368; Ilyina, Tatiana/0000-0002-3475-4842</t>
  </si>
  <si>
    <t>EU FP7 project EPOCA [211384]; EU FP7 project COMBINE [226520]; EU FP7 project CARBOCHANGE [264879]; Office of Science of the US Department of Energy as part of the SciDAC programme; Natural Environment Research Council [pml010002, NE/H017259/1] Funding Source: researchfish; NERC [pml010002, NE/H017259/1] Funding Source: UKRI</t>
  </si>
  <si>
    <t>EU FP7 project EPOCA(European Union (EU)); EU FP7 project COMBINE(European Union (EU)); EU FP7 project CARBOCHANGE(European Union (EU)); Office of Science of the US Department of Energy as part of the SciDAC programme(United States Department of Energy (DOE)); Natural Environment Research Council(UK Research &amp; Innovation (UKRI)Natural Environment Research Council (NERC)); NERC(UK Research &amp; Innovation (UKRI)Natural Environment Research Council (NERC))</t>
  </si>
  <si>
    <t>The work of K. D. S. and S. D. A. was financially supported by the EU FP7 project EPOCA (grant no. 211384). This is a contribution to EU FP7 projects COMBINE (grant no. 226520) and CARBOCHANGE (grant no. 264879). K.Z. was supported by the Office of Science of the US Department of Energy as part of the SciDAC programme. We thank I. Stemmler and U. Niemeier for internal review of the original manuscript.</t>
  </si>
  <si>
    <t>295OJ</t>
  </si>
  <si>
    <t>Beketov, Mikhail A.; Kefford, Ben J.; Schaefer, Ralf B.; Liess, Matthias</t>
  </si>
  <si>
    <t>[Beketov, Mikhail A.; Liess, Matthias] UFZ Helmholtz Ctr Environm Res, Dept Syst Ecotoxicol, D-04318 Leipzig, Germany; [Kefford, Ben J.] Univ Technol Sydney, Ctr Environm Sustainabil, Sch Environm, Sydney, NSW 2007, Australia; [Schaefer, Ralf B.] Univ Koblenz Landau, Inst Environm Sci, D-76829 Landau, Germany</t>
  </si>
  <si>
    <t>Helmholtz Association; Helmholtz Center for Environmental Research (UFZ); University of Technology Sydney; RPTU University Kaiserslautern</t>
  </si>
  <si>
    <t>Beketov, MA (corresponding author), UFZ Helmholtz Ctr Environm Res, Dept Syst Ecotoxicol, D-04318 Leipzig, Germany.</t>
  </si>
  <si>
    <t>mikhail.beketov@ufz.de</t>
  </si>
  <si>
    <t>; Schaefer, Ralf/E-1926-2011; Liess, Matthias/A-8582-2009; Beketov, Mikhail/E-1727-2011; Liess, Matthias/A-8582-2009</t>
  </si>
  <si>
    <t>Schäfer, Ralf B/0000-0003-3510-1701; Kefford, Ben/0000-0001-6789-4254; Liess, Matthias/0000-0002-3321-8909; Liess, Matthias/0000-0002-3321-8909</t>
  </si>
  <si>
    <t>Helmholtz Association of German Research Centers [HRJRG-025]; University of Technology Sydney's International Researcher Development Scheme; Melbourne Water</t>
  </si>
  <si>
    <t>Helmholtz Association of German Research Centers(Helmholtz Association); University of Technology Sydney's International Researcher Development Scheme; Melbourne Water</t>
  </si>
  <si>
    <t>We are grateful to everyone who helped with the fieldwork and the associated chemical analyses. We thank Graham Pyke for valuable comments on the manuscript. This work was supported by the Helmholtz Association of German Research Centers (Project ECOLINK, HRJRG-025). A visit to Germany by B.J.K. was funded by the University of Technology Sydney's International Researcher Development Scheme. Melbourne Water funded the collection of the pesticide data in the Australian study.</t>
  </si>
  <si>
    <t>185OF</t>
  </si>
  <si>
    <t>US EPA, Corvallis, OR 97333 USA; Environm Canada, Burlington, ON L7R 4A6, Canada; Norwegian Inst Air Res, N-2027 Kjeller, Norway; Environm Canada, Sackville, NB E4L 1G6, Canada; Ontario Minist Environm, Dorset, ON P0A 1E0, Canada; Syracuse Univ, Syracuse, NY 13244 USA; Finnish Environm Inst, Helsinki 00251, Finland; Norwegian Inst Water Res, N-0411 Oslo, Norway; Vermont Dept Environm Conservat, Orono, ME 04469 USA; Environm Canada, Montreal, PQ H2Y 2E7, Canada; UCL, Environm Change Res Ctr, London WC1H 0AP, England; US Geol Survey, Troy, NY 12180 USA; Natl Environm Res Inst, DK-8600 Silkeborg, Denmark; Fisheries &amp; Oceans Canada, Winnipeg, MB R3T 2N6, Canada; Aquasence TEC, NL-1090 Amsterdam, Netherlands; Wisconsin Dept Nat Resources, Monona, WI 53716 USA; Umwelstbundesamt, D-13581 Berlin, Germany; Swedish Univ Agr Sci, S-75007 Uppsala, Sweden; Univ Maine, Sawyer Res Ctr, Orono, ME 04469 USA</t>
  </si>
  <si>
    <t>United States Environmental Protection Agency; Environment &amp; Climate Change Canada; NILU; Environment &amp; Climate Change Canada; Syracuse University; Finnish Environment Institute; Norwegian Institute for Water Research (NIVA); Environment &amp; Climate Change Canada; University of London; University College London; United States Department of the Interior; United States Geological Survey; Aarhus University; Danish National Environmental Research Institute; Fisheries &amp; Oceans Canada; Swedish University of Agricultural Sciences; University of Maine System; University of Maine Orono</t>
  </si>
  <si>
    <t>Stoddard, JL (corresponding author), US EPA, 200 SW 35th St, Corvallis, OR 97333 USA.</t>
  </si>
  <si>
    <t>stoddard@mail.cor.epa.gov</t>
  </si>
  <si>
    <t>Monteith, Donald/C-1534-2008; iscoll, Charles T/F-9832-2014; Driscoll, Charles/F-9832-2014; Stoddard, John/H-5594-2013</t>
  </si>
  <si>
    <t>iscoll, Charles T/0000-0003-2692-2890; Stoddard, John/0000-0002-2537-6130; Weter, Katherine/0000-0002-6009-0146; Forsius, Martin/0000-0003-0125-5120</t>
  </si>
  <si>
    <t>244MG</t>
  </si>
  <si>
    <t>CSIRO, Resources Futures Programme, Canberra, ACT 2601, Australia; Univ Klagenfurt, Inst Social Ecol, Vienna, Austria</t>
  </si>
  <si>
    <t>Commonwealth Scientific &amp; Industrial Research Organisation (CSIRO); University of Klagenfurt</t>
  </si>
  <si>
    <t>Schandl, H (corresponding author), CSIRO, Resources Futures Programme, GPO Box 284, Canberra, ACT 2601, Australia.</t>
  </si>
  <si>
    <t>; Schandl, Heinz/C-5055-2008; Eisenmenger, Nina/AAB-7805-2020</t>
  </si>
  <si>
    <t>Eisenmenger, Nina/0000-0002-8833-3883; Schandl, Heinz/0000-0001-6399-4231;</t>
  </si>
  <si>
    <t>1530-9290</t>
  </si>
  <si>
    <t>110YC</t>
  </si>
  <si>
    <t>van der Sluis, Theo; Pedroli, Bas; Kristensen, Soren B. P.; Cosor, Georgia Lavinia; Pavlis, Evangelos</t>
  </si>
  <si>
    <t>[van der Sluis, Theo; Pedroli, Bas] Univ Wageningen &amp; Res Ctr, Environm Sci Grp, Alterra, POB 47, NL-6700 MA Wageningen, Netherlands; [Kristensen, Soren B. P.] Univ Copenhagen, Dept Geosci &amp; Nat Resource Management, Oster Voldgade 10, DK-1350 Copenhagen K, Denmark; [Cosor, Georgia Lavinia] Univ Bucharest, Dept Syst Ecol &amp; Sustainabil, Res Ctr Syst Ecol Ecodivers &amp; Sustainabil, 91-95 Splaiul Independentei, Bucharest 050095, Romania; [Pavlis, Evangelos] Univ Aegean, Dept Geog, Univ Hill, Mitiline 81100, Lesvos, Greece</t>
  </si>
  <si>
    <t>Wageningen University &amp; Research; University of Copenhagen; University of Bucharest; University of Aegean</t>
  </si>
  <si>
    <t>van der Sluis, T (corresponding author), Univ Wageningen &amp; Res Ctr, Environm Sci Grp, Alterra, POB 47, NL-6700 MA Wageningen, Netherlands.</t>
  </si>
  <si>
    <t>; Peoli, Bas/E-1352-2016; Pavlis, Evangelos/ABA-8809-2021; Kristensen, Soren/C-9440-2015; Cosor, Georgia Lavinia/ABB-4012-2021; van der Sluis, Theo/H-6666-2019; Georgia, Cosor/ABB-4012-2021; PAVLIS, EVANGELOS/ABA-8809-2021; Pedroli, Bas/E-1352-2016</t>
  </si>
  <si>
    <t>Van der Sluis, Theo/0000-0001-7300-5417; Peoli, Bas/0000-0003-3450-447X; Kristensen, Soren/0000-0002-4335-7662; Cosor, Georgia Lavinia/0000-0003-2580-9060; PAVLIS, EVANGELOS/0000-0001-8210-541X;</t>
  </si>
  <si>
    <t>European Union via the VOLANTE project [265104]</t>
  </si>
  <si>
    <t>European Union via the VOLANTE project</t>
  </si>
  <si>
    <t>This research received funding from the European Union Seventh Framework Programme (FP7/2007-2013) via the VOLANTE project under grant agreement no 265104. The advice concerning the statistical analysis from Paul Goedhart, Statistician at Biometris, Wageningen University and Research Centre, is gratefully acknowledged. Lawrence Jones-Walters edited the English text. The comments from two anonymous reviewers were most helpful in improving the text.</t>
  </si>
  <si>
    <t>DU6RB</t>
  </si>
  <si>
    <t>Early, Regan; Bradley, Bethany A.; Dukes, Jeffrey S.; Lawler, Joshua J.; Olden, Julian D.; Blumenthal, Dana M.; Gonzalez, Patrick; Grosholz, Edwin D.; Ibanez, Ines; Miller, Luke P.; Sorte, Cascade J. B.; Tatem, Andrew J.</t>
  </si>
  <si>
    <t>[Early, Regan] Univ Exeter, Ctr Ecol &amp; Conservat, Penryn Campus, Penryn TR10 9FE, Cornwall, England; [Bradley, Bethany A.] Univ Massachusetts, Dept Environm Conservat, Amherst, MA 01003 USA; [Dukes, Jeffrey S.] Purdue Univ, Dept Forestry &amp; Nat Resources, W Lafayette, IN 47907 USA; [Dukes, Jeffrey S.] Purdue Univ, Dept Biol Sci, W Lafayette, IN 47907 USA; [Lawler, Joshua J.] Univ Washington, Sch Environm &amp; Forest Sci, Seattle, WA 98195 USA; [Olden, Julian D.] Univ Washington, Sch Aquat &amp; Fishery Sci, Seattle, WA 98195 USA; [Blumenthal, Dana M.] USDA ARS, Rangeland Resources Res Unit, Ft Collins, CO USA; [Gonzalez, Patrick] Natl Pk Serv, Nat Resource Stewardship &amp; Sci, Berkeley, CA 94720 USA; [Gonzalez, Patrick] Univ Calif Berkeley, Dept Environm Sci Policy &amp; Management, Berkeley, CA 94720 USA; [Grosholz, Edwin D.] Univ Calif Davis, Dept Environm Sci &amp; Policy, Davis, CA 95616 USA; [Ibanez, Ines] Univ Michigan, Sch Nat Resources &amp; Environm, Ann Arbor, MI 48109 USA; [Miller, Luke P.] Stanford Univ, Hopkins Marine Stn, Pacific Grove, CA 93950 USA; [Sorte, Cascade J. B.] Univ Calif Irvine, Dept Ecol &amp; Evolutionary Biol, Irvine, CA 92697 USA; [Tatem, Andrew J.] Univ Southampton, Dept Geog &amp; Environm, Southampton SO17 1BJ, Hants, England; [Tatem, Andrew J.] NIH, Fogarty Int Ctr, Bldg 10, Bethesda, MD 20892 USA; [Tatem, Andrew J.] Flowminder Fdn, SE-11355 Stockholm, Sweden</t>
  </si>
  <si>
    <t>University of Exeter; University of Massachusetts System; University of Massachusetts Amherst; Purdue University System; Purdue University; Purdue University System; Purdue University; University of Washington; University of Washington Seattle; University of Washington; University of Washington Seattle; United States Department of Agriculture (USDA); United States Department of the Interior; US National Park Service; University of California System; University of California Berkeley; University of California System; University of California Davis; University of Michigan System; University of Michigan; Stanford University; University of California System; University of California Irvine; University of Southampton; National Institutes of Health (NIH) - USA; NIH Fogarty International Center (FIC)</t>
  </si>
  <si>
    <t>Early, R (corresponding author), Univ Exeter, Ctr Ecol &amp; Conservat, Penryn Campus, Penryn TR10 9FE, Cornwall, England.</t>
  </si>
  <si>
    <t>r.early@exeter.ac.uk</t>
  </si>
  <si>
    <t>Bradley, Bethany/B-1964-2008; Miller, Luke/B-8992-2009; Olden, Julian/A-8535-2010; Early, Regan/A-5442-2010; Dukes, Jeffrey/C-9765-2009; Gonzalez, Patrick/B-9479-2013</t>
  </si>
  <si>
    <t>Tatem, Anew/0000-0002-7270-941X; Miller, Luke/0000-0002-2009-6981; Dukes, Jeffrey/0000-0001-9482-7743; Bradley, Bethany/0000-0003-4912-4971; Olden, Julian/0000-0003-2143-1187; Gonzalez, Patrick/0000-0002-7105-0561</t>
  </si>
  <si>
    <t>University of California, Santa Barbara; State of California; National Center for Ecological Analysis and Synthesis - National Science Foundation [EF-0553768]; NERC GW4+ DTP PhD 'Unexplained limits on species distributions. What do they mean for conservation?'</t>
  </si>
  <si>
    <t>University of California, Santa Barbara(University of California System); State of California; National Center for Ecological Analysis and Synthesis - National Science Foundation(National Science Foundation (NSF)); NERC GW4+ DTP PhD 'Unexplained limits on species distributions. What do they mean for conservation?'</t>
  </si>
  <si>
    <t>We thank Ricardo Dobrovolski, Andy Nelson, Ben Halpern, Catarina Meireles, Sarah Ayton and Ryan Bird Rafalski for supplying or collating data, and Rashid Al Badwawi, Olga Dmitrieva, Manar Maraqa and Nazmi Sellami for help with translation. The analysis was conducted as part of the Climate Change &amp; Invasive Species Working Group supported by the National Center for Ecological Analysis and Synthesis, a Center funded by the National Science Foundation (grant #EF-0553768), the University of California, Santa Barbara, and the State of California. The work was supported by the NERC GW4+ DTP PhD 'Unexplained limits on species distributions. What do they mean for conservation?'</t>
  </si>
  <si>
    <t>DU1DG</t>
  </si>
  <si>
    <t>Sustainable Asia Conference 2014</t>
  </si>
  <si>
    <t>APR 23-25, 2014</t>
  </si>
  <si>
    <t>Nanchang, PEOPLES R CHINA</t>
  </si>
  <si>
    <t>[Mekonnen, Mesfin M.; Pahlow, Markus; Hoekstra, Arjen Y.] Univ Twente, Twente Water Ctr, Water Management Grp, NL-7500 AE Enschede, Netherlands; [Aldaya, Maite M.] Univ Complutense Madrid, Dept Geodynam, E-28040 Madrid, Spain; [Zarate, Erika] Good Stuff Int, CH-3533 Bowil, Switzerland</t>
  </si>
  <si>
    <t>University of Twente; Complutense University of Madrid</t>
  </si>
  <si>
    <t>Mekonnen, MM (corresponding author), Univ Twente, Twente Water Ctr, Water Management Grp, POB 217, NL-7500 AE Enschede, Netherlands.</t>
  </si>
  <si>
    <t>m.m.mekonnen@utwente.nl; m.pahlow@utwente.nl; maite.aldaya@geo.ucm.es; erika@goodstuffinternational.com; a.y.hoekstra@utwente.nl</t>
  </si>
  <si>
    <t>Aldaya, Maite/Y-4509-2019; Hoekstra, Arjen/B-4980-2008; Mekonnen, Mesfin/H-7585-2019; Pahlow, Markus/AAB-2714-2020</t>
  </si>
  <si>
    <t>Mekonnen, Mesfin/0000-0002-3573-9759; Hoekstra, Arjen/0000-0002-4769-5239; M Aldaya, Maite/0000-0002-5226-0715; Pahlow, Markus/0000-0001-8673-2509</t>
  </si>
  <si>
    <t>joint research program Biobased Economy - Netherlands Organisation for Scientific Research (NWO) [729.004.014]; Water Observatory of the Botin Foundation; United Nations Environment Programme</t>
  </si>
  <si>
    <t>joint research program Biobased Economy - Netherlands Organisation for Scientific Research (NWO)(Netherlands Organization for Scientific Research (NWO)); Water Observatory of the Botin Foundation; United Nations Environment Programme</t>
  </si>
  <si>
    <t>Markus Pahlow was supported by the joint research program Biobased Economy (project number: 729.004.014), financed by the Netherlands Organisation for Scientific Research (NWO). We also would like to acknowledge the support of the Water Observatory of the Botin Foundation and United Nations Environment Programme. The work was partially developed within the framework of the Panta Rhei Research Initiative of the International Association of Hydrological Sciences (IAHS).</t>
  </si>
  <si>
    <t>Science Citation Index Expanded (SCI-EXPANDED); Social Science Citation Index (SSCI); Conference Proceedings Citation Index - Social Science &amp; Humanities (CPCI-SSH); Conference Proceedings Citation Index - Science (CPCI-S)</t>
  </si>
  <si>
    <t>CC3AY</t>
  </si>
  <si>
    <t>Haddeland, Ingjerd; Heinke, Jens; Biemans, Hester; Eisner, Stephanie; Floerke, Martina; Hanasaki, Naota; Konzmann, Markus; Ludwig, Fulco; Masaki, Yoshimitsu; Schewe, Jacob; Stacke, Tobias; Tessler, Zachary D.; Wada, Yoshihide; Wisser, Dominik</t>
  </si>
  <si>
    <t>[Haddeland, Ingjerd] Norwegian Water Resources &amp; Energy Directorate, Dept Hydrol, NO-0301 Oslo, Norway; [Heinke, Jens; Konzmann, Markus; Schewe, Jacob] Potsdam Inst Climate Res, D-14473 Potsdam, Germany; [Heinke, Jens] Int Livestock Res Inst, Nairobi 00100, Kenya; [Biemans, Hester; Ludwig, Fulco] Univ Wageningen &amp; Res Ctr, Earth Syst Sci &amp; Climate Change Grp, NL-6700 AA Wageningen, Netherlands; [Eisner, Stephanie; Floerke, Martina] Univ Kassel, Ctr Environm Syst Res, D-34109 Kassel, Germany; [Hanasaki, Naota; Masaki, Yoshimitsu] Natl Inst Environm Studies, Ctr Global Environm Res, Tsukuba, Ibaraki 3058506, Japan; [Stacke, Tobias] Max Planck Inst Meteorol, D-20146 Hamburg, Germany; [Tessler, Zachary D.] CUNY City Coll, Dept Civil Engn, New York, NY 10031 USA; [Wada, Yoshihide; Wisser, Dominik] Univ Utrecht, Dept Phys Geog, NL-3584 CD Utrecht, Netherlands; [Wisser, Dominik] Univ Bonn, Ctr Dev Res, D-53113 Bonn, Germany</t>
  </si>
  <si>
    <t>Norwegian Water Resources &amp; Energy Directorate; Potsdam Institut fur Klimafolgenforschung; CGIAR; International Livestock Research Institute (ILRI); Wageningen University &amp; Research; Universitat Kassel; National Institute for Environmental Studies - Japan; Max Planck Society; City University of New York (CUNY) System; City College of New York (CUNY); Utrecht University; University of Bonn</t>
  </si>
  <si>
    <t>Haddeland, I (corresponding author), Norwegian Water Resources &amp; Energy Directorate, Dept Hydrol, NO-0301 Oslo, Norway.</t>
  </si>
  <si>
    <t>ingjerd.haddeland@nve.no</t>
  </si>
  <si>
    <t>Schewe, Jacob/V-1273-2017; Floerke, Martina/ABE-6288-2020; Hanasaki, Naota/C-2932-2009; Wada, Yoshihide/F-3595-2012; haddeland, ingjerd/AAI-3536-2020; Ludwig, Fulco/N-7732-2013</t>
  </si>
  <si>
    <t>Stacke, Tobias/0000-0003-4637-5337; LUDWIG, FULCO/0000-0001-6479-9657; Wada, Yoshihide/0000-0003-4770-2539; Floerke, Martina/0000-0003-2943-5289; Eisner, Stephanie/0000-0002-0157-1636</t>
  </si>
  <si>
    <t>EU WATCH Integrated Project [036946]; German Federal Ministry of Education and Research (Bundesministerium fur Bildung und Forschung) [OlLS1201A]; Ministry of the Environment, Japan [S-10]</t>
  </si>
  <si>
    <t>EU WATCH Integrated Project; German Federal Ministry of Education and Research (Bundesministerium fur Bildung und Forschung)(Federal Ministry of Education &amp; Research (BMBF)); Ministry of the Environment, Japan(Ministry of the Environment, Japan)</t>
  </si>
  <si>
    <t>We acknowledge the World Climate Research Programme's Working Group on Coupled Modeling, which is responsible for CMIP, and we thank the climate modeling groups (Table 2) for making available their model output. We appreciate the reviewers' constructive and valuable comments. This study was conducted in the framework of the ISI-MIP project and the EU WATCH Integrated Project (Contract 036946), in collaboration with the Global Water System Project. The ISI-MIP Fast Track project was funded by the German Federal Ministry of Education and Research (Bundesministerium fur Bildung und Forschung) with project funding reference number OlLS1201A. Y.M. and N.H. were supported by the Environment Research and Technology Development Fund (S-10) of the Ministry of the Environment, Japan.</t>
  </si>
  <si>
    <t>AC5KR</t>
  </si>
  <si>
    <t>[Krausmann, Fridolin; Erb, Karl-Heinz; Gingrich, Simone; Haberl, Helmut; Gaube, Veronika; Lauk, Christian; Plutzar, Christoph] Alpen Adria Univ, Inst Social Ecol Vienna, A-1070 Vienna, Austria; [Bondeau, Alberte] Univ dAvignon Pays Vaucluse, Aix Marseille Univ, CNRS, Inst Rech Dev,Mediterranean Inst Biodivers &amp; Ecol, F-13545 Aix En Provence 04, France; [Bondeau, Alberte] Potsdam Inst Climate Impact Res, D-14412 Potsdam, Germany; [Searchinger, Timothy D.] Princeton Univ, Woodrow Wilson Sch Publ &amp; Int Affairs, Princeton, NJ 08544 USA</t>
  </si>
  <si>
    <t>University of Klagenfurt; Aix-Marseille Universite; Institut de Recherche pour le Developpement (IRD); Centre National de la Recherche Scientifique (CNRS); Potsdam Institut fur Klimafolgenforschung; Princeton University</t>
  </si>
  <si>
    <t>Krausmann, F (corresponding author), Alpen Adria Univ, Inst Social Ecol Vienna, A-1070 Vienna, Austria.</t>
  </si>
  <si>
    <t>fridolin.krausmann@aau.at</t>
  </si>
  <si>
    <t>; Erb, Karlheinz/F-1282-2016; Krausmann, Fridolin/N-1918-2015; Plutzar, Christoph/J-6055-2015; Haberl, Helmut/G-3679-2013; Erb, Karlheinz/F-1282-2016; Bondeau, Alberte/E-9909-2012; Gingrich, Simone/L-4862-2016; Gaube, Veronika/AAB-3097-2020; Lauk, Christian/S-3969-2019</t>
  </si>
  <si>
    <t>Lauk, Christian/0000-0002-4173-1753; Erb, Karlheinz/0000-0002-8335-4159; Gaube, Veronika/0000-0002-1620-0408; Krausmann, Fridolin/0000-0002-9995-2372; Plutzar, Christoph/0000-0003-2041-6399; Haberl, Helmut/0000-0003-2104-5446; Erb, Karlheinz/0000-0002-8335-4159; Bondeau, Alberte/0000-0002-8729-5061; Gingrich, Simone/0000-0001-7891-8688;</t>
  </si>
  <si>
    <t>Austrian Science Funds Projects [P20812-G11, P21012-G11]; European Union [265104]; Social Sciences and Humanities Research Council of Canada; European Research Council [263522]; Austrian Science Fund (FWF) [P27590, P21012] Funding Source: Austrian Science Fund (FWF); European Research Council (ERC) [263522] Funding Source: European Research Council (ERC); Austrian Science Fund (FWF) [P 21012] Funding Source: researchfish</t>
  </si>
  <si>
    <t>Austrian Science Funds Projects; European Union(European Union (EU)); Social Sciences and Humanities Research Council of Canada(Social Sciences &amp; Humanities Research Council of Canada (SSHRC)); European Research Council(European Research Council (ERC)); Austrian Science Fund (FWF)(Austrian Science Fund (FWF)); European Research Council (ERC)(European Research Council (ERC)); Austrian Science Fund (FWF)(Austrian Science Fund (FWF))</t>
  </si>
  <si>
    <t>This work was supported by Austrian Science Funds Projects P20812-G11 and P21012-G11, European Union-Seventh Framework Programme Project 265104 (Visions of Land Use Transitions in Europe), the Social Sciences and Humanities Research Council of Canada, and European Research Council Starting Grant An integrated socio-ecological approach to land-use intensity: Analysing and mapping biophysical stocks/flows and their socioeconomic drivers (LUISE) 263522. This work contributes to the Global Land Project (www.globallandproject.org).</t>
  </si>
  <si>
    <t>179DU</t>
  </si>
  <si>
    <t>[Lambin, Eric F.] Stanford Univ, Sch Earth Sci, Stanford, CA 94305 USA; [Lambin, Eric F.] Stanford Univ, Woods Inst, Stanford, CA 94305 USA; [Lambin, Eric F.; Meyfroidt, Patrick] Univ Louvain, Earth &amp; Life Inst, Georges Lemaitre Ctr Earth &amp; Climate Res, B-1348 Louvain, Belgium</t>
  </si>
  <si>
    <t>Stanford University; Stanford University</t>
  </si>
  <si>
    <t>Lambin, EF (corresponding author), Stanford Univ, Sch Earth Sci, Stanford, CA 94305 USA.</t>
  </si>
  <si>
    <t>elambin@stanford.edu</t>
  </si>
  <si>
    <t>; Meyfroidt, Patrick/G-7768-2012</t>
  </si>
  <si>
    <t>Lambin, Eric/0000-0002-0673-5257; Meyfroidt, Patrick/0000-0002-1047-9794</t>
  </si>
  <si>
    <t>European Union [226310]</t>
  </si>
  <si>
    <t>European Union(European Union (EU))</t>
  </si>
  <si>
    <t>We thank B. L. Turner II, A. Angelsen, F. S. Chapin III, H. Gibbs, and N. Ramankutty for their useful comments. This research was partially funded by the European Union FP 7 Grant 226310 Reducing Emissions from Deforestation and Degradation through Alternative Landuses in Rainforests of the Tropics.</t>
  </si>
  <si>
    <t>728AD</t>
  </si>
  <si>
    <t>Workshop on Tropical Open Woodlands</t>
  </si>
  <si>
    <t>DEC 10, 1997</t>
  </si>
  <si>
    <t>UNIV LEEDS, LEEDS, ENGLAND</t>
  </si>
  <si>
    <t>European Unions Framework 4</t>
  </si>
  <si>
    <t>UNIV LEEDS</t>
  </si>
  <si>
    <t>Catholic Univ Louvain, Dept Geog, B-1348 Louvain, Belgium</t>
  </si>
  <si>
    <t>Universite Catholique Louvain</t>
  </si>
  <si>
    <t>Lambin, EF (corresponding author), Catholic Univ Louvain, Dept Geog, Pl Louis Pasteur 3, B-1348 Louvain, Belgium.</t>
  </si>
  <si>
    <t>lambin@geog.ucl.ac.be</t>
  </si>
  <si>
    <t>276GL</t>
  </si>
  <si>
    <t xml:space="preserve">119 Test List </t>
  </si>
  <si>
    <t>DO = (
"10.1175/BAMS-D-17-0116.1" OR
"10.1088/1748-9326/10/9/094015" OR
"10.1126/sciadv.1500052" OR
"10.1016/j.scitotenv.2013.05.057" OR
"10.1016/j.jclepro.2015.06.100" OR
"10.1023/A:1013806223310" OR
"10.1073/pnas.1621517114" OR
"10.1126/science.1180568" OR
"10.1641/0006-3568(2002)052[0143:PCAUDF]2.0.CO;2" OR
"10.1162/REST_a_00438" OR
"10.1016/S2095-6339(15)30021-6" OR
"10.1111/j.1728-4457.2013.00561.x" OR
"10.1111/j.1757-1707.2012.01172.x" OR
"10.1126/science.1192321" OR
"10.1073/pnas.1716222114" OR
"10.1126/sciadv.1600821" OR
"10.5670/oceanog.2015.29" OR
"10.1038/NCLIMATE2492" OR
"10.1016/j.rse.2012.05.019" OR
"10.1016/j.pce.2007.07.033" OR
"10.1038/s41559-017-0186" OR
"10.5670/oceanog.2016.36" OR
"10.1023/B:NHAZ.0000020259.58716.0d" OR
"10.1038/NCLIMATE1597" OR
"10.1016/j.ecolind.2011.04.023" OR
"10.1023/A:1025548518991" OR
"10.1016/j.marpolbul.2015.10.042" OR
"10.1016/j.scitotenv.2014.06.081" OR
"10.1007/s11625-008-0042-4" OR
"10.1126/science.1149345" OR
"10.1016/j.gloplacha.2006.04.001" OR
"10.1675/1524-4695(2002)025[0173:GCCASL]2.0.CO;2" OR
"10.1641/0006-3568(2001)051[0180:ADITNU]2.0.CO;2" OR
"10.1016/j.scitotenv.2017.05.039" OR
"10.1007/s10336-015-1155-z" OR
"10.1016/j.dsr2.2010.02.018" OR
"10.1126/sciadv.1700782" OR
"10.1126/science.aaa8913" OR
"10.1016/j.aquatox.2010.05.019" OR
"10.1002/joc.1276" OR
"10.1073/pnas.1719429115" OR
"10.1175/BAMS-D-16-0009.1" OR
"10.1038/srep38402" OR
"10.1016/j.ocecoaman.2015.05.021" OR
"10.1371/journal.pone.0014327" OR
"10.1073/pnas.0910275107" OR
"10.1126/science.1173146" OR
"10.1038/ncomms15611" OR
"10.1038/ncomms14435" OR
"10.1371/journal.pone.0111913" OR
"10.1016/j.jaridenv.2004.03.022" OR
"10.1111/brv.12207" OR
"10.1073/pnas.1504345112" OR
"10.1016/j.amepre.2008.08.021" OR
"10.1007/s10021-008-9146-z" OR
"10.1016/j.gloenvcha.2004.04.008" OR
"10.1002/2017GL075888" OR
"10.1007/s11270-014-2186-4" OR
"10.3389/fmars.2014.00004" OR
"10.1289/ehp.0901623" OR
"10.1016/S0147-6513(03)00141-6" OR
"10.1038/416808a" OR
"10.1371/journal.pone.0127533" OR
"10.1021/es500371t" OR
"10.1525/bio.2010.60.11.5" OR
"10.1073/pnas.0914471107" OR
"10.1098/rsta.2006.1816" OR
"10.1126/science.1097329" OR
"10.1126/science.1260352" OR
"10.1073/pnas.1321082111" OR
"10.1016/j.apgeog.2008.10.004" OR
"10.1038/nature06949" OR
"10.1016/j.biocon.2015.10.023" OR
"10.1038/NGEO1057" OR
"10.1021/es062147h" OR
"10.1111/fwb.12864" OR
"10.1126/sciadv.1501923" OR
"10.1038/ncomms8615" OR
"10.1038/nature08649" OR
"10.1890/03-0564" OR
"10.1016/j.gloenvcha.2015.08.011" OR
"10.1038/srep14340" OR
"10.1073/pnas.1500232112" OR
"10.1088/1748-9326/7/4/044009" OR
"10.1016/j.gloenvcha.2011.10.009" OR
"10.1073/pnas.1111374109" OR
"10.1016/j.ecss.2016.01.036" OR
"10.1038/nature15725" OR
"10.1038/nature15371" OR
"10.1016/j.gloenvcha.2013.09.008" OR
"10.1371/journal.pone.0062374" OR
"10.1088/1748-9326/8/1/014003" OR
"10.1002/wcc.160" OR
"10.1088/1748-9326/6/4/045201" OR
"10.1098/rstb.2008.0205" OR
"10.1016/j.envint.2006.05.002" OR
"10.1126/science.1071828" OR
"10.1016/S0308-521X(00)00031-7" OR
"10.1016/j.foodpol.2010.11.015" OR
"10.1073/pnas.0609568104" OR
"10.2134/jeq1987.00472425001600040016x" OR
"10.1038/sdata.2016.67" OR
"10.1098/rsbl.2016.0774" OR
"10.1126/sciadv.1500965" OR
"10.1002/2015WR017349" OR
"10.1126/science.1187512" OR
"10.1038/ngeo838" OR
"10.1038/nature01359" OR
"10.1038/NCLIMATE1981" OR
"10.1073/pnas.1305618110" OR
"10.1038/44114" OR
"10.1162/jiec.2006.10.4.133" OR
"10.1016/j.landusepol.2014.12.005" OR
"10.1038/ncomms12485" OR
"10.3390/su7022086" OR
"10.1073/pnas.1222475110" OR
"10.1073/pnas.1211349110" OR
"10.1073/pnas.1100480108" OR
"10.1046/j.1365-2699.1999.00123.x"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</si>
</sst>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Arial"/>
      <scheme val="minor"/>
    </font>
    <font>
      <color theme="1"/>
      <name val="Arial"/>
    </font>
    <font>
      <b/>
      <color theme="1"/>
      <name val="Arial"/>
    </font>
    <font>
      <u/>
      <color rgb="FF0000FF"/>
      <name val="Arial"/>
    </font>
    <font>
      <u/>
      <color rgb="FF0000FF"/>
      <name val="Arial"/>
    </font>
    <font>
      <color theme="1"/>
      <name val="Arial"/>
      <scheme val="minor"/>
    </font>
    <font>
      <u/>
      <color rgb="FF0000FF"/>
    </font>
    <font>
      <sz val="10.0"/>
      <color theme="1"/>
      <name val="Arial"/>
    </font>
    <font>
      <b/>
      <sz val="10.0"/>
      <color theme="1"/>
      <name val="Arial"/>
    </font>
    <font>
      <sz val="11.0"/>
      <color theme="1"/>
      <name val="Arial"/>
    </font>
    <font>
      <u/>
      <color rgb="FF0000FF"/>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0" fontId="2" numFmtId="0" xfId="0" applyAlignment="1" applyBorder="1" applyFont="1">
      <alignment shrinkToFit="0" wrapText="1"/>
    </xf>
    <xf borderId="1" fillId="0" fontId="1" numFmtId="0" xfId="0" applyAlignment="1" applyBorder="1" applyFont="1">
      <alignment shrinkToFit="0" wrapText="1"/>
    </xf>
    <xf borderId="0" fillId="0" fontId="3" numFmtId="0" xfId="0" applyFont="1"/>
    <xf borderId="1" fillId="0" fontId="1" numFmtId="0" xfId="0" applyAlignment="1" applyBorder="1" applyFont="1">
      <alignment readingOrder="0"/>
    </xf>
    <xf borderId="0" fillId="0" fontId="1" numFmtId="0" xfId="0" applyAlignment="1" applyFont="1">
      <alignment shrinkToFit="0" vertical="bottom" wrapText="0"/>
    </xf>
    <xf borderId="0" fillId="0" fontId="1" numFmtId="164" xfId="0" applyAlignment="1" applyFont="1" applyNumberFormat="1">
      <alignment shrinkToFit="0" vertical="bottom" wrapText="0"/>
    </xf>
    <xf borderId="0" fillId="0" fontId="4" numFmtId="0" xfId="0" applyAlignment="1" applyFont="1">
      <alignment shrinkToFit="0" vertical="bottom" wrapText="0"/>
    </xf>
    <xf borderId="1" fillId="0" fontId="2" numFmtId="0" xfId="0" applyAlignment="1" applyBorder="1" applyFont="1">
      <alignment horizontal="center" vertical="top"/>
    </xf>
    <xf borderId="1" fillId="2" fontId="2" numFmtId="0" xfId="0" applyAlignment="1" applyBorder="1" applyFill="1" applyFont="1">
      <alignment horizontal="center" readingOrder="0" vertical="top"/>
    </xf>
    <xf borderId="0" fillId="0" fontId="5" numFmtId="0" xfId="0" applyFont="1"/>
    <xf borderId="0" fillId="2" fontId="1" numFmtId="0" xfId="0" applyFont="1"/>
    <xf borderId="0" fillId="0" fontId="2" numFmtId="0" xfId="0" applyFont="1"/>
    <xf borderId="0" fillId="0" fontId="6" numFmtId="0" xfId="0" applyFont="1"/>
    <xf borderId="1" fillId="3" fontId="2"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2" fontId="2" numFmtId="0" xfId="0" applyAlignment="1" applyBorder="1" applyFont="1">
      <alignment horizontal="center" shrinkToFit="0" vertical="top" wrapText="1"/>
    </xf>
    <xf borderId="1" fillId="4" fontId="2" numFmtId="0" xfId="0" applyAlignment="1" applyBorder="1" applyFill="1" applyFont="1">
      <alignment horizontal="center" shrinkToFit="0" vertical="top" wrapText="1"/>
    </xf>
    <xf borderId="1" fillId="5" fontId="2" numFmtId="0" xfId="0" applyAlignment="1" applyBorder="1" applyFill="1" applyFont="1">
      <alignment horizontal="center" shrinkToFit="0" vertical="top" wrapText="1"/>
    </xf>
    <xf borderId="0" fillId="0" fontId="7" numFmtId="0" xfId="0" applyAlignment="1" applyFont="1">
      <alignment shrinkToFit="0" vertical="top" wrapText="1"/>
    </xf>
    <xf borderId="1" fillId="3" fontId="8" numFmtId="0" xfId="0" applyAlignment="1" applyBorder="1" applyFont="1">
      <alignment horizontal="center" shrinkToFit="0" vertical="top" wrapText="1"/>
    </xf>
    <xf borderId="0" fillId="0" fontId="9" numFmtId="0" xfId="0" applyAlignment="1" applyFont="1">
      <alignment horizontal="left" vertical="bottom"/>
    </xf>
    <xf borderId="0" fillId="0" fontId="1" numFmtId="0" xfId="0" applyAlignment="1" applyFont="1">
      <alignment horizontal="left"/>
    </xf>
    <xf borderId="0" fillId="0" fontId="10" numFmtId="0" xfId="0" applyFont="1"/>
    <xf borderId="0" fillId="0" fontId="1" numFmtId="0" xfId="0" applyAlignment="1" applyFont="1">
      <alignment readingOrder="0" shrinkToFit="0" wrapText="1"/>
    </xf>
    <xf borderId="0" fillId="0" fontId="1" numFmtId="0" xfId="0" applyAlignment="1" applyFont="1">
      <alignment vertical="top"/>
    </xf>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dx.doi.org/10.5670/oceanog.2015.29" TargetMode="External"/><Relationship Id="rId42" Type="http://schemas.openxmlformats.org/officeDocument/2006/relationships/hyperlink" Target="http://dx.doi.org/10.1073/pnas.1500232112" TargetMode="External"/><Relationship Id="rId41" Type="http://schemas.openxmlformats.org/officeDocument/2006/relationships/hyperlink" Target="http://dx.doi.org/10.1371/journal.pone.0127533" TargetMode="External"/><Relationship Id="rId44" Type="http://schemas.openxmlformats.org/officeDocument/2006/relationships/hyperlink" Target="http://dx.doi.org/10.1016/j.watres.2014.08.053" TargetMode="External"/><Relationship Id="rId43" Type="http://schemas.openxmlformats.org/officeDocument/2006/relationships/hyperlink" Target="http://dx.doi.org/10.1073/pnas.1504345112" TargetMode="External"/><Relationship Id="rId46" Type="http://schemas.openxmlformats.org/officeDocument/2006/relationships/hyperlink" Target="http://dx.doi.org/10.1126/sciadv.1500052" TargetMode="External"/><Relationship Id="rId45" Type="http://schemas.openxmlformats.org/officeDocument/2006/relationships/hyperlink" Target="http://dx.doi.org/10.1162/REST_a_00438" TargetMode="External"/><Relationship Id="rId107" Type="http://schemas.openxmlformats.org/officeDocument/2006/relationships/hyperlink" Target="http://dx.doi.org/10.1126/science.1187512" TargetMode="External"/><Relationship Id="rId106" Type="http://schemas.openxmlformats.org/officeDocument/2006/relationships/hyperlink" Target="http://dx.doi.org/10.1289/ehp.0901623" TargetMode="External"/><Relationship Id="rId105" Type="http://schemas.openxmlformats.org/officeDocument/2006/relationships/hyperlink" Target="http://dx.doi.org/10.1126/science.1185782" TargetMode="External"/><Relationship Id="rId104" Type="http://schemas.openxmlformats.org/officeDocument/2006/relationships/hyperlink" Target="http://dx.doi.org/10.1126/science.1189930" TargetMode="External"/><Relationship Id="rId109" Type="http://schemas.openxmlformats.org/officeDocument/2006/relationships/hyperlink" Target="http://dx.doi.org/10.1890/080083" TargetMode="External"/><Relationship Id="rId108" Type="http://schemas.openxmlformats.org/officeDocument/2006/relationships/hyperlink" Target="http://dx.doi.org/10.1038/ngeo838" TargetMode="External"/><Relationship Id="rId48" Type="http://schemas.openxmlformats.org/officeDocument/2006/relationships/hyperlink" Target="http://dx.doi.org/10.1038/NCLIMATE2492" TargetMode="External"/><Relationship Id="rId47" Type="http://schemas.openxmlformats.org/officeDocument/2006/relationships/hyperlink" Target="http://dx.doi.org/10.1126/science.1260352" TargetMode="External"/><Relationship Id="rId49" Type="http://schemas.openxmlformats.org/officeDocument/2006/relationships/hyperlink" Target="http://dx.doi.org/10.3390/su7022086" TargetMode="External"/><Relationship Id="rId103" Type="http://schemas.openxmlformats.org/officeDocument/2006/relationships/hyperlink" Target="http://dx.doi.org/10.1016/j.dsr2.2010.02.018" TargetMode="External"/><Relationship Id="rId102" Type="http://schemas.openxmlformats.org/officeDocument/2006/relationships/hyperlink" Target="http://dx.doi.org/10.1073/pnas.0914471107" TargetMode="External"/><Relationship Id="rId101" Type="http://schemas.openxmlformats.org/officeDocument/2006/relationships/hyperlink" Target="http://dx.doi.org/10.1016/j.aquatox.2010.05.019" TargetMode="External"/><Relationship Id="rId100" Type="http://schemas.openxmlformats.org/officeDocument/2006/relationships/hyperlink" Target="http://dx.doi.org/10.1126/science.1192321" TargetMode="External"/><Relationship Id="rId31" Type="http://schemas.openxmlformats.org/officeDocument/2006/relationships/hyperlink" Target="http://dx.doi.org/10.1016/j.gloenvcha.2015.08.011" TargetMode="External"/><Relationship Id="rId30" Type="http://schemas.openxmlformats.org/officeDocument/2006/relationships/hyperlink" Target="http://dx.doi.org/10.1038/nature15725" TargetMode="External"/><Relationship Id="rId33" Type="http://schemas.openxmlformats.org/officeDocument/2006/relationships/hyperlink" Target="http://dx.doi.org/10.1038/srep14340" TargetMode="External"/><Relationship Id="rId32" Type="http://schemas.openxmlformats.org/officeDocument/2006/relationships/hyperlink" Target="http://dx.doi.org/10.1016/j.ocecoaman.2015.05.021" TargetMode="External"/><Relationship Id="rId35" Type="http://schemas.openxmlformats.org/officeDocument/2006/relationships/hyperlink" Target="http://dx.doi.org/10.1088/1748-9326/10/9/094015" TargetMode="External"/><Relationship Id="rId34" Type="http://schemas.openxmlformats.org/officeDocument/2006/relationships/hyperlink" Target="http://dx.doi.org/10.1038/nature15371" TargetMode="External"/><Relationship Id="rId37" Type="http://schemas.openxmlformats.org/officeDocument/2006/relationships/hyperlink" Target="http://dx.doi.org/10.1038/ncomms8615" TargetMode="External"/><Relationship Id="rId36" Type="http://schemas.openxmlformats.org/officeDocument/2006/relationships/hyperlink" Target="http://dx.doi.org/10.1126/science.aac4722" TargetMode="External"/><Relationship Id="rId39" Type="http://schemas.openxmlformats.org/officeDocument/2006/relationships/hyperlink" Target="http://dx.doi.org/10.1126/science.aaa8913" TargetMode="External"/><Relationship Id="rId38" Type="http://schemas.openxmlformats.org/officeDocument/2006/relationships/hyperlink" Target="http://dx.doi.org/10.1002/2015WR017349" TargetMode="External"/><Relationship Id="rId20" Type="http://schemas.openxmlformats.org/officeDocument/2006/relationships/hyperlink" Target="http://dx.doi.org/10.1016/j.jclepro.2015.06.100" TargetMode="External"/><Relationship Id="rId22" Type="http://schemas.openxmlformats.org/officeDocument/2006/relationships/hyperlink" Target="http://dx.doi.org/10.1038/ncomms12485" TargetMode="External"/><Relationship Id="rId21" Type="http://schemas.openxmlformats.org/officeDocument/2006/relationships/hyperlink" Target="http://dx.doi.org/10.1038/sdata.2016.67" TargetMode="External"/><Relationship Id="rId24" Type="http://schemas.openxmlformats.org/officeDocument/2006/relationships/hyperlink" Target="http://dx.doi.org/10.1016/j.ecss.2016.01.036" TargetMode="External"/><Relationship Id="rId23" Type="http://schemas.openxmlformats.org/officeDocument/2006/relationships/hyperlink" Target="http://dx.doi.org/10.5670/oceanog.2016.36" TargetMode="External"/><Relationship Id="rId129" Type="http://schemas.openxmlformats.org/officeDocument/2006/relationships/hyperlink" Target="http://dx.doi.org/10.1016/j.pce.2007.07.033" TargetMode="External"/><Relationship Id="rId128" Type="http://schemas.openxmlformats.org/officeDocument/2006/relationships/hyperlink" Target="http://dx.doi.org/10.1021/es062147h" TargetMode="External"/><Relationship Id="rId127" Type="http://schemas.openxmlformats.org/officeDocument/2006/relationships/hyperlink" Target="http://dx.doi.org/10.1073/pnas.0609568104" TargetMode="External"/><Relationship Id="rId126" Type="http://schemas.openxmlformats.org/officeDocument/2006/relationships/hyperlink" Target="http://dx.doi.org/10.1126/science.1149345" TargetMode="External"/><Relationship Id="rId26" Type="http://schemas.openxmlformats.org/officeDocument/2006/relationships/hyperlink" Target="http://dx.doi.org/10.1080/10643389.2015.1096876" TargetMode="External"/><Relationship Id="rId121" Type="http://schemas.openxmlformats.org/officeDocument/2006/relationships/hyperlink" Target="http://dx.doi.org/10.1146/annurev.marine.010908.163834" TargetMode="External"/><Relationship Id="rId25" Type="http://schemas.openxmlformats.org/officeDocument/2006/relationships/hyperlink" Target="http://dx.doi.org/10.1126/sciadv.1500965" TargetMode="External"/><Relationship Id="rId120" Type="http://schemas.openxmlformats.org/officeDocument/2006/relationships/hyperlink" Target="http://dx.doi.org/10.1890/070193" TargetMode="External"/><Relationship Id="rId28" Type="http://schemas.openxmlformats.org/officeDocument/2006/relationships/hyperlink" Target="http://dx.doi.org/10.1016/j.marpolbul.2015.10.042" TargetMode="External"/><Relationship Id="rId27" Type="http://schemas.openxmlformats.org/officeDocument/2006/relationships/hyperlink" Target="http://dx.doi.org/10.1016/j.biocon.2015.10.023" TargetMode="External"/><Relationship Id="rId125" Type="http://schemas.openxmlformats.org/officeDocument/2006/relationships/hyperlink" Target="http://dx.doi.org/10.1007/s11625-008-0042-4" TargetMode="External"/><Relationship Id="rId29" Type="http://schemas.openxmlformats.org/officeDocument/2006/relationships/hyperlink" Target="http://dx.doi.org/10.1007/s10336-015-1155-z" TargetMode="External"/><Relationship Id="rId124" Type="http://schemas.openxmlformats.org/officeDocument/2006/relationships/hyperlink" Target="http://dx.doi.org/10.1038/nature06949" TargetMode="External"/><Relationship Id="rId123" Type="http://schemas.openxmlformats.org/officeDocument/2006/relationships/hyperlink" Target="http://dx.doi.org/10.1007/s10021-008-9146-z" TargetMode="External"/><Relationship Id="rId122" Type="http://schemas.openxmlformats.org/officeDocument/2006/relationships/hyperlink" Target="http://dx.doi.org/10.1016/j.amepre.2008.08.021" TargetMode="External"/><Relationship Id="rId95" Type="http://schemas.openxmlformats.org/officeDocument/2006/relationships/hyperlink" Target="http://dx.doi.org/10.1371/journal.pone.0014327" TargetMode="External"/><Relationship Id="rId94" Type="http://schemas.openxmlformats.org/officeDocument/2006/relationships/hyperlink" Target="http://dx.doi.org/10.1146/annurev-environ-021810-094524" TargetMode="External"/><Relationship Id="rId97" Type="http://schemas.openxmlformats.org/officeDocument/2006/relationships/hyperlink" Target="http://dx.doi.org/10.1016/j.scitotenv.2010.09.026" TargetMode="External"/><Relationship Id="rId96" Type="http://schemas.openxmlformats.org/officeDocument/2006/relationships/hyperlink" Target="http://dx.doi.org/10.1525/bio.2010.60.11.5" TargetMode="External"/><Relationship Id="rId11" Type="http://schemas.openxmlformats.org/officeDocument/2006/relationships/hyperlink" Target="http://dx.doi.org/10.1038/ncomms14435" TargetMode="External"/><Relationship Id="rId99" Type="http://schemas.openxmlformats.org/officeDocument/2006/relationships/hyperlink" Target="http://dx.doi.org/10.1073/pnas.0910275107" TargetMode="External"/><Relationship Id="rId10" Type="http://schemas.openxmlformats.org/officeDocument/2006/relationships/hyperlink" Target="http://dx.doi.org/10.1073/pnas.1621517114" TargetMode="External"/><Relationship Id="rId98" Type="http://schemas.openxmlformats.org/officeDocument/2006/relationships/hyperlink" Target="http://dx.doi.org/10.1111/j.1461-0248.2010.01518.x" TargetMode="External"/><Relationship Id="rId13" Type="http://schemas.openxmlformats.org/officeDocument/2006/relationships/hyperlink" Target="http://dx.doi.org/10.1098/rsbl.2016.0774" TargetMode="External"/><Relationship Id="rId12" Type="http://schemas.openxmlformats.org/officeDocument/2006/relationships/hyperlink" Target="http://dx.doi.org/10.1111/fwb.12864" TargetMode="External"/><Relationship Id="rId91" Type="http://schemas.openxmlformats.org/officeDocument/2006/relationships/hyperlink" Target="http://dx.doi.org/10.1073/pnas.1100480108" TargetMode="External"/><Relationship Id="rId90" Type="http://schemas.openxmlformats.org/officeDocument/2006/relationships/hyperlink" Target="http://dx.doi.org/10.1016/j.foodpol.2010.11.015" TargetMode="External"/><Relationship Id="rId93" Type="http://schemas.openxmlformats.org/officeDocument/2006/relationships/hyperlink" Target="http://dx.doi.org/10.1111/j.1365-2486.2010.02279.x" TargetMode="External"/><Relationship Id="rId92" Type="http://schemas.openxmlformats.org/officeDocument/2006/relationships/hyperlink" Target="http://dx.doi.org/10.1038/NGEO1057" TargetMode="External"/><Relationship Id="rId118" Type="http://schemas.openxmlformats.org/officeDocument/2006/relationships/hyperlink" Target="http://dx.doi.org/10.1126/science.1173146" TargetMode="External"/><Relationship Id="rId117" Type="http://schemas.openxmlformats.org/officeDocument/2006/relationships/hyperlink" Target="http://dx.doi.org/10.1016/j.landusepol.2009.08.009" TargetMode="External"/><Relationship Id="rId116" Type="http://schemas.openxmlformats.org/officeDocument/2006/relationships/hyperlink" Target="http://dx.doi.org/10.1016/j.apgeog.2008.10.004" TargetMode="External"/><Relationship Id="rId115" Type="http://schemas.openxmlformats.org/officeDocument/2006/relationships/hyperlink" Target="http://dx.doi.org/10.1038/nature08649" TargetMode="External"/><Relationship Id="rId119" Type="http://schemas.openxmlformats.org/officeDocument/2006/relationships/hyperlink" Target="http://dx.doi.org/10.1098/rstb.2008.0205" TargetMode="External"/><Relationship Id="rId15" Type="http://schemas.openxmlformats.org/officeDocument/2006/relationships/hyperlink" Target="http://dx.doi.org/10.1126/sciadv.1600821" TargetMode="External"/><Relationship Id="rId110" Type="http://schemas.openxmlformats.org/officeDocument/2006/relationships/hyperlink" Target="http://dx.doi.org/10.1016/j.jhazmat.2009.10.100" TargetMode="External"/><Relationship Id="rId14" Type="http://schemas.openxmlformats.org/officeDocument/2006/relationships/hyperlink" Target="http://dx.doi.org/10.3389/fmars.2017.00158" TargetMode="External"/><Relationship Id="rId17" Type="http://schemas.openxmlformats.org/officeDocument/2006/relationships/hyperlink" Target="http://dx.doi.org/10.1016/j.landusepol.2014.12.005" TargetMode="External"/><Relationship Id="rId16" Type="http://schemas.openxmlformats.org/officeDocument/2006/relationships/hyperlink" Target="http://dx.doi.org/10.1038/srep38402" TargetMode="External"/><Relationship Id="rId19" Type="http://schemas.openxmlformats.org/officeDocument/2006/relationships/hyperlink" Target="http://dx.doi.org/10.1111/brv.12207" TargetMode="External"/><Relationship Id="rId114" Type="http://schemas.openxmlformats.org/officeDocument/2006/relationships/hyperlink" Target="http://dx.doi.org/10.1146/annurev-environ-033009-095548" TargetMode="External"/><Relationship Id="rId18" Type="http://schemas.openxmlformats.org/officeDocument/2006/relationships/hyperlink" Target="http://dx.doi.org/10.1126/sciadv.1501923" TargetMode="External"/><Relationship Id="rId113" Type="http://schemas.openxmlformats.org/officeDocument/2006/relationships/hyperlink" Target="http://dx.doi.org/10.1146/annurev-marine-120308-081105" TargetMode="External"/><Relationship Id="rId112" Type="http://schemas.openxmlformats.org/officeDocument/2006/relationships/hyperlink" Target="http://dx.doi.org/10.1126/science.1180568" TargetMode="External"/><Relationship Id="rId111" Type="http://schemas.openxmlformats.org/officeDocument/2006/relationships/hyperlink" Target="http://dx.doi.org/10.1038/NGEO779" TargetMode="External"/><Relationship Id="rId84" Type="http://schemas.openxmlformats.org/officeDocument/2006/relationships/hyperlink" Target="http://dx.doi.org/10.1016/j.ecolind.2011.04.023" TargetMode="External"/><Relationship Id="rId83" Type="http://schemas.openxmlformats.org/officeDocument/2006/relationships/hyperlink" Target="http://dx.doi.org/10.1890/110049" TargetMode="External"/><Relationship Id="rId86" Type="http://schemas.openxmlformats.org/officeDocument/2006/relationships/hyperlink" Target="http://dx.doi.org/10.1002/wcc.160" TargetMode="External"/><Relationship Id="rId85" Type="http://schemas.openxmlformats.org/officeDocument/2006/relationships/hyperlink" Target="http://dx.doi.org/10.1016/j.gloenvcha.2011.10.009" TargetMode="External"/><Relationship Id="rId88" Type="http://schemas.openxmlformats.org/officeDocument/2006/relationships/hyperlink" Target="http://dx.doi.org/10.1088/1748-9326/6/4/045201" TargetMode="External"/><Relationship Id="rId150" Type="http://schemas.openxmlformats.org/officeDocument/2006/relationships/hyperlink" Target="http://dx.doi.org/10.1641/0006-3568(2002)052%5b0143:PCAUDF%5d2.0.CO;2" TargetMode="External"/><Relationship Id="rId87" Type="http://schemas.openxmlformats.org/officeDocument/2006/relationships/hyperlink" Target="http://dx.doi.org/10.1073/pnas.1111374109" TargetMode="External"/><Relationship Id="rId89" Type="http://schemas.openxmlformats.org/officeDocument/2006/relationships/hyperlink" Target="http://dx.doi.org/10.1016/j.wasman.2010.10.023" TargetMode="External"/><Relationship Id="rId80" Type="http://schemas.openxmlformats.org/officeDocument/2006/relationships/hyperlink" Target="http://dx.doi.org/10.1088/1748-9326/7/4/044009" TargetMode="External"/><Relationship Id="rId82" Type="http://schemas.openxmlformats.org/officeDocument/2006/relationships/hyperlink" Target="http://dx.doi.org/10.5670/oceanog.2012.101" TargetMode="External"/><Relationship Id="rId81" Type="http://schemas.openxmlformats.org/officeDocument/2006/relationships/hyperlink" Target="http://dx.doi.org/10.1016/j.rse.2012.05.019" TargetMode="External"/><Relationship Id="rId1" Type="http://schemas.openxmlformats.org/officeDocument/2006/relationships/hyperlink" Target="http://dx.doi.org/10.1073/pnas.1719429115" TargetMode="External"/><Relationship Id="rId2" Type="http://schemas.openxmlformats.org/officeDocument/2006/relationships/hyperlink" Target="http://dx.doi.org/10.1175/BAMS-D-17-0116.1" TargetMode="External"/><Relationship Id="rId3" Type="http://schemas.openxmlformats.org/officeDocument/2006/relationships/hyperlink" Target="http://dx.doi.org/10.1002/2017GL075888" TargetMode="External"/><Relationship Id="rId149" Type="http://schemas.openxmlformats.org/officeDocument/2006/relationships/hyperlink" Target="http://dx.doi.org/10.1038/416808a" TargetMode="External"/><Relationship Id="rId4" Type="http://schemas.openxmlformats.org/officeDocument/2006/relationships/hyperlink" Target="http://dx.doi.org/10.1016/j.scitotenv.2017.05.039" TargetMode="External"/><Relationship Id="rId148" Type="http://schemas.openxmlformats.org/officeDocument/2006/relationships/hyperlink" Target="http://dx.doi.org/10.1126/science.1071828" TargetMode="External"/><Relationship Id="rId9" Type="http://schemas.openxmlformats.org/officeDocument/2006/relationships/hyperlink" Target="http://dx.doi.org/10.1038/ncomms15611" TargetMode="External"/><Relationship Id="rId143" Type="http://schemas.openxmlformats.org/officeDocument/2006/relationships/hyperlink" Target="http://dx.doi.org/10.1023/B:NHAZ.0000020259.58716.0d" TargetMode="External"/><Relationship Id="rId142" Type="http://schemas.openxmlformats.org/officeDocument/2006/relationships/hyperlink" Target="http://dx.doi.org/10.1111/j.1365-2664.2004.00859.x" TargetMode="External"/><Relationship Id="rId141" Type="http://schemas.openxmlformats.org/officeDocument/2006/relationships/hyperlink" Target="http://dx.doi.org/10.1126/science.1097329" TargetMode="External"/><Relationship Id="rId140" Type="http://schemas.openxmlformats.org/officeDocument/2006/relationships/hyperlink" Target="http://dx.doi.org/10.1016/j.gloenvcha.2004.04.008" TargetMode="External"/><Relationship Id="rId5" Type="http://schemas.openxmlformats.org/officeDocument/2006/relationships/hyperlink" Target="http://dx.doi.org/10.1073/pnas.1716222114" TargetMode="External"/><Relationship Id="rId147" Type="http://schemas.openxmlformats.org/officeDocument/2006/relationships/hyperlink" Target="http://dx.doi.org/10.1675/1524-4695(2002)025%5b0173:GCCASL%5d2.0.CO;2" TargetMode="External"/><Relationship Id="rId6" Type="http://schemas.openxmlformats.org/officeDocument/2006/relationships/hyperlink" Target="http://dx.doi.org/10.1038/s41559-017-0186" TargetMode="External"/><Relationship Id="rId146" Type="http://schemas.openxmlformats.org/officeDocument/2006/relationships/hyperlink" Target="http://dx.doi.org/10.1038/nature01017" TargetMode="External"/><Relationship Id="rId7" Type="http://schemas.openxmlformats.org/officeDocument/2006/relationships/hyperlink" Target="http://dx.doi.org/10.1126/sciadv.1700782" TargetMode="External"/><Relationship Id="rId145" Type="http://schemas.openxmlformats.org/officeDocument/2006/relationships/hyperlink" Target="http://dx.doi.org/10.1038/nature01359" TargetMode="External"/><Relationship Id="rId8" Type="http://schemas.openxmlformats.org/officeDocument/2006/relationships/hyperlink" Target="http://dx.doi.org/10.1175/BAMS-D-16-0009.1" TargetMode="External"/><Relationship Id="rId144" Type="http://schemas.openxmlformats.org/officeDocument/2006/relationships/hyperlink" Target="http://dx.doi.org/10.1023/A:1025548518991" TargetMode="External"/><Relationship Id="rId73" Type="http://schemas.openxmlformats.org/officeDocument/2006/relationships/hyperlink" Target="http://dx.doi.org/10.1111/j.1728-4457.2013.00561.x" TargetMode="External"/><Relationship Id="rId72" Type="http://schemas.openxmlformats.org/officeDocument/2006/relationships/hyperlink" Target="http://dx.doi.org/10.1016/j.esd.2012.07.004" TargetMode="External"/><Relationship Id="rId75" Type="http://schemas.openxmlformats.org/officeDocument/2006/relationships/hyperlink" Target="http://dx.doi.org/10.1016/j.tree.2012.07.013" TargetMode="External"/><Relationship Id="rId74" Type="http://schemas.openxmlformats.org/officeDocument/2006/relationships/hyperlink" Target="http://dx.doi.org/10.1088/1748-9326/8/1/014003" TargetMode="External"/><Relationship Id="rId77" Type="http://schemas.openxmlformats.org/officeDocument/2006/relationships/hyperlink" Target="http://dx.doi.org/10.1016/j.cosust.2012.06.006" TargetMode="External"/><Relationship Id="rId76" Type="http://schemas.openxmlformats.org/officeDocument/2006/relationships/hyperlink" Target="http://dx.doi.org/10.1146/annurev-marine-121211-172406" TargetMode="External"/><Relationship Id="rId79" Type="http://schemas.openxmlformats.org/officeDocument/2006/relationships/hyperlink" Target="http://dx.doi.org/10.1111/j.1757-1707.2012.01172.x" TargetMode="External"/><Relationship Id="rId78" Type="http://schemas.openxmlformats.org/officeDocument/2006/relationships/hyperlink" Target="http://dx.doi.org/10.1038/NCLIMATE1597" TargetMode="External"/><Relationship Id="rId71" Type="http://schemas.openxmlformats.org/officeDocument/2006/relationships/hyperlink" Target="http://dx.doi.org/10.1371/journal.pone.0062374" TargetMode="External"/><Relationship Id="rId70" Type="http://schemas.openxmlformats.org/officeDocument/2006/relationships/hyperlink" Target="http://dx.doi.org/10.1073/pnas.1211349110" TargetMode="External"/><Relationship Id="rId139" Type="http://schemas.openxmlformats.org/officeDocument/2006/relationships/hyperlink" Target="http://dx.doi.org/10.1016/j.jaridenv.2004.03.022" TargetMode="External"/><Relationship Id="rId138" Type="http://schemas.openxmlformats.org/officeDocument/2006/relationships/hyperlink" Target="http://dx.doi.org/10.1017/S1367943004001532" TargetMode="External"/><Relationship Id="rId137" Type="http://schemas.openxmlformats.org/officeDocument/2006/relationships/hyperlink" Target="http://dx.doi.org/10.1016/S0147-6513(03)00141-6" TargetMode="External"/><Relationship Id="rId132" Type="http://schemas.openxmlformats.org/officeDocument/2006/relationships/hyperlink" Target="http://dx.doi.org/10.1098/rsta.2006.1816" TargetMode="External"/><Relationship Id="rId131" Type="http://schemas.openxmlformats.org/officeDocument/2006/relationships/hyperlink" Target="http://dx.doi.org/10.1162/jiec.2006.10.4.133" TargetMode="External"/><Relationship Id="rId130" Type="http://schemas.openxmlformats.org/officeDocument/2006/relationships/hyperlink" Target="http://dx.doi.org/10.1016/j.gloplacha.2006.04.001" TargetMode="External"/><Relationship Id="rId136" Type="http://schemas.openxmlformats.org/officeDocument/2006/relationships/hyperlink" Target="http://dx.doi.org/10.1890/03-0564" TargetMode="External"/><Relationship Id="rId135" Type="http://schemas.openxmlformats.org/officeDocument/2006/relationships/hyperlink" Target="http://dx.doi.org/10.1126/science.1111772" TargetMode="External"/><Relationship Id="rId134" Type="http://schemas.openxmlformats.org/officeDocument/2006/relationships/hyperlink" Target="http://dx.doi.org/10.1002/joc.1276" TargetMode="External"/><Relationship Id="rId133" Type="http://schemas.openxmlformats.org/officeDocument/2006/relationships/hyperlink" Target="http://dx.doi.org/10.1016/j.envint.2006.05.002" TargetMode="External"/><Relationship Id="rId62" Type="http://schemas.openxmlformats.org/officeDocument/2006/relationships/hyperlink" Target="http://dx.doi.org/10.1016/j.scitotenv.2013.05.057" TargetMode="External"/><Relationship Id="rId61" Type="http://schemas.openxmlformats.org/officeDocument/2006/relationships/hyperlink" Target="http://dx.doi.org/10.1002/2013EF000188" TargetMode="External"/><Relationship Id="rId64" Type="http://schemas.openxmlformats.org/officeDocument/2006/relationships/hyperlink" Target="http://dx.doi.org/10.1016/j.gloenvcha.2013.09.008" TargetMode="External"/><Relationship Id="rId63" Type="http://schemas.openxmlformats.org/officeDocument/2006/relationships/hyperlink" Target="http://dx.doi.org/10.3389/fmars.2014.00004" TargetMode="External"/><Relationship Id="rId66" Type="http://schemas.openxmlformats.org/officeDocument/2006/relationships/hyperlink" Target="http://dx.doi.org/10.1038/NCLIMATE1981" TargetMode="External"/><Relationship Id="rId65" Type="http://schemas.openxmlformats.org/officeDocument/2006/relationships/hyperlink" Target="http://dx.doi.org/10.1016/j.agwat.2013.08.007" TargetMode="External"/><Relationship Id="rId68" Type="http://schemas.openxmlformats.org/officeDocument/2006/relationships/hyperlink" Target="http://dx.doi.org/10.1016/j.cosust.2013.04.003" TargetMode="External"/><Relationship Id="rId67" Type="http://schemas.openxmlformats.org/officeDocument/2006/relationships/hyperlink" Target="http://dx.doi.org/10.1038/502615a" TargetMode="External"/><Relationship Id="rId60" Type="http://schemas.openxmlformats.org/officeDocument/2006/relationships/hyperlink" Target="http://dx.doi.org/10.1073/pnas.1222475110" TargetMode="External"/><Relationship Id="rId69" Type="http://schemas.openxmlformats.org/officeDocument/2006/relationships/hyperlink" Target="http://dx.doi.org/10.1073/pnas.1305618110" TargetMode="External"/><Relationship Id="rId51" Type="http://schemas.openxmlformats.org/officeDocument/2006/relationships/hyperlink" Target="http://dx.doi.org/10.1016/j.landurbplan.2014.09.001" TargetMode="External"/><Relationship Id="rId50" Type="http://schemas.openxmlformats.org/officeDocument/2006/relationships/hyperlink" Target="http://dx.doi.org/10.1016/j.scitotenv.2014.06.081" TargetMode="External"/><Relationship Id="rId53" Type="http://schemas.openxmlformats.org/officeDocument/2006/relationships/hyperlink" Target="http://dx.doi.org/10.1098/rstb.2013.0580" TargetMode="External"/><Relationship Id="rId52" Type="http://schemas.openxmlformats.org/officeDocument/2006/relationships/hyperlink" Target="http://dx.doi.org/10.1371/journal.pone.0111913" TargetMode="External"/><Relationship Id="rId55" Type="http://schemas.openxmlformats.org/officeDocument/2006/relationships/hyperlink" Target="http://dx.doi.org/10.1016/S2095-6339(15)30021-6" TargetMode="External"/><Relationship Id="rId54" Type="http://schemas.openxmlformats.org/officeDocument/2006/relationships/hyperlink" Target="http://dx.doi.org/10.1007/s11270-014-2186-4" TargetMode="External"/><Relationship Id="rId57" Type="http://schemas.openxmlformats.org/officeDocument/2006/relationships/hyperlink" Target="http://dx.doi.org/10.1126/science.1248525" TargetMode="External"/><Relationship Id="rId56" Type="http://schemas.openxmlformats.org/officeDocument/2006/relationships/hyperlink" Target="http://dx.doi.org/10.1073/pnas.1321082111" TargetMode="External"/><Relationship Id="rId159" Type="http://schemas.openxmlformats.org/officeDocument/2006/relationships/drawing" Target="../drawings/drawing2.xml"/><Relationship Id="rId59" Type="http://schemas.openxmlformats.org/officeDocument/2006/relationships/hyperlink" Target="http://dx.doi.org/10.1021/es500371t" TargetMode="External"/><Relationship Id="rId154" Type="http://schemas.openxmlformats.org/officeDocument/2006/relationships/hyperlink" Target="http://dx.doi.org/10.1007/s002679910039" TargetMode="External"/><Relationship Id="rId58" Type="http://schemas.openxmlformats.org/officeDocument/2006/relationships/hyperlink" Target="http://dx.doi.org/10.1038/nclimate2245" TargetMode="External"/><Relationship Id="rId153" Type="http://schemas.openxmlformats.org/officeDocument/2006/relationships/hyperlink" Target="http://dx.doi.org/10.1016/S0308-521X(00)00031-7" TargetMode="External"/><Relationship Id="rId152" Type="http://schemas.openxmlformats.org/officeDocument/2006/relationships/hyperlink" Target="http://dx.doi.org/10.1641/0006-3568(2001)051%5b0180:ADITNU%5d2.0.CO;2" TargetMode="External"/><Relationship Id="rId151" Type="http://schemas.openxmlformats.org/officeDocument/2006/relationships/hyperlink" Target="http://dx.doi.org/10.1023/A:1013806223310" TargetMode="External"/><Relationship Id="rId158" Type="http://schemas.openxmlformats.org/officeDocument/2006/relationships/hyperlink" Target="http://dx.doi.org/10.2134/jeq1987.00472425001600040016x" TargetMode="External"/><Relationship Id="rId157" Type="http://schemas.openxmlformats.org/officeDocument/2006/relationships/hyperlink" Target="http://dx.doi.org/10.1023/A:1005984620681" TargetMode="External"/><Relationship Id="rId156" Type="http://schemas.openxmlformats.org/officeDocument/2006/relationships/hyperlink" Target="http://dx.doi.org/10.1046/j.1365-2699.1999.00123.x" TargetMode="External"/><Relationship Id="rId155" Type="http://schemas.openxmlformats.org/officeDocument/2006/relationships/hyperlink" Target="http://dx.doi.org/10.1038/4411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38"/>
    <col customWidth="1" min="3" max="3" width="16.25"/>
    <col customWidth="1" min="4" max="4" width="9.88"/>
    <col customWidth="1" min="5" max="5" width="70.38"/>
    <col customWidth="1" min="6" max="6" width="57.5"/>
  </cols>
  <sheetData>
    <row r="1">
      <c r="C1" s="1"/>
    </row>
    <row r="2">
      <c r="A2" s="2"/>
      <c r="B2" s="2"/>
      <c r="C2" s="3" t="s">
        <v>0</v>
      </c>
      <c r="D2" s="3" t="s">
        <v>1</v>
      </c>
      <c r="E2" s="3" t="s">
        <v>2</v>
      </c>
    </row>
    <row r="3">
      <c r="C3" s="4" t="s">
        <v>3</v>
      </c>
      <c r="D3" s="4">
        <v>1647.0</v>
      </c>
      <c r="E3" s="4" t="s">
        <v>4</v>
      </c>
      <c r="F3" s="5"/>
    </row>
    <row r="4">
      <c r="C4" s="4" t="s">
        <v>5</v>
      </c>
      <c r="D4" s="4">
        <v>1647.0</v>
      </c>
      <c r="E4" s="4" t="s">
        <v>6</v>
      </c>
    </row>
    <row r="5">
      <c r="C5" s="4" t="s">
        <v>7</v>
      </c>
      <c r="D5" s="4">
        <v>156.0</v>
      </c>
      <c r="E5" s="4" t="s">
        <v>8</v>
      </c>
    </row>
    <row r="6">
      <c r="C6" s="4" t="s">
        <v>9</v>
      </c>
      <c r="D6" s="6">
        <v>119.0</v>
      </c>
      <c r="E6" s="6" t="s">
        <v>10</v>
      </c>
    </row>
    <row r="7">
      <c r="C7" s="1"/>
    </row>
    <row r="8">
      <c r="C8" s="1"/>
    </row>
    <row r="9">
      <c r="C9" s="1"/>
    </row>
    <row r="10">
      <c r="C10" s="1"/>
    </row>
    <row r="11">
      <c r="C11" s="1"/>
    </row>
    <row r="12">
      <c r="C12" s="1"/>
    </row>
    <row r="13">
      <c r="C13" s="1"/>
    </row>
    <row r="14">
      <c r="C14" s="1"/>
    </row>
    <row r="15">
      <c r="C15" s="1"/>
    </row>
    <row r="16">
      <c r="C16" s="1"/>
    </row>
    <row r="17">
      <c r="C17" s="1"/>
    </row>
    <row r="18">
      <c r="C18" s="1"/>
    </row>
    <row r="19">
      <c r="C19" s="1"/>
    </row>
    <row r="20">
      <c r="C20" s="1"/>
    </row>
    <row r="21" ht="15.75" customHeight="1">
      <c r="C21" s="1"/>
    </row>
    <row r="22" ht="15.75" customHeight="1">
      <c r="C22" s="1"/>
    </row>
    <row r="23" ht="15.75" customHeight="1">
      <c r="C23" s="1"/>
    </row>
    <row r="24" ht="15.75" customHeight="1">
      <c r="C24" s="1"/>
    </row>
    <row r="25" ht="15.75" customHeight="1">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C32" s="1"/>
    </row>
    <row r="33" ht="15.75" customHeight="1">
      <c r="C33" s="1"/>
    </row>
    <row r="34" ht="15.75" customHeight="1">
      <c r="C34" s="1"/>
    </row>
    <row r="35" ht="15.75" customHeight="1">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7" t="s">
        <v>11</v>
      </c>
      <c r="B1" s="7" t="s">
        <v>12</v>
      </c>
      <c r="C1" s="7" t="s">
        <v>13</v>
      </c>
      <c r="D1" s="7" t="s">
        <v>14</v>
      </c>
      <c r="E1" s="7" t="s">
        <v>15</v>
      </c>
      <c r="F1" s="7" t="s">
        <v>16</v>
      </c>
      <c r="G1" s="7" t="s">
        <v>17</v>
      </c>
      <c r="H1" s="7" t="s">
        <v>18</v>
      </c>
      <c r="I1" s="7" t="s">
        <v>19</v>
      </c>
      <c r="J1" s="7" t="s">
        <v>20</v>
      </c>
      <c r="K1" s="7" t="s">
        <v>21</v>
      </c>
      <c r="L1" s="7" t="s">
        <v>22</v>
      </c>
    </row>
    <row r="2" hidden="1">
      <c r="A2" s="7" t="s">
        <v>23</v>
      </c>
      <c r="B2" s="7" t="s">
        <v>24</v>
      </c>
      <c r="C2" s="7" t="s">
        <v>25</v>
      </c>
      <c r="D2" s="7" t="s">
        <v>26</v>
      </c>
      <c r="E2" s="7" t="s">
        <v>27</v>
      </c>
      <c r="F2" s="7" t="s">
        <v>28</v>
      </c>
      <c r="G2" s="7"/>
      <c r="H2" s="7"/>
      <c r="I2" s="7" t="s">
        <v>29</v>
      </c>
      <c r="J2" s="8">
        <v>45982.0</v>
      </c>
      <c r="K2" s="7" t="s">
        <v>30</v>
      </c>
      <c r="L2" s="7" t="s">
        <v>31</v>
      </c>
    </row>
    <row r="3" hidden="1">
      <c r="A3" s="7" t="s">
        <v>23</v>
      </c>
      <c r="B3" s="7" t="s">
        <v>32</v>
      </c>
      <c r="C3" s="7" t="s">
        <v>33</v>
      </c>
      <c r="D3" s="7" t="s">
        <v>34</v>
      </c>
      <c r="E3" s="7" t="s">
        <v>35</v>
      </c>
      <c r="F3" s="7" t="s">
        <v>36</v>
      </c>
      <c r="G3" s="7" t="s">
        <v>37</v>
      </c>
      <c r="H3" s="9" t="s">
        <v>38</v>
      </c>
      <c r="I3" s="7" t="s">
        <v>39</v>
      </c>
      <c r="J3" s="8">
        <v>45982.0</v>
      </c>
      <c r="K3" s="7" t="s">
        <v>40</v>
      </c>
      <c r="L3" s="7" t="s">
        <v>41</v>
      </c>
    </row>
    <row r="4" hidden="1">
      <c r="A4" s="7" t="s">
        <v>23</v>
      </c>
      <c r="B4" s="7" t="s">
        <v>42</v>
      </c>
      <c r="C4" s="7" t="s">
        <v>43</v>
      </c>
      <c r="D4" s="7" t="s">
        <v>44</v>
      </c>
      <c r="E4" s="7" t="s">
        <v>35</v>
      </c>
      <c r="F4" s="7"/>
      <c r="G4" s="7" t="s">
        <v>45</v>
      </c>
      <c r="H4" s="9" t="s">
        <v>46</v>
      </c>
      <c r="I4" s="7" t="s">
        <v>47</v>
      </c>
      <c r="J4" s="8">
        <v>45982.0</v>
      </c>
      <c r="K4" s="7" t="s">
        <v>48</v>
      </c>
      <c r="L4" s="7" t="s">
        <v>49</v>
      </c>
    </row>
    <row r="5" hidden="1">
      <c r="A5" s="7" t="s">
        <v>23</v>
      </c>
      <c r="B5" s="7" t="s">
        <v>50</v>
      </c>
      <c r="C5" s="7" t="s">
        <v>51</v>
      </c>
      <c r="D5" s="7" t="s">
        <v>52</v>
      </c>
      <c r="E5" s="7" t="s">
        <v>35</v>
      </c>
      <c r="F5" s="7" t="s">
        <v>53</v>
      </c>
      <c r="G5" s="7" t="s">
        <v>54</v>
      </c>
      <c r="H5" s="9" t="s">
        <v>55</v>
      </c>
      <c r="I5" s="7" t="s">
        <v>56</v>
      </c>
      <c r="J5" s="8">
        <v>45982.0</v>
      </c>
      <c r="K5" s="7" t="s">
        <v>57</v>
      </c>
      <c r="L5" s="7" t="s">
        <v>58</v>
      </c>
    </row>
    <row r="6" hidden="1">
      <c r="A6" s="7" t="s">
        <v>23</v>
      </c>
      <c r="B6" s="7" t="s">
        <v>59</v>
      </c>
      <c r="C6" s="7" t="s">
        <v>60</v>
      </c>
      <c r="D6" s="7" t="s">
        <v>61</v>
      </c>
      <c r="E6" s="7" t="s">
        <v>35</v>
      </c>
      <c r="F6" s="7" t="s">
        <v>62</v>
      </c>
      <c r="G6" s="7" t="s">
        <v>63</v>
      </c>
      <c r="H6" s="9" t="s">
        <v>64</v>
      </c>
      <c r="I6" s="7" t="s">
        <v>65</v>
      </c>
      <c r="J6" s="8">
        <v>45982.0</v>
      </c>
      <c r="K6" s="7" t="s">
        <v>66</v>
      </c>
      <c r="L6" s="7" t="s">
        <v>67</v>
      </c>
    </row>
    <row r="7" hidden="1">
      <c r="A7" s="7" t="s">
        <v>23</v>
      </c>
      <c r="B7" s="7" t="s">
        <v>68</v>
      </c>
      <c r="C7" s="7" t="s">
        <v>69</v>
      </c>
      <c r="D7" s="7" t="s">
        <v>34</v>
      </c>
      <c r="E7" s="7" t="s">
        <v>35</v>
      </c>
      <c r="F7" s="7" t="s">
        <v>70</v>
      </c>
      <c r="G7" s="7" t="s">
        <v>71</v>
      </c>
      <c r="H7" s="9" t="s">
        <v>72</v>
      </c>
      <c r="I7" s="7" t="s">
        <v>39</v>
      </c>
      <c r="J7" s="8">
        <v>45982.0</v>
      </c>
      <c r="K7" s="7" t="s">
        <v>73</v>
      </c>
      <c r="L7" s="7" t="s">
        <v>74</v>
      </c>
    </row>
    <row r="8" hidden="1">
      <c r="A8" s="7" t="s">
        <v>23</v>
      </c>
      <c r="B8" s="7" t="s">
        <v>75</v>
      </c>
      <c r="C8" s="7" t="s">
        <v>76</v>
      </c>
      <c r="D8" s="7" t="s">
        <v>77</v>
      </c>
      <c r="E8" s="7" t="s">
        <v>35</v>
      </c>
      <c r="F8" s="7" t="s">
        <v>78</v>
      </c>
      <c r="G8" s="7" t="s">
        <v>79</v>
      </c>
      <c r="H8" s="9" t="s">
        <v>80</v>
      </c>
      <c r="I8" s="7" t="s">
        <v>81</v>
      </c>
      <c r="J8" s="8">
        <v>45982.0</v>
      </c>
      <c r="K8" s="7" t="s">
        <v>82</v>
      </c>
      <c r="L8" s="7" t="s">
        <v>83</v>
      </c>
    </row>
    <row r="9" hidden="1">
      <c r="A9" s="7" t="s">
        <v>23</v>
      </c>
      <c r="B9" s="7" t="s">
        <v>84</v>
      </c>
      <c r="C9" s="7" t="s">
        <v>85</v>
      </c>
      <c r="D9" s="7" t="s">
        <v>86</v>
      </c>
      <c r="E9" s="7" t="s">
        <v>35</v>
      </c>
      <c r="F9" s="7" t="s">
        <v>87</v>
      </c>
      <c r="G9" s="7" t="s">
        <v>88</v>
      </c>
      <c r="H9" s="9" t="s">
        <v>89</v>
      </c>
      <c r="I9" s="7" t="s">
        <v>39</v>
      </c>
      <c r="J9" s="8">
        <v>45982.0</v>
      </c>
      <c r="K9" s="7" t="s">
        <v>90</v>
      </c>
      <c r="L9" s="7" t="s">
        <v>91</v>
      </c>
    </row>
    <row r="10" hidden="1">
      <c r="A10" s="7" t="s">
        <v>23</v>
      </c>
      <c r="B10" s="7" t="s">
        <v>92</v>
      </c>
      <c r="C10" s="7" t="s">
        <v>93</v>
      </c>
      <c r="D10" s="7" t="s">
        <v>44</v>
      </c>
      <c r="E10" s="7" t="s">
        <v>35</v>
      </c>
      <c r="F10" s="7" t="s">
        <v>94</v>
      </c>
      <c r="G10" s="7" t="s">
        <v>95</v>
      </c>
      <c r="H10" s="9" t="s">
        <v>96</v>
      </c>
      <c r="I10" s="7" t="s">
        <v>47</v>
      </c>
      <c r="J10" s="8">
        <v>45982.0</v>
      </c>
      <c r="K10" s="7" t="s">
        <v>97</v>
      </c>
      <c r="L10" s="7" t="s">
        <v>98</v>
      </c>
    </row>
    <row r="11" hidden="1">
      <c r="A11" s="7" t="s">
        <v>23</v>
      </c>
      <c r="B11" s="7" t="s">
        <v>99</v>
      </c>
      <c r="C11" s="7" t="s">
        <v>100</v>
      </c>
      <c r="D11" s="7" t="s">
        <v>101</v>
      </c>
      <c r="E11" s="7" t="s">
        <v>35</v>
      </c>
      <c r="F11" s="7" t="s">
        <v>102</v>
      </c>
      <c r="G11" s="7" t="s">
        <v>103</v>
      </c>
      <c r="H11" s="9" t="s">
        <v>104</v>
      </c>
      <c r="I11" s="7" t="s">
        <v>39</v>
      </c>
      <c r="J11" s="8">
        <v>45982.0</v>
      </c>
      <c r="K11" s="7" t="s">
        <v>105</v>
      </c>
      <c r="L11" s="7" t="s">
        <v>106</v>
      </c>
    </row>
    <row r="12" hidden="1">
      <c r="A12" s="7" t="s">
        <v>23</v>
      </c>
      <c r="B12" s="7" t="s">
        <v>107</v>
      </c>
      <c r="C12" s="7" t="s">
        <v>108</v>
      </c>
      <c r="D12" s="7" t="s">
        <v>34</v>
      </c>
      <c r="E12" s="7" t="s">
        <v>35</v>
      </c>
      <c r="F12" s="7" t="s">
        <v>109</v>
      </c>
      <c r="G12" s="7" t="s">
        <v>110</v>
      </c>
      <c r="H12" s="9" t="s">
        <v>111</v>
      </c>
      <c r="I12" s="7" t="s">
        <v>39</v>
      </c>
      <c r="J12" s="8">
        <v>45982.0</v>
      </c>
      <c r="K12" s="7" t="s">
        <v>112</v>
      </c>
      <c r="L12" s="7" t="s">
        <v>113</v>
      </c>
    </row>
    <row r="13" hidden="1">
      <c r="A13" s="7" t="s">
        <v>23</v>
      </c>
      <c r="B13" s="7" t="s">
        <v>114</v>
      </c>
      <c r="C13" s="7" t="s">
        <v>115</v>
      </c>
      <c r="D13" s="7" t="s">
        <v>101</v>
      </c>
      <c r="E13" s="7" t="s">
        <v>35</v>
      </c>
      <c r="F13" s="7" t="s">
        <v>116</v>
      </c>
      <c r="G13" s="7" t="s">
        <v>117</v>
      </c>
      <c r="H13" s="9" t="s">
        <v>118</v>
      </c>
      <c r="I13" s="7" t="s">
        <v>39</v>
      </c>
      <c r="J13" s="8">
        <v>45982.0</v>
      </c>
      <c r="K13" s="7" t="s">
        <v>119</v>
      </c>
      <c r="L13" s="7" t="s">
        <v>120</v>
      </c>
    </row>
    <row r="14" hidden="1">
      <c r="A14" s="7" t="s">
        <v>23</v>
      </c>
      <c r="B14" s="7" t="s">
        <v>121</v>
      </c>
      <c r="C14" s="7" t="s">
        <v>122</v>
      </c>
      <c r="D14" s="7" t="s">
        <v>123</v>
      </c>
      <c r="E14" s="7" t="s">
        <v>35</v>
      </c>
      <c r="F14" s="7" t="s">
        <v>124</v>
      </c>
      <c r="G14" s="7" t="s">
        <v>125</v>
      </c>
      <c r="H14" s="9" t="s">
        <v>126</v>
      </c>
      <c r="I14" s="7" t="s">
        <v>127</v>
      </c>
      <c r="J14" s="8">
        <v>45982.0</v>
      </c>
      <c r="K14" s="7" t="s">
        <v>128</v>
      </c>
      <c r="L14" s="7" t="s">
        <v>129</v>
      </c>
    </row>
    <row r="15" hidden="1">
      <c r="A15" s="7" t="s">
        <v>23</v>
      </c>
      <c r="B15" s="7" t="s">
        <v>130</v>
      </c>
      <c r="C15" s="7" t="s">
        <v>131</v>
      </c>
      <c r="D15" s="7" t="s">
        <v>132</v>
      </c>
      <c r="E15" s="7" t="s">
        <v>35</v>
      </c>
      <c r="F15" s="7" t="s">
        <v>133</v>
      </c>
      <c r="G15" s="7" t="s">
        <v>134</v>
      </c>
      <c r="H15" s="9" t="s">
        <v>135</v>
      </c>
      <c r="I15" s="7" t="s">
        <v>136</v>
      </c>
      <c r="J15" s="8">
        <v>45982.0</v>
      </c>
      <c r="K15" s="7" t="s">
        <v>137</v>
      </c>
      <c r="L15" s="7" t="s">
        <v>138</v>
      </c>
    </row>
    <row r="16" hidden="1">
      <c r="A16" s="7" t="s">
        <v>23</v>
      </c>
      <c r="B16" s="7" t="s">
        <v>139</v>
      </c>
      <c r="C16" s="7" t="s">
        <v>140</v>
      </c>
      <c r="D16" s="7" t="s">
        <v>141</v>
      </c>
      <c r="E16" s="7" t="s">
        <v>27</v>
      </c>
      <c r="F16" s="7" t="s">
        <v>142</v>
      </c>
      <c r="G16" s="7" t="s">
        <v>143</v>
      </c>
      <c r="H16" s="9" t="s">
        <v>144</v>
      </c>
      <c r="I16" s="7" t="s">
        <v>145</v>
      </c>
      <c r="J16" s="8">
        <v>45982.0</v>
      </c>
      <c r="K16" s="7" t="s">
        <v>146</v>
      </c>
      <c r="L16" s="7" t="s">
        <v>147</v>
      </c>
    </row>
    <row r="17" hidden="1">
      <c r="A17" s="7" t="s">
        <v>23</v>
      </c>
      <c r="B17" s="7" t="s">
        <v>148</v>
      </c>
      <c r="C17" s="7" t="s">
        <v>149</v>
      </c>
      <c r="D17" s="7" t="s">
        <v>86</v>
      </c>
      <c r="E17" s="7" t="s">
        <v>35</v>
      </c>
      <c r="F17" s="7" t="s">
        <v>150</v>
      </c>
      <c r="G17" s="7" t="s">
        <v>151</v>
      </c>
      <c r="H17" s="9" t="s">
        <v>152</v>
      </c>
      <c r="I17" s="7" t="s">
        <v>39</v>
      </c>
      <c r="J17" s="8">
        <v>45982.0</v>
      </c>
      <c r="K17" s="7" t="s">
        <v>153</v>
      </c>
      <c r="L17" s="7" t="s">
        <v>154</v>
      </c>
    </row>
    <row r="18" hidden="1">
      <c r="A18" s="7" t="s">
        <v>23</v>
      </c>
      <c r="B18" s="7" t="s">
        <v>155</v>
      </c>
      <c r="C18" s="7" t="s">
        <v>156</v>
      </c>
      <c r="D18" s="7" t="s">
        <v>157</v>
      </c>
      <c r="E18" s="7" t="s">
        <v>35</v>
      </c>
      <c r="F18" s="7" t="s">
        <v>158</v>
      </c>
      <c r="G18" s="7" t="s">
        <v>159</v>
      </c>
      <c r="H18" s="9" t="s">
        <v>160</v>
      </c>
      <c r="I18" s="7" t="s">
        <v>39</v>
      </c>
      <c r="J18" s="8">
        <v>45982.0</v>
      </c>
      <c r="K18" s="7" t="s">
        <v>161</v>
      </c>
      <c r="L18" s="7" t="s">
        <v>162</v>
      </c>
    </row>
    <row r="19" hidden="1">
      <c r="A19" s="7" t="s">
        <v>23</v>
      </c>
      <c r="B19" s="7" t="s">
        <v>163</v>
      </c>
      <c r="C19" s="7" t="s">
        <v>164</v>
      </c>
      <c r="D19" s="7" t="s">
        <v>165</v>
      </c>
      <c r="E19" s="7" t="s">
        <v>35</v>
      </c>
      <c r="F19" s="7" t="s">
        <v>166</v>
      </c>
      <c r="G19" s="7" t="s">
        <v>167</v>
      </c>
      <c r="H19" s="9" t="s">
        <v>168</v>
      </c>
      <c r="I19" s="7" t="s">
        <v>169</v>
      </c>
      <c r="J19" s="8">
        <v>45982.0</v>
      </c>
      <c r="K19" s="7" t="s">
        <v>170</v>
      </c>
      <c r="L19" s="7" t="s">
        <v>171</v>
      </c>
    </row>
    <row r="20" hidden="1">
      <c r="A20" s="7" t="s">
        <v>23</v>
      </c>
      <c r="B20" s="7" t="s">
        <v>172</v>
      </c>
      <c r="C20" s="7" t="s">
        <v>173</v>
      </c>
      <c r="D20" s="7" t="s">
        <v>86</v>
      </c>
      <c r="E20" s="7" t="s">
        <v>35</v>
      </c>
      <c r="F20" s="7" t="s">
        <v>174</v>
      </c>
      <c r="G20" s="7" t="s">
        <v>175</v>
      </c>
      <c r="H20" s="9" t="s">
        <v>176</v>
      </c>
      <c r="I20" s="7" t="s">
        <v>39</v>
      </c>
      <c r="J20" s="8">
        <v>45982.0</v>
      </c>
      <c r="K20" s="7" t="s">
        <v>177</v>
      </c>
      <c r="L20" s="7" t="s">
        <v>178</v>
      </c>
    </row>
    <row r="21" ht="15.75" hidden="1" customHeight="1">
      <c r="A21" s="7" t="s">
        <v>23</v>
      </c>
      <c r="B21" s="7" t="s">
        <v>179</v>
      </c>
      <c r="C21" s="7" t="s">
        <v>180</v>
      </c>
      <c r="D21" s="7" t="s">
        <v>181</v>
      </c>
      <c r="E21" s="7" t="s">
        <v>35</v>
      </c>
      <c r="F21" s="7" t="s">
        <v>182</v>
      </c>
      <c r="G21" s="7" t="s">
        <v>183</v>
      </c>
      <c r="H21" s="9" t="s">
        <v>184</v>
      </c>
      <c r="I21" s="7" t="s">
        <v>185</v>
      </c>
      <c r="J21" s="8">
        <v>45982.0</v>
      </c>
      <c r="K21" s="7" t="s">
        <v>186</v>
      </c>
      <c r="L21" s="7" t="s">
        <v>187</v>
      </c>
    </row>
    <row r="22" ht="15.75" hidden="1" customHeight="1">
      <c r="A22" s="7" t="s">
        <v>23</v>
      </c>
      <c r="B22" s="7" t="s">
        <v>188</v>
      </c>
      <c r="C22" s="7" t="s">
        <v>189</v>
      </c>
      <c r="D22" s="7" t="s">
        <v>190</v>
      </c>
      <c r="E22" s="7" t="s">
        <v>35</v>
      </c>
      <c r="F22" s="7" t="s">
        <v>191</v>
      </c>
      <c r="G22" s="7" t="s">
        <v>192</v>
      </c>
      <c r="H22" s="9" t="s">
        <v>193</v>
      </c>
      <c r="I22" s="7" t="s">
        <v>194</v>
      </c>
      <c r="J22" s="8">
        <v>45982.0</v>
      </c>
      <c r="K22" s="7" t="s">
        <v>195</v>
      </c>
      <c r="L22" s="7" t="s">
        <v>196</v>
      </c>
    </row>
    <row r="23" ht="15.75" hidden="1" customHeight="1">
      <c r="A23" s="7" t="s">
        <v>23</v>
      </c>
      <c r="B23" s="7" t="s">
        <v>197</v>
      </c>
      <c r="C23" s="7" t="s">
        <v>198</v>
      </c>
      <c r="D23" s="7" t="s">
        <v>199</v>
      </c>
      <c r="E23" s="7" t="s">
        <v>200</v>
      </c>
      <c r="F23" s="7" t="s">
        <v>201</v>
      </c>
      <c r="G23" s="7" t="s">
        <v>202</v>
      </c>
      <c r="H23" s="9" t="s">
        <v>203</v>
      </c>
      <c r="I23" s="7" t="s">
        <v>39</v>
      </c>
      <c r="J23" s="8">
        <v>45982.0</v>
      </c>
      <c r="K23" s="7" t="s">
        <v>204</v>
      </c>
      <c r="L23" s="7" t="s">
        <v>205</v>
      </c>
    </row>
    <row r="24" ht="15.75" hidden="1" customHeight="1">
      <c r="A24" s="7" t="s">
        <v>23</v>
      </c>
      <c r="B24" s="7" t="s">
        <v>206</v>
      </c>
      <c r="C24" s="7" t="s">
        <v>207</v>
      </c>
      <c r="D24" s="7" t="s">
        <v>101</v>
      </c>
      <c r="E24" s="7" t="s">
        <v>35</v>
      </c>
      <c r="F24" s="7" t="s">
        <v>208</v>
      </c>
      <c r="G24" s="7" t="s">
        <v>209</v>
      </c>
      <c r="H24" s="9" t="s">
        <v>210</v>
      </c>
      <c r="I24" s="7" t="s">
        <v>39</v>
      </c>
      <c r="J24" s="8">
        <v>45982.0</v>
      </c>
      <c r="K24" s="7" t="s">
        <v>211</v>
      </c>
      <c r="L24" s="7" t="s">
        <v>212</v>
      </c>
    </row>
    <row r="25" ht="15.75" hidden="1" customHeight="1">
      <c r="A25" s="7" t="s">
        <v>23</v>
      </c>
      <c r="B25" s="7" t="s">
        <v>213</v>
      </c>
      <c r="C25" s="7" t="s">
        <v>214</v>
      </c>
      <c r="D25" s="7" t="s">
        <v>215</v>
      </c>
      <c r="E25" s="7" t="s">
        <v>35</v>
      </c>
      <c r="F25" s="7" t="s">
        <v>216</v>
      </c>
      <c r="G25" s="7" t="s">
        <v>217</v>
      </c>
      <c r="H25" s="9" t="s">
        <v>218</v>
      </c>
      <c r="I25" s="7" t="s">
        <v>219</v>
      </c>
      <c r="J25" s="8">
        <v>45982.0</v>
      </c>
      <c r="K25" s="7" t="s">
        <v>220</v>
      </c>
      <c r="L25" s="7" t="s">
        <v>221</v>
      </c>
    </row>
    <row r="26" ht="15.75" hidden="1" customHeight="1">
      <c r="A26" s="7" t="s">
        <v>23</v>
      </c>
      <c r="B26" s="7" t="s">
        <v>222</v>
      </c>
      <c r="C26" s="7" t="s">
        <v>223</v>
      </c>
      <c r="D26" s="7" t="s">
        <v>224</v>
      </c>
      <c r="E26" s="7" t="s">
        <v>35</v>
      </c>
      <c r="F26" s="7" t="s">
        <v>225</v>
      </c>
      <c r="G26" s="7" t="s">
        <v>226</v>
      </c>
      <c r="H26" s="9" t="s">
        <v>227</v>
      </c>
      <c r="I26" s="7" t="s">
        <v>228</v>
      </c>
      <c r="J26" s="8">
        <v>45982.0</v>
      </c>
      <c r="K26" s="7" t="s">
        <v>229</v>
      </c>
      <c r="L26" s="7" t="s">
        <v>230</v>
      </c>
    </row>
    <row r="27" ht="15.75" hidden="1" customHeight="1">
      <c r="A27" s="7" t="s">
        <v>23</v>
      </c>
      <c r="B27" s="7" t="s">
        <v>231</v>
      </c>
      <c r="C27" s="7" t="s">
        <v>232</v>
      </c>
      <c r="D27" s="7" t="s">
        <v>86</v>
      </c>
      <c r="E27" s="7" t="s">
        <v>35</v>
      </c>
      <c r="F27" s="7" t="s">
        <v>233</v>
      </c>
      <c r="G27" s="7" t="s">
        <v>234</v>
      </c>
      <c r="H27" s="9" t="s">
        <v>235</v>
      </c>
      <c r="I27" s="7" t="s">
        <v>39</v>
      </c>
      <c r="J27" s="8">
        <v>45982.0</v>
      </c>
      <c r="K27" s="7" t="s">
        <v>236</v>
      </c>
      <c r="L27" s="7" t="s">
        <v>237</v>
      </c>
    </row>
    <row r="28" ht="15.75" hidden="1" customHeight="1">
      <c r="A28" s="7" t="s">
        <v>23</v>
      </c>
      <c r="B28" s="7" t="s">
        <v>238</v>
      </c>
      <c r="C28" s="7" t="s">
        <v>239</v>
      </c>
      <c r="D28" s="7" t="s">
        <v>240</v>
      </c>
      <c r="E28" s="7" t="s">
        <v>27</v>
      </c>
      <c r="F28" s="7" t="s">
        <v>241</v>
      </c>
      <c r="G28" s="7" t="s">
        <v>242</v>
      </c>
      <c r="H28" s="9" t="s">
        <v>243</v>
      </c>
      <c r="I28" s="7" t="s">
        <v>65</v>
      </c>
      <c r="J28" s="8">
        <v>45982.0</v>
      </c>
      <c r="K28" s="7" t="s">
        <v>244</v>
      </c>
      <c r="L28" s="7" t="s">
        <v>245</v>
      </c>
    </row>
    <row r="29" ht="15.75" hidden="1" customHeight="1">
      <c r="A29" s="7" t="s">
        <v>23</v>
      </c>
      <c r="B29" s="7" t="s">
        <v>246</v>
      </c>
      <c r="C29" s="7" t="s">
        <v>247</v>
      </c>
      <c r="D29" s="7" t="s">
        <v>248</v>
      </c>
      <c r="E29" s="7" t="s">
        <v>35</v>
      </c>
      <c r="F29" s="7" t="s">
        <v>249</v>
      </c>
      <c r="G29" s="7" t="s">
        <v>250</v>
      </c>
      <c r="H29" s="9" t="s">
        <v>251</v>
      </c>
      <c r="I29" s="7" t="s">
        <v>252</v>
      </c>
      <c r="J29" s="8">
        <v>45982.0</v>
      </c>
      <c r="K29" s="7" t="s">
        <v>253</v>
      </c>
      <c r="L29" s="7" t="s">
        <v>254</v>
      </c>
    </row>
    <row r="30" ht="15.75" hidden="1" customHeight="1">
      <c r="A30" s="7" t="s">
        <v>23</v>
      </c>
      <c r="B30" s="7" t="s">
        <v>255</v>
      </c>
      <c r="C30" s="7" t="s">
        <v>256</v>
      </c>
      <c r="D30" s="7" t="s">
        <v>257</v>
      </c>
      <c r="E30" s="7" t="s">
        <v>35</v>
      </c>
      <c r="F30" s="7" t="s">
        <v>258</v>
      </c>
      <c r="G30" s="7" t="s">
        <v>259</v>
      </c>
      <c r="H30" s="9" t="s">
        <v>260</v>
      </c>
      <c r="I30" s="7" t="s">
        <v>145</v>
      </c>
      <c r="J30" s="8">
        <v>45982.0</v>
      </c>
      <c r="K30" s="7" t="s">
        <v>261</v>
      </c>
      <c r="L30" s="7" t="s">
        <v>262</v>
      </c>
    </row>
    <row r="31" ht="15.75" hidden="1" customHeight="1">
      <c r="A31" s="7" t="s">
        <v>23</v>
      </c>
      <c r="B31" s="7" t="s">
        <v>263</v>
      </c>
      <c r="C31" s="7" t="s">
        <v>264</v>
      </c>
      <c r="D31" s="7" t="s">
        <v>265</v>
      </c>
      <c r="E31" s="7" t="s">
        <v>266</v>
      </c>
      <c r="F31" s="7" t="s">
        <v>267</v>
      </c>
      <c r="G31" s="7" t="s">
        <v>268</v>
      </c>
      <c r="H31" s="9" t="s">
        <v>269</v>
      </c>
      <c r="I31" s="7" t="s">
        <v>270</v>
      </c>
      <c r="J31" s="8">
        <v>45982.0</v>
      </c>
      <c r="K31" s="7" t="s">
        <v>271</v>
      </c>
      <c r="L31" s="7" t="s">
        <v>272</v>
      </c>
    </row>
    <row r="32" ht="15.75" hidden="1" customHeight="1">
      <c r="A32" s="7" t="s">
        <v>23</v>
      </c>
      <c r="B32" s="7" t="s">
        <v>273</v>
      </c>
      <c r="C32" s="7" t="s">
        <v>274</v>
      </c>
      <c r="D32" s="7" t="s">
        <v>275</v>
      </c>
      <c r="E32" s="7" t="s">
        <v>35</v>
      </c>
      <c r="F32" s="7" t="s">
        <v>276</v>
      </c>
      <c r="G32" s="7" t="s">
        <v>277</v>
      </c>
      <c r="H32" s="9" t="s">
        <v>278</v>
      </c>
      <c r="I32" s="7" t="s">
        <v>39</v>
      </c>
      <c r="J32" s="8">
        <v>45982.0</v>
      </c>
      <c r="K32" s="7" t="s">
        <v>279</v>
      </c>
      <c r="L32" s="7" t="s">
        <v>280</v>
      </c>
    </row>
    <row r="33" ht="15.75" hidden="1" customHeight="1">
      <c r="A33" s="7" t="s">
        <v>23</v>
      </c>
      <c r="B33" s="7" t="s">
        <v>281</v>
      </c>
      <c r="C33" s="7" t="s">
        <v>282</v>
      </c>
      <c r="D33" s="7" t="s">
        <v>283</v>
      </c>
      <c r="E33" s="7" t="s">
        <v>35</v>
      </c>
      <c r="F33" s="7" t="s">
        <v>284</v>
      </c>
      <c r="G33" s="7" t="s">
        <v>285</v>
      </c>
      <c r="H33" s="9" t="s">
        <v>286</v>
      </c>
      <c r="I33" s="7" t="s">
        <v>287</v>
      </c>
      <c r="J33" s="8">
        <v>45982.0</v>
      </c>
      <c r="K33" s="7" t="s">
        <v>288</v>
      </c>
      <c r="L33" s="7" t="s">
        <v>289</v>
      </c>
    </row>
    <row r="34" ht="15.75" hidden="1" customHeight="1">
      <c r="A34" s="7" t="s">
        <v>23</v>
      </c>
      <c r="B34" s="7" t="s">
        <v>290</v>
      </c>
      <c r="C34" s="7" t="s">
        <v>291</v>
      </c>
      <c r="D34" s="7" t="s">
        <v>292</v>
      </c>
      <c r="E34" s="7" t="s">
        <v>266</v>
      </c>
      <c r="F34" s="7" t="s">
        <v>293</v>
      </c>
      <c r="G34" s="7" t="s">
        <v>294</v>
      </c>
      <c r="H34" s="9" t="s">
        <v>295</v>
      </c>
      <c r="I34" s="7" t="s">
        <v>296</v>
      </c>
      <c r="J34" s="8">
        <v>45982.0</v>
      </c>
      <c r="K34" s="7" t="s">
        <v>297</v>
      </c>
      <c r="L34" s="7" t="s">
        <v>298</v>
      </c>
    </row>
    <row r="35" ht="15.75" hidden="1" customHeight="1">
      <c r="A35" s="7" t="s">
        <v>23</v>
      </c>
      <c r="B35" s="7" t="s">
        <v>299</v>
      </c>
      <c r="C35" s="7" t="s">
        <v>300</v>
      </c>
      <c r="D35" s="7" t="s">
        <v>157</v>
      </c>
      <c r="E35" s="7" t="s">
        <v>35</v>
      </c>
      <c r="F35" s="7" t="s">
        <v>301</v>
      </c>
      <c r="G35" s="7" t="s">
        <v>302</v>
      </c>
      <c r="H35" s="9" t="s">
        <v>303</v>
      </c>
      <c r="I35" s="7" t="s">
        <v>39</v>
      </c>
      <c r="J35" s="8">
        <v>45982.0</v>
      </c>
      <c r="K35" s="7" t="s">
        <v>304</v>
      </c>
      <c r="L35" s="7" t="s">
        <v>305</v>
      </c>
    </row>
    <row r="36" ht="15.75" hidden="1" customHeight="1">
      <c r="A36" s="7" t="s">
        <v>23</v>
      </c>
      <c r="B36" s="7" t="s">
        <v>306</v>
      </c>
      <c r="C36" s="7" t="s">
        <v>307</v>
      </c>
      <c r="D36" s="7" t="s">
        <v>275</v>
      </c>
      <c r="E36" s="7" t="s">
        <v>35</v>
      </c>
      <c r="F36" s="7" t="s">
        <v>308</v>
      </c>
      <c r="G36" s="7" t="s">
        <v>309</v>
      </c>
      <c r="H36" s="9" t="s">
        <v>310</v>
      </c>
      <c r="I36" s="7" t="s">
        <v>39</v>
      </c>
      <c r="J36" s="8">
        <v>45982.0</v>
      </c>
      <c r="K36" s="7" t="s">
        <v>311</v>
      </c>
      <c r="L36" s="7" t="s">
        <v>312</v>
      </c>
    </row>
    <row r="37" ht="15.75" hidden="1" customHeight="1">
      <c r="A37" s="7" t="s">
        <v>23</v>
      </c>
      <c r="B37" s="7" t="s">
        <v>313</v>
      </c>
      <c r="C37" s="7" t="s">
        <v>314</v>
      </c>
      <c r="D37" s="7" t="s">
        <v>315</v>
      </c>
      <c r="E37" s="7" t="s">
        <v>35</v>
      </c>
      <c r="F37" s="7" t="s">
        <v>316</v>
      </c>
      <c r="G37" s="7" t="s">
        <v>317</v>
      </c>
      <c r="H37" s="9" t="s">
        <v>318</v>
      </c>
      <c r="I37" s="7" t="s">
        <v>319</v>
      </c>
      <c r="J37" s="8">
        <v>45982.0</v>
      </c>
      <c r="K37" s="7" t="s">
        <v>320</v>
      </c>
      <c r="L37" s="7" t="s">
        <v>321</v>
      </c>
    </row>
    <row r="38" ht="15.75" hidden="1" customHeight="1">
      <c r="A38" s="7" t="s">
        <v>23</v>
      </c>
      <c r="B38" s="7" t="s">
        <v>322</v>
      </c>
      <c r="C38" s="7" t="s">
        <v>323</v>
      </c>
      <c r="D38" s="7" t="s">
        <v>324</v>
      </c>
      <c r="E38" s="7" t="s">
        <v>27</v>
      </c>
      <c r="F38" s="7" t="s">
        <v>325</v>
      </c>
      <c r="G38" s="7" t="s">
        <v>326</v>
      </c>
      <c r="H38" s="9" t="s">
        <v>327</v>
      </c>
      <c r="I38" s="7" t="s">
        <v>39</v>
      </c>
      <c r="J38" s="8">
        <v>45982.0</v>
      </c>
      <c r="K38" s="7" t="s">
        <v>328</v>
      </c>
      <c r="L38" s="7" t="s">
        <v>329</v>
      </c>
    </row>
    <row r="39" ht="15.75" hidden="1" customHeight="1">
      <c r="A39" s="7" t="s">
        <v>23</v>
      </c>
      <c r="B39" s="7" t="s">
        <v>330</v>
      </c>
      <c r="C39" s="7" t="s">
        <v>331</v>
      </c>
      <c r="D39" s="7" t="s">
        <v>101</v>
      </c>
      <c r="E39" s="7" t="s">
        <v>35</v>
      </c>
      <c r="F39" s="7" t="s">
        <v>332</v>
      </c>
      <c r="G39" s="7" t="s">
        <v>333</v>
      </c>
      <c r="H39" s="9" t="s">
        <v>334</v>
      </c>
      <c r="I39" s="7" t="s">
        <v>39</v>
      </c>
      <c r="J39" s="8">
        <v>45982.0</v>
      </c>
      <c r="K39" s="7" t="s">
        <v>335</v>
      </c>
      <c r="L39" s="7" t="s">
        <v>336</v>
      </c>
    </row>
    <row r="40" ht="15.75" hidden="1" customHeight="1">
      <c r="A40" s="7" t="s">
        <v>23</v>
      </c>
      <c r="B40" s="7" t="s">
        <v>337</v>
      </c>
      <c r="C40" s="7" t="s">
        <v>338</v>
      </c>
      <c r="D40" s="7" t="s">
        <v>339</v>
      </c>
      <c r="E40" s="7" t="s">
        <v>35</v>
      </c>
      <c r="F40" s="7" t="s">
        <v>340</v>
      </c>
      <c r="G40" s="7" t="s">
        <v>341</v>
      </c>
      <c r="H40" s="9" t="s">
        <v>342</v>
      </c>
      <c r="I40" s="7" t="s">
        <v>343</v>
      </c>
      <c r="J40" s="8">
        <v>45982.0</v>
      </c>
      <c r="K40" s="7" t="s">
        <v>344</v>
      </c>
      <c r="L40" s="7" t="s">
        <v>345</v>
      </c>
    </row>
    <row r="41" ht="15.75" hidden="1" customHeight="1">
      <c r="A41" s="7" t="s">
        <v>23</v>
      </c>
      <c r="B41" s="7" t="s">
        <v>346</v>
      </c>
      <c r="C41" s="7" t="s">
        <v>347</v>
      </c>
      <c r="D41" s="7" t="s">
        <v>324</v>
      </c>
      <c r="E41" s="7" t="s">
        <v>35</v>
      </c>
      <c r="F41" s="7" t="s">
        <v>348</v>
      </c>
      <c r="G41" s="7" t="s">
        <v>349</v>
      </c>
      <c r="H41" s="9" t="s">
        <v>350</v>
      </c>
      <c r="I41" s="7" t="s">
        <v>39</v>
      </c>
      <c r="J41" s="8">
        <v>45982.0</v>
      </c>
      <c r="K41" s="7" t="s">
        <v>351</v>
      </c>
      <c r="L41" s="7" t="s">
        <v>352</v>
      </c>
    </row>
    <row r="42" ht="15.75" hidden="1" customHeight="1">
      <c r="A42" s="7" t="s">
        <v>23</v>
      </c>
      <c r="B42" s="7" t="s">
        <v>353</v>
      </c>
      <c r="C42" s="7" t="s">
        <v>354</v>
      </c>
      <c r="D42" s="7" t="s">
        <v>215</v>
      </c>
      <c r="E42" s="7" t="s">
        <v>35</v>
      </c>
      <c r="F42" s="7" t="s">
        <v>355</v>
      </c>
      <c r="G42" s="7" t="s">
        <v>356</v>
      </c>
      <c r="H42" s="9" t="s">
        <v>357</v>
      </c>
      <c r="I42" s="7" t="s">
        <v>219</v>
      </c>
      <c r="J42" s="8">
        <v>45982.0</v>
      </c>
      <c r="K42" s="7" t="s">
        <v>358</v>
      </c>
      <c r="L42" s="7" t="s">
        <v>359</v>
      </c>
    </row>
    <row r="43" ht="15.75" hidden="1" customHeight="1">
      <c r="A43" s="7" t="s">
        <v>23</v>
      </c>
      <c r="B43" s="7" t="s">
        <v>360</v>
      </c>
      <c r="C43" s="7" t="s">
        <v>361</v>
      </c>
      <c r="D43" s="7" t="s">
        <v>362</v>
      </c>
      <c r="E43" s="7" t="s">
        <v>35</v>
      </c>
      <c r="F43" s="7" t="s">
        <v>363</v>
      </c>
      <c r="G43" s="7" t="s">
        <v>364</v>
      </c>
      <c r="H43" s="9" t="s">
        <v>365</v>
      </c>
      <c r="I43" s="7" t="s">
        <v>39</v>
      </c>
      <c r="J43" s="8">
        <v>45982.0</v>
      </c>
      <c r="K43" s="7" t="s">
        <v>366</v>
      </c>
      <c r="L43" s="7" t="s">
        <v>367</v>
      </c>
    </row>
    <row r="44" ht="15.75" hidden="1" customHeight="1">
      <c r="A44" s="7" t="s">
        <v>23</v>
      </c>
      <c r="B44" s="7" t="s">
        <v>368</v>
      </c>
      <c r="C44" s="7" t="s">
        <v>369</v>
      </c>
      <c r="D44" s="7" t="s">
        <v>34</v>
      </c>
      <c r="E44" s="7" t="s">
        <v>35</v>
      </c>
      <c r="F44" s="7" t="s">
        <v>370</v>
      </c>
      <c r="G44" s="7" t="s">
        <v>371</v>
      </c>
      <c r="H44" s="9" t="s">
        <v>372</v>
      </c>
      <c r="I44" s="7" t="s">
        <v>39</v>
      </c>
      <c r="J44" s="8">
        <v>45982.0</v>
      </c>
      <c r="K44" s="7" t="s">
        <v>373</v>
      </c>
      <c r="L44" s="7" t="s">
        <v>374</v>
      </c>
    </row>
    <row r="45" ht="15.75" hidden="1" customHeight="1">
      <c r="A45" s="7" t="s">
        <v>23</v>
      </c>
      <c r="B45" s="7" t="s">
        <v>375</v>
      </c>
      <c r="C45" s="7" t="s">
        <v>376</v>
      </c>
      <c r="D45" s="7" t="s">
        <v>34</v>
      </c>
      <c r="E45" s="7" t="s">
        <v>35</v>
      </c>
      <c r="F45" s="7" t="s">
        <v>377</v>
      </c>
      <c r="G45" s="7" t="s">
        <v>378</v>
      </c>
      <c r="H45" s="9" t="s">
        <v>379</v>
      </c>
      <c r="I45" s="7" t="s">
        <v>39</v>
      </c>
      <c r="J45" s="8">
        <v>45982.0</v>
      </c>
      <c r="K45" s="7" t="s">
        <v>380</v>
      </c>
      <c r="L45" s="7" t="s">
        <v>381</v>
      </c>
    </row>
    <row r="46" ht="15.75" hidden="1" customHeight="1">
      <c r="A46" s="7" t="s">
        <v>23</v>
      </c>
      <c r="B46" s="7" t="s">
        <v>382</v>
      </c>
      <c r="C46" s="7" t="s">
        <v>383</v>
      </c>
      <c r="D46" s="7" t="s">
        <v>384</v>
      </c>
      <c r="E46" s="7" t="s">
        <v>27</v>
      </c>
      <c r="F46" s="7" t="s">
        <v>385</v>
      </c>
      <c r="G46" s="7" t="s">
        <v>386</v>
      </c>
      <c r="H46" s="9" t="s">
        <v>387</v>
      </c>
      <c r="I46" s="7" t="s">
        <v>388</v>
      </c>
      <c r="J46" s="8">
        <v>45982.0</v>
      </c>
      <c r="K46" s="7" t="s">
        <v>389</v>
      </c>
      <c r="L46" s="7" t="s">
        <v>390</v>
      </c>
    </row>
    <row r="47" ht="15.75" hidden="1" customHeight="1">
      <c r="A47" s="7" t="s">
        <v>23</v>
      </c>
      <c r="B47" s="7" t="s">
        <v>391</v>
      </c>
      <c r="C47" s="7" t="s">
        <v>392</v>
      </c>
      <c r="D47" s="7" t="s">
        <v>393</v>
      </c>
      <c r="E47" s="7" t="s">
        <v>35</v>
      </c>
      <c r="F47" s="7" t="s">
        <v>394</v>
      </c>
      <c r="G47" s="7" t="s">
        <v>395</v>
      </c>
      <c r="H47" s="9" t="s">
        <v>396</v>
      </c>
      <c r="I47" s="7" t="s">
        <v>397</v>
      </c>
      <c r="J47" s="8">
        <v>45982.0</v>
      </c>
      <c r="K47" s="7" t="s">
        <v>398</v>
      </c>
      <c r="L47" s="7" t="s">
        <v>399</v>
      </c>
    </row>
    <row r="48" ht="15.75" hidden="1" customHeight="1">
      <c r="A48" s="7" t="s">
        <v>23</v>
      </c>
      <c r="B48" s="7" t="s">
        <v>400</v>
      </c>
      <c r="C48" s="7" t="s">
        <v>401</v>
      </c>
      <c r="D48" s="7" t="s">
        <v>86</v>
      </c>
      <c r="E48" s="7" t="s">
        <v>35</v>
      </c>
      <c r="F48" s="7" t="s">
        <v>402</v>
      </c>
      <c r="G48" s="7" t="s">
        <v>403</v>
      </c>
      <c r="H48" s="9" t="s">
        <v>404</v>
      </c>
      <c r="I48" s="7" t="s">
        <v>39</v>
      </c>
      <c r="J48" s="8">
        <v>45982.0</v>
      </c>
      <c r="K48" s="7" t="s">
        <v>405</v>
      </c>
      <c r="L48" s="7" t="s">
        <v>406</v>
      </c>
    </row>
    <row r="49" ht="15.75" hidden="1" customHeight="1">
      <c r="A49" s="7" t="s">
        <v>23</v>
      </c>
      <c r="B49" s="7" t="s">
        <v>407</v>
      </c>
      <c r="C49" s="7" t="s">
        <v>408</v>
      </c>
      <c r="D49" s="7" t="s">
        <v>324</v>
      </c>
      <c r="E49" s="7" t="s">
        <v>35</v>
      </c>
      <c r="F49" s="7" t="s">
        <v>409</v>
      </c>
      <c r="G49" s="7" t="s">
        <v>410</v>
      </c>
      <c r="H49" s="9" t="s">
        <v>411</v>
      </c>
      <c r="I49" s="7" t="s">
        <v>39</v>
      </c>
      <c r="J49" s="8">
        <v>45982.0</v>
      </c>
      <c r="K49" s="7" t="s">
        <v>412</v>
      </c>
      <c r="L49" s="7" t="s">
        <v>413</v>
      </c>
    </row>
    <row r="50" ht="15.75" hidden="1" customHeight="1">
      <c r="A50" s="7" t="s">
        <v>23</v>
      </c>
      <c r="B50" s="7" t="s">
        <v>414</v>
      </c>
      <c r="C50" s="7" t="s">
        <v>415</v>
      </c>
      <c r="D50" s="7" t="s">
        <v>416</v>
      </c>
      <c r="E50" s="7" t="s">
        <v>35</v>
      </c>
      <c r="F50" s="7" t="s">
        <v>417</v>
      </c>
      <c r="G50" s="7" t="s">
        <v>418</v>
      </c>
      <c r="H50" s="9" t="s">
        <v>419</v>
      </c>
      <c r="I50" s="7" t="s">
        <v>420</v>
      </c>
      <c r="J50" s="8">
        <v>45982.0</v>
      </c>
      <c r="K50" s="7" t="s">
        <v>421</v>
      </c>
      <c r="L50" s="7" t="s">
        <v>422</v>
      </c>
    </row>
    <row r="51" ht="15.75" hidden="1" customHeight="1">
      <c r="A51" s="7" t="s">
        <v>23</v>
      </c>
      <c r="B51" s="7" t="s">
        <v>423</v>
      </c>
      <c r="C51" s="7" t="s">
        <v>424</v>
      </c>
      <c r="D51" s="7" t="s">
        <v>425</v>
      </c>
      <c r="E51" s="7" t="s">
        <v>266</v>
      </c>
      <c r="F51" s="7" t="s">
        <v>426</v>
      </c>
      <c r="G51" s="7" t="s">
        <v>427</v>
      </c>
      <c r="H51" s="9" t="s">
        <v>428</v>
      </c>
      <c r="I51" s="7" t="s">
        <v>429</v>
      </c>
      <c r="J51" s="8">
        <v>45982.0</v>
      </c>
      <c r="K51" s="7" t="s">
        <v>430</v>
      </c>
      <c r="L51" s="7" t="s">
        <v>431</v>
      </c>
    </row>
    <row r="52" ht="15.75" hidden="1" customHeight="1">
      <c r="A52" s="7" t="s">
        <v>23</v>
      </c>
      <c r="B52" s="7" t="s">
        <v>432</v>
      </c>
      <c r="C52" s="7" t="s">
        <v>433</v>
      </c>
      <c r="D52" s="7" t="s">
        <v>61</v>
      </c>
      <c r="E52" s="7" t="s">
        <v>35</v>
      </c>
      <c r="F52" s="7" t="s">
        <v>434</v>
      </c>
      <c r="G52" s="7" t="s">
        <v>435</v>
      </c>
      <c r="H52" s="9" t="s">
        <v>436</v>
      </c>
      <c r="I52" s="7" t="s">
        <v>65</v>
      </c>
      <c r="J52" s="8">
        <v>45982.0</v>
      </c>
      <c r="K52" s="7" t="s">
        <v>437</v>
      </c>
      <c r="L52" s="7" t="s">
        <v>438</v>
      </c>
    </row>
    <row r="53" ht="15.75" hidden="1" customHeight="1">
      <c r="A53" s="7" t="s">
        <v>23</v>
      </c>
      <c r="B53" s="7" t="s">
        <v>439</v>
      </c>
      <c r="C53" s="7" t="s">
        <v>440</v>
      </c>
      <c r="D53" s="7" t="s">
        <v>441</v>
      </c>
      <c r="E53" s="7" t="s">
        <v>27</v>
      </c>
      <c r="F53" s="7" t="s">
        <v>442</v>
      </c>
      <c r="G53" s="7" t="s">
        <v>443</v>
      </c>
      <c r="H53" s="9" t="s">
        <v>444</v>
      </c>
      <c r="I53" s="7" t="s">
        <v>445</v>
      </c>
      <c r="J53" s="8">
        <v>45982.0</v>
      </c>
      <c r="K53" s="7" t="s">
        <v>446</v>
      </c>
      <c r="L53" s="7" t="s">
        <v>447</v>
      </c>
    </row>
    <row r="54" ht="15.75" hidden="1" customHeight="1">
      <c r="A54" s="7" t="s">
        <v>23</v>
      </c>
      <c r="B54" s="7" t="s">
        <v>448</v>
      </c>
      <c r="C54" s="7" t="s">
        <v>449</v>
      </c>
      <c r="D54" s="7" t="s">
        <v>362</v>
      </c>
      <c r="E54" s="7" t="s">
        <v>35</v>
      </c>
      <c r="F54" s="7" t="s">
        <v>450</v>
      </c>
      <c r="G54" s="7" t="s">
        <v>451</v>
      </c>
      <c r="H54" s="9" t="s">
        <v>452</v>
      </c>
      <c r="I54" s="7" t="s">
        <v>39</v>
      </c>
      <c r="J54" s="8">
        <v>45982.0</v>
      </c>
      <c r="K54" s="7" t="s">
        <v>453</v>
      </c>
      <c r="L54" s="7" t="s">
        <v>454</v>
      </c>
    </row>
    <row r="55" ht="15.75" hidden="1" customHeight="1">
      <c r="A55" s="7" t="s">
        <v>23</v>
      </c>
      <c r="B55" s="7" t="s">
        <v>455</v>
      </c>
      <c r="C55" s="7" t="s">
        <v>456</v>
      </c>
      <c r="D55" s="7" t="s">
        <v>457</v>
      </c>
      <c r="E55" s="7" t="s">
        <v>27</v>
      </c>
      <c r="F55" s="7" t="s">
        <v>458</v>
      </c>
      <c r="G55" s="7" t="s">
        <v>459</v>
      </c>
      <c r="H55" s="9" t="s">
        <v>460</v>
      </c>
      <c r="I55" s="7" t="s">
        <v>185</v>
      </c>
      <c r="J55" s="8">
        <v>45982.0</v>
      </c>
      <c r="K55" s="7" t="s">
        <v>461</v>
      </c>
      <c r="L55" s="7" t="s">
        <v>462</v>
      </c>
    </row>
    <row r="56" ht="15.75" hidden="1" customHeight="1">
      <c r="A56" s="7" t="s">
        <v>23</v>
      </c>
      <c r="B56" s="7" t="s">
        <v>463</v>
      </c>
      <c r="C56" s="7" t="s">
        <v>464</v>
      </c>
      <c r="D56" s="7" t="s">
        <v>465</v>
      </c>
      <c r="E56" s="7" t="s">
        <v>35</v>
      </c>
      <c r="F56" s="7" t="s">
        <v>466</v>
      </c>
      <c r="G56" s="7" t="s">
        <v>467</v>
      </c>
      <c r="H56" s="9" t="s">
        <v>468</v>
      </c>
      <c r="I56" s="7" t="s">
        <v>469</v>
      </c>
      <c r="J56" s="8">
        <v>45982.0</v>
      </c>
      <c r="K56" s="7" t="s">
        <v>470</v>
      </c>
      <c r="L56" s="7" t="s">
        <v>471</v>
      </c>
    </row>
    <row r="57" ht="15.75" hidden="1" customHeight="1">
      <c r="A57" s="7" t="s">
        <v>23</v>
      </c>
      <c r="B57" s="7" t="s">
        <v>472</v>
      </c>
      <c r="C57" s="7" t="s">
        <v>473</v>
      </c>
      <c r="D57" s="7" t="s">
        <v>474</v>
      </c>
      <c r="E57" s="7" t="s">
        <v>35</v>
      </c>
      <c r="F57" s="7" t="s">
        <v>475</v>
      </c>
      <c r="G57" s="7" t="s">
        <v>476</v>
      </c>
      <c r="H57" s="9" t="s">
        <v>477</v>
      </c>
      <c r="I57" s="7" t="s">
        <v>478</v>
      </c>
      <c r="J57" s="8">
        <v>45982.0</v>
      </c>
      <c r="K57" s="7" t="s">
        <v>479</v>
      </c>
      <c r="L57" s="7" t="s">
        <v>480</v>
      </c>
    </row>
    <row r="58" ht="15.75" hidden="1" customHeight="1">
      <c r="A58" s="7" t="s">
        <v>23</v>
      </c>
      <c r="B58" s="7" t="s">
        <v>481</v>
      </c>
      <c r="C58" s="7" t="s">
        <v>482</v>
      </c>
      <c r="D58" s="7" t="s">
        <v>34</v>
      </c>
      <c r="E58" s="7" t="s">
        <v>35</v>
      </c>
      <c r="F58" s="7" t="s">
        <v>483</v>
      </c>
      <c r="G58" s="7" t="s">
        <v>484</v>
      </c>
      <c r="H58" s="9" t="s">
        <v>485</v>
      </c>
      <c r="I58" s="7" t="s">
        <v>39</v>
      </c>
      <c r="J58" s="8">
        <v>45982.0</v>
      </c>
      <c r="K58" s="7" t="s">
        <v>486</v>
      </c>
      <c r="L58" s="7" t="s">
        <v>487</v>
      </c>
    </row>
    <row r="59" ht="15.75" hidden="1" customHeight="1">
      <c r="A59" s="7" t="s">
        <v>23</v>
      </c>
      <c r="B59" s="7" t="s">
        <v>488</v>
      </c>
      <c r="C59" s="7" t="s">
        <v>489</v>
      </c>
      <c r="D59" s="7" t="s">
        <v>324</v>
      </c>
      <c r="E59" s="7" t="s">
        <v>27</v>
      </c>
      <c r="F59" s="7" t="s">
        <v>490</v>
      </c>
      <c r="G59" s="7" t="s">
        <v>491</v>
      </c>
      <c r="H59" s="9" t="s">
        <v>492</v>
      </c>
      <c r="I59" s="7" t="s">
        <v>39</v>
      </c>
      <c r="J59" s="8">
        <v>45982.0</v>
      </c>
      <c r="K59" s="7" t="s">
        <v>493</v>
      </c>
      <c r="L59" s="7" t="s">
        <v>494</v>
      </c>
    </row>
    <row r="60" ht="15.75" customHeight="1">
      <c r="A60" s="7" t="s">
        <v>23</v>
      </c>
      <c r="B60" s="7" t="s">
        <v>495</v>
      </c>
      <c r="C60" s="7" t="s">
        <v>496</v>
      </c>
      <c r="D60" s="7" t="s">
        <v>416</v>
      </c>
      <c r="E60" s="7" t="s">
        <v>497</v>
      </c>
      <c r="F60" s="7"/>
      <c r="G60" s="7" t="s">
        <v>498</v>
      </c>
      <c r="H60" s="9" t="s">
        <v>499</v>
      </c>
      <c r="I60" s="7" t="s">
        <v>420</v>
      </c>
      <c r="J60" s="8">
        <v>45982.0</v>
      </c>
      <c r="K60" s="7" t="s">
        <v>500</v>
      </c>
      <c r="L60" s="7" t="s">
        <v>501</v>
      </c>
    </row>
    <row r="61" ht="15.75" hidden="1" customHeight="1">
      <c r="A61" s="7" t="s">
        <v>23</v>
      </c>
      <c r="B61" s="7" t="s">
        <v>502</v>
      </c>
      <c r="C61" s="7" t="s">
        <v>503</v>
      </c>
      <c r="D61" s="7" t="s">
        <v>504</v>
      </c>
      <c r="E61" s="7" t="s">
        <v>35</v>
      </c>
      <c r="F61" s="7" t="s">
        <v>505</v>
      </c>
      <c r="G61" s="7" t="s">
        <v>506</v>
      </c>
      <c r="H61" s="9" t="s">
        <v>507</v>
      </c>
      <c r="I61" s="7" t="s">
        <v>508</v>
      </c>
      <c r="J61" s="8">
        <v>45982.0</v>
      </c>
      <c r="K61" s="7" t="s">
        <v>509</v>
      </c>
      <c r="L61" s="7" t="s">
        <v>510</v>
      </c>
    </row>
    <row r="62" ht="15.75" hidden="1" customHeight="1">
      <c r="A62" s="7" t="s">
        <v>23</v>
      </c>
      <c r="B62" s="7" t="s">
        <v>511</v>
      </c>
      <c r="C62" s="7" t="s">
        <v>512</v>
      </c>
      <c r="D62" s="7" t="s">
        <v>34</v>
      </c>
      <c r="E62" s="7" t="s">
        <v>35</v>
      </c>
      <c r="F62" s="7" t="s">
        <v>513</v>
      </c>
      <c r="G62" s="7" t="s">
        <v>514</v>
      </c>
      <c r="H62" s="9" t="s">
        <v>515</v>
      </c>
      <c r="I62" s="7" t="s">
        <v>39</v>
      </c>
      <c r="J62" s="8">
        <v>45982.0</v>
      </c>
      <c r="K62" s="7" t="s">
        <v>516</v>
      </c>
      <c r="L62" s="7" t="s">
        <v>517</v>
      </c>
    </row>
    <row r="63" ht="15.75" hidden="1" customHeight="1">
      <c r="A63" s="7" t="s">
        <v>23</v>
      </c>
      <c r="B63" s="7" t="s">
        <v>518</v>
      </c>
      <c r="C63" s="7" t="s">
        <v>519</v>
      </c>
      <c r="D63" s="7" t="s">
        <v>520</v>
      </c>
      <c r="E63" s="7" t="s">
        <v>27</v>
      </c>
      <c r="F63" s="7" t="s">
        <v>521</v>
      </c>
      <c r="G63" s="7" t="s">
        <v>522</v>
      </c>
      <c r="H63" s="9" t="s">
        <v>523</v>
      </c>
      <c r="I63" s="7" t="s">
        <v>524</v>
      </c>
      <c r="J63" s="8">
        <v>45982.0</v>
      </c>
      <c r="K63" s="7" t="s">
        <v>525</v>
      </c>
      <c r="L63" s="7" t="s">
        <v>526</v>
      </c>
    </row>
    <row r="64" ht="15.75" hidden="1" customHeight="1">
      <c r="A64" s="7" t="s">
        <v>23</v>
      </c>
      <c r="B64" s="7" t="s">
        <v>527</v>
      </c>
      <c r="C64" s="7" t="s">
        <v>528</v>
      </c>
      <c r="D64" s="7" t="s">
        <v>61</v>
      </c>
      <c r="E64" s="7" t="s">
        <v>35</v>
      </c>
      <c r="F64" s="7" t="s">
        <v>529</v>
      </c>
      <c r="G64" s="7" t="s">
        <v>530</v>
      </c>
      <c r="H64" s="9" t="s">
        <v>531</v>
      </c>
      <c r="I64" s="7" t="s">
        <v>65</v>
      </c>
      <c r="J64" s="8">
        <v>45982.0</v>
      </c>
      <c r="K64" s="7" t="s">
        <v>532</v>
      </c>
      <c r="L64" s="7" t="s">
        <v>533</v>
      </c>
    </row>
    <row r="65" ht="15.75" hidden="1" customHeight="1">
      <c r="A65" s="7" t="s">
        <v>23</v>
      </c>
      <c r="B65" s="7" t="s">
        <v>534</v>
      </c>
      <c r="C65" s="7" t="s">
        <v>535</v>
      </c>
      <c r="D65" s="7" t="s">
        <v>141</v>
      </c>
      <c r="E65" s="7" t="s">
        <v>35</v>
      </c>
      <c r="F65" s="7" t="s">
        <v>536</v>
      </c>
      <c r="G65" s="7" t="s">
        <v>537</v>
      </c>
      <c r="H65" s="9" t="s">
        <v>538</v>
      </c>
      <c r="I65" s="7" t="s">
        <v>145</v>
      </c>
      <c r="J65" s="8">
        <v>45982.0</v>
      </c>
      <c r="K65" s="7" t="s">
        <v>539</v>
      </c>
      <c r="L65" s="7" t="s">
        <v>540</v>
      </c>
    </row>
    <row r="66" ht="15.75" hidden="1" customHeight="1">
      <c r="A66" s="7" t="s">
        <v>23</v>
      </c>
      <c r="B66" s="7" t="s">
        <v>541</v>
      </c>
      <c r="C66" s="7" t="s">
        <v>542</v>
      </c>
      <c r="D66" s="7" t="s">
        <v>283</v>
      </c>
      <c r="E66" s="7" t="s">
        <v>35</v>
      </c>
      <c r="F66" s="7" t="s">
        <v>543</v>
      </c>
      <c r="G66" s="7" t="s">
        <v>544</v>
      </c>
      <c r="H66" s="9" t="s">
        <v>545</v>
      </c>
      <c r="I66" s="7" t="s">
        <v>287</v>
      </c>
      <c r="J66" s="8">
        <v>45982.0</v>
      </c>
      <c r="K66" s="7" t="s">
        <v>546</v>
      </c>
      <c r="L66" s="7" t="s">
        <v>547</v>
      </c>
    </row>
    <row r="67" ht="15.75" hidden="1" customHeight="1">
      <c r="A67" s="7" t="s">
        <v>23</v>
      </c>
      <c r="B67" s="7" t="s">
        <v>548</v>
      </c>
      <c r="C67" s="7" t="s">
        <v>549</v>
      </c>
      <c r="D67" s="7" t="s">
        <v>550</v>
      </c>
      <c r="E67" s="7" t="s">
        <v>27</v>
      </c>
      <c r="F67" s="7" t="s">
        <v>551</v>
      </c>
      <c r="G67" s="7" t="s">
        <v>552</v>
      </c>
      <c r="H67" s="9" t="s">
        <v>553</v>
      </c>
      <c r="I67" s="7" t="s">
        <v>554</v>
      </c>
      <c r="J67" s="8">
        <v>45982.0</v>
      </c>
      <c r="K67" s="7" t="s">
        <v>555</v>
      </c>
      <c r="L67" s="7" t="s">
        <v>556</v>
      </c>
    </row>
    <row r="68" ht="15.75" hidden="1" customHeight="1">
      <c r="A68" s="7" t="s">
        <v>23</v>
      </c>
      <c r="B68" s="7" t="s">
        <v>557</v>
      </c>
      <c r="C68" s="7" t="s">
        <v>558</v>
      </c>
      <c r="D68" s="7" t="s">
        <v>416</v>
      </c>
      <c r="E68" s="7" t="s">
        <v>35</v>
      </c>
      <c r="F68" s="7" t="s">
        <v>559</v>
      </c>
      <c r="G68" s="7" t="s">
        <v>560</v>
      </c>
      <c r="H68" s="9" t="s">
        <v>561</v>
      </c>
      <c r="I68" s="7" t="s">
        <v>420</v>
      </c>
      <c r="J68" s="8">
        <v>45982.0</v>
      </c>
      <c r="K68" s="7" t="s">
        <v>562</v>
      </c>
      <c r="L68" s="7" t="s">
        <v>563</v>
      </c>
    </row>
    <row r="69" ht="15.75" customHeight="1">
      <c r="A69" s="7" t="s">
        <v>23</v>
      </c>
      <c r="B69" s="7" t="s">
        <v>564</v>
      </c>
      <c r="C69" s="7" t="s">
        <v>565</v>
      </c>
      <c r="D69" s="7" t="s">
        <v>275</v>
      </c>
      <c r="E69" s="7" t="s">
        <v>497</v>
      </c>
      <c r="F69" s="7"/>
      <c r="G69" s="7" t="s">
        <v>566</v>
      </c>
      <c r="H69" s="9" t="s">
        <v>567</v>
      </c>
      <c r="I69" s="7" t="s">
        <v>39</v>
      </c>
      <c r="J69" s="8">
        <v>45982.0</v>
      </c>
      <c r="K69" s="7" t="s">
        <v>568</v>
      </c>
      <c r="L69" s="7" t="s">
        <v>569</v>
      </c>
    </row>
    <row r="70" ht="15.75" hidden="1" customHeight="1">
      <c r="A70" s="7" t="s">
        <v>23</v>
      </c>
      <c r="B70" s="7" t="s">
        <v>570</v>
      </c>
      <c r="C70" s="7" t="s">
        <v>571</v>
      </c>
      <c r="D70" s="7" t="s">
        <v>572</v>
      </c>
      <c r="E70" s="7" t="s">
        <v>27</v>
      </c>
      <c r="F70" s="7" t="s">
        <v>573</v>
      </c>
      <c r="G70" s="7" t="s">
        <v>574</v>
      </c>
      <c r="H70" s="9" t="s">
        <v>575</v>
      </c>
      <c r="I70" s="7" t="s">
        <v>576</v>
      </c>
      <c r="J70" s="8">
        <v>45982.0</v>
      </c>
      <c r="K70" s="7" t="s">
        <v>577</v>
      </c>
      <c r="L70" s="7" t="s">
        <v>578</v>
      </c>
    </row>
    <row r="71" ht="15.75" hidden="1" customHeight="1">
      <c r="A71" s="7" t="s">
        <v>23</v>
      </c>
      <c r="B71" s="7" t="s">
        <v>579</v>
      </c>
      <c r="C71" s="7" t="s">
        <v>580</v>
      </c>
      <c r="D71" s="7" t="s">
        <v>34</v>
      </c>
      <c r="E71" s="7" t="s">
        <v>35</v>
      </c>
      <c r="F71" s="7" t="s">
        <v>581</v>
      </c>
      <c r="G71" s="7" t="s">
        <v>582</v>
      </c>
      <c r="H71" s="9" t="s">
        <v>583</v>
      </c>
      <c r="I71" s="7" t="s">
        <v>39</v>
      </c>
      <c r="J71" s="8">
        <v>45982.0</v>
      </c>
      <c r="K71" s="7" t="s">
        <v>584</v>
      </c>
      <c r="L71" s="7" t="s">
        <v>585</v>
      </c>
    </row>
    <row r="72" ht="15.75" hidden="1" customHeight="1">
      <c r="A72" s="7" t="s">
        <v>23</v>
      </c>
      <c r="B72" s="7" t="s">
        <v>586</v>
      </c>
      <c r="C72" s="7" t="s">
        <v>587</v>
      </c>
      <c r="D72" s="7" t="s">
        <v>34</v>
      </c>
      <c r="E72" s="7" t="s">
        <v>35</v>
      </c>
      <c r="F72" s="7" t="s">
        <v>588</v>
      </c>
      <c r="G72" s="7" t="s">
        <v>589</v>
      </c>
      <c r="H72" s="9" t="s">
        <v>590</v>
      </c>
      <c r="I72" s="7" t="s">
        <v>39</v>
      </c>
      <c r="J72" s="8">
        <v>45982.0</v>
      </c>
      <c r="K72" s="7" t="s">
        <v>591</v>
      </c>
      <c r="L72" s="7" t="s">
        <v>592</v>
      </c>
    </row>
    <row r="73" ht="15.75" hidden="1" customHeight="1">
      <c r="A73" s="7" t="s">
        <v>23</v>
      </c>
      <c r="B73" s="7" t="s">
        <v>593</v>
      </c>
      <c r="C73" s="7" t="s">
        <v>594</v>
      </c>
      <c r="D73" s="7" t="s">
        <v>362</v>
      </c>
      <c r="E73" s="7" t="s">
        <v>35</v>
      </c>
      <c r="F73" s="7" t="s">
        <v>595</v>
      </c>
      <c r="G73" s="7" t="s">
        <v>596</v>
      </c>
      <c r="H73" s="9" t="s">
        <v>597</v>
      </c>
      <c r="I73" s="7" t="s">
        <v>39</v>
      </c>
      <c r="J73" s="8">
        <v>45982.0</v>
      </c>
      <c r="K73" s="7" t="s">
        <v>598</v>
      </c>
      <c r="L73" s="7" t="s">
        <v>599</v>
      </c>
    </row>
    <row r="74" ht="15.75" hidden="1" customHeight="1">
      <c r="A74" s="7" t="s">
        <v>23</v>
      </c>
      <c r="B74" s="7" t="s">
        <v>600</v>
      </c>
      <c r="C74" s="7" t="s">
        <v>601</v>
      </c>
      <c r="D74" s="7" t="s">
        <v>602</v>
      </c>
      <c r="E74" s="7" t="s">
        <v>27</v>
      </c>
      <c r="F74" s="7" t="s">
        <v>603</v>
      </c>
      <c r="G74" s="7" t="s">
        <v>604</v>
      </c>
      <c r="H74" s="9" t="s">
        <v>605</v>
      </c>
      <c r="I74" s="7" t="s">
        <v>606</v>
      </c>
      <c r="J74" s="8">
        <v>45982.0</v>
      </c>
      <c r="K74" s="7" t="s">
        <v>607</v>
      </c>
      <c r="L74" s="7" t="s">
        <v>608</v>
      </c>
    </row>
    <row r="75" ht="15.75" hidden="1" customHeight="1">
      <c r="A75" s="7" t="s">
        <v>23</v>
      </c>
      <c r="B75" s="7" t="s">
        <v>609</v>
      </c>
      <c r="C75" s="7" t="s">
        <v>610</v>
      </c>
      <c r="D75" s="7" t="s">
        <v>611</v>
      </c>
      <c r="E75" s="7" t="s">
        <v>35</v>
      </c>
      <c r="F75" s="7"/>
      <c r="G75" s="7" t="s">
        <v>612</v>
      </c>
      <c r="H75" s="9" t="s">
        <v>613</v>
      </c>
      <c r="I75" s="7" t="s">
        <v>614</v>
      </c>
      <c r="J75" s="8">
        <v>45982.0</v>
      </c>
      <c r="K75" s="7" t="s">
        <v>615</v>
      </c>
      <c r="L75" s="7" t="s">
        <v>616</v>
      </c>
    </row>
    <row r="76" ht="15.75" hidden="1" customHeight="1">
      <c r="A76" s="7" t="s">
        <v>23</v>
      </c>
      <c r="B76" s="7" t="s">
        <v>617</v>
      </c>
      <c r="C76" s="7" t="s">
        <v>618</v>
      </c>
      <c r="D76" s="7" t="s">
        <v>315</v>
      </c>
      <c r="E76" s="7" t="s">
        <v>35</v>
      </c>
      <c r="F76" s="7" t="s">
        <v>619</v>
      </c>
      <c r="G76" s="7" t="s">
        <v>620</v>
      </c>
      <c r="H76" s="9" t="s">
        <v>621</v>
      </c>
      <c r="I76" s="7" t="s">
        <v>319</v>
      </c>
      <c r="J76" s="8">
        <v>45982.0</v>
      </c>
      <c r="K76" s="7" t="s">
        <v>622</v>
      </c>
      <c r="L76" s="7" t="s">
        <v>623</v>
      </c>
    </row>
    <row r="77" ht="15.75" hidden="1" customHeight="1">
      <c r="A77" s="7" t="s">
        <v>23</v>
      </c>
      <c r="B77" s="7" t="s">
        <v>624</v>
      </c>
      <c r="C77" s="7" t="s">
        <v>625</v>
      </c>
      <c r="D77" s="7" t="s">
        <v>626</v>
      </c>
      <c r="E77" s="7" t="s">
        <v>27</v>
      </c>
      <c r="F77" s="7" t="s">
        <v>627</v>
      </c>
      <c r="G77" s="7" t="s">
        <v>628</v>
      </c>
      <c r="H77" s="9" t="s">
        <v>629</v>
      </c>
      <c r="I77" s="7" t="s">
        <v>630</v>
      </c>
      <c r="J77" s="8">
        <v>45982.0</v>
      </c>
      <c r="K77" s="7" t="s">
        <v>631</v>
      </c>
      <c r="L77" s="7" t="s">
        <v>632</v>
      </c>
    </row>
    <row r="78" ht="15.75" hidden="1" customHeight="1">
      <c r="A78" s="7" t="s">
        <v>633</v>
      </c>
      <c r="B78" s="7" t="s">
        <v>634</v>
      </c>
      <c r="C78" s="7" t="s">
        <v>635</v>
      </c>
      <c r="D78" s="7" t="s">
        <v>636</v>
      </c>
      <c r="E78" s="7" t="s">
        <v>637</v>
      </c>
      <c r="F78" s="7" t="s">
        <v>638</v>
      </c>
      <c r="G78" s="7" t="s">
        <v>639</v>
      </c>
      <c r="H78" s="9" t="s">
        <v>640</v>
      </c>
      <c r="I78" s="7" t="s">
        <v>641</v>
      </c>
      <c r="J78" s="8">
        <v>45982.0</v>
      </c>
      <c r="K78" s="7" t="s">
        <v>642</v>
      </c>
      <c r="L78" s="7" t="s">
        <v>643</v>
      </c>
    </row>
    <row r="79" ht="15.75" hidden="1" customHeight="1">
      <c r="A79" s="7" t="s">
        <v>23</v>
      </c>
      <c r="B79" s="7" t="s">
        <v>644</v>
      </c>
      <c r="C79" s="7" t="s">
        <v>645</v>
      </c>
      <c r="D79" s="7" t="s">
        <v>572</v>
      </c>
      <c r="E79" s="7" t="s">
        <v>27</v>
      </c>
      <c r="F79" s="7" t="s">
        <v>646</v>
      </c>
      <c r="G79" s="7" t="s">
        <v>647</v>
      </c>
      <c r="H79" s="9" t="s">
        <v>648</v>
      </c>
      <c r="I79" s="7" t="s">
        <v>576</v>
      </c>
      <c r="J79" s="8">
        <v>45982.0</v>
      </c>
      <c r="K79" s="7" t="s">
        <v>649</v>
      </c>
      <c r="L79" s="7" t="s">
        <v>650</v>
      </c>
    </row>
    <row r="80" ht="15.75" hidden="1" customHeight="1">
      <c r="A80" s="7" t="s">
        <v>23</v>
      </c>
      <c r="B80" s="7" t="s">
        <v>651</v>
      </c>
      <c r="C80" s="7" t="s">
        <v>652</v>
      </c>
      <c r="D80" s="7" t="s">
        <v>416</v>
      </c>
      <c r="E80" s="7" t="s">
        <v>35</v>
      </c>
      <c r="F80" s="7" t="s">
        <v>653</v>
      </c>
      <c r="G80" s="7" t="s">
        <v>654</v>
      </c>
      <c r="H80" s="9" t="s">
        <v>655</v>
      </c>
      <c r="I80" s="7" t="s">
        <v>420</v>
      </c>
      <c r="J80" s="8">
        <v>45982.0</v>
      </c>
      <c r="K80" s="7" t="s">
        <v>656</v>
      </c>
      <c r="L80" s="7" t="s">
        <v>657</v>
      </c>
    </row>
    <row r="81" ht="15.75" hidden="1" customHeight="1">
      <c r="A81" s="7" t="s">
        <v>23</v>
      </c>
      <c r="B81" s="7" t="s">
        <v>658</v>
      </c>
      <c r="C81" s="7" t="s">
        <v>659</v>
      </c>
      <c r="D81" s="7" t="s">
        <v>660</v>
      </c>
      <c r="E81" s="7" t="s">
        <v>35</v>
      </c>
      <c r="F81" s="7" t="s">
        <v>661</v>
      </c>
      <c r="G81" s="7" t="s">
        <v>662</v>
      </c>
      <c r="H81" s="9" t="s">
        <v>663</v>
      </c>
      <c r="I81" s="7" t="s">
        <v>664</v>
      </c>
      <c r="J81" s="8">
        <v>45982.0</v>
      </c>
      <c r="K81" s="7" t="s">
        <v>665</v>
      </c>
      <c r="L81" s="7" t="s">
        <v>666</v>
      </c>
    </row>
    <row r="82" ht="15.75" hidden="1" customHeight="1">
      <c r="A82" s="7" t="s">
        <v>23</v>
      </c>
      <c r="B82" s="7" t="s">
        <v>667</v>
      </c>
      <c r="C82" s="7" t="s">
        <v>668</v>
      </c>
      <c r="D82" s="7" t="s">
        <v>315</v>
      </c>
      <c r="E82" s="7" t="s">
        <v>35</v>
      </c>
      <c r="F82" s="7" t="s">
        <v>669</v>
      </c>
      <c r="G82" s="7" t="s">
        <v>670</v>
      </c>
      <c r="H82" s="9" t="s">
        <v>671</v>
      </c>
      <c r="I82" s="7" t="s">
        <v>319</v>
      </c>
      <c r="J82" s="8">
        <v>45982.0</v>
      </c>
      <c r="K82" s="7" t="s">
        <v>672</v>
      </c>
      <c r="L82" s="7" t="s">
        <v>673</v>
      </c>
    </row>
    <row r="83" ht="15.75" hidden="1" customHeight="1">
      <c r="A83" s="7" t="s">
        <v>23</v>
      </c>
      <c r="B83" s="7" t="s">
        <v>674</v>
      </c>
      <c r="C83" s="7" t="s">
        <v>675</v>
      </c>
      <c r="D83" s="7" t="s">
        <v>676</v>
      </c>
      <c r="E83" s="7" t="s">
        <v>35</v>
      </c>
      <c r="F83" s="7" t="s">
        <v>677</v>
      </c>
      <c r="G83" s="7" t="s">
        <v>678</v>
      </c>
      <c r="H83" s="9" t="s">
        <v>679</v>
      </c>
      <c r="I83" s="7" t="s">
        <v>680</v>
      </c>
      <c r="J83" s="8">
        <v>45982.0</v>
      </c>
      <c r="K83" s="7" t="s">
        <v>681</v>
      </c>
      <c r="L83" s="7" t="s">
        <v>682</v>
      </c>
    </row>
    <row r="84" ht="15.75" customHeight="1">
      <c r="A84" s="7" t="s">
        <v>23</v>
      </c>
      <c r="B84" s="7" t="s">
        <v>683</v>
      </c>
      <c r="C84" s="7" t="s">
        <v>684</v>
      </c>
      <c r="D84" s="7" t="s">
        <v>215</v>
      </c>
      <c r="E84" s="7" t="s">
        <v>497</v>
      </c>
      <c r="F84" s="7"/>
      <c r="G84" s="7" t="s">
        <v>685</v>
      </c>
      <c r="H84" s="9" t="s">
        <v>686</v>
      </c>
      <c r="I84" s="7" t="s">
        <v>219</v>
      </c>
      <c r="J84" s="8">
        <v>45982.0</v>
      </c>
      <c r="K84" s="7" t="s">
        <v>687</v>
      </c>
      <c r="L84" s="7" t="s">
        <v>688</v>
      </c>
    </row>
    <row r="85" ht="15.75" hidden="1" customHeight="1">
      <c r="A85" s="7" t="s">
        <v>23</v>
      </c>
      <c r="B85" s="7" t="s">
        <v>689</v>
      </c>
      <c r="C85" s="7" t="s">
        <v>690</v>
      </c>
      <c r="D85" s="7" t="s">
        <v>691</v>
      </c>
      <c r="E85" s="7" t="s">
        <v>27</v>
      </c>
      <c r="F85" s="7" t="s">
        <v>692</v>
      </c>
      <c r="G85" s="7" t="s">
        <v>693</v>
      </c>
      <c r="H85" s="9" t="s">
        <v>694</v>
      </c>
      <c r="I85" s="7" t="s">
        <v>695</v>
      </c>
      <c r="J85" s="8">
        <v>45982.0</v>
      </c>
      <c r="K85" s="7" t="s">
        <v>696</v>
      </c>
      <c r="L85" s="7" t="s">
        <v>697</v>
      </c>
    </row>
    <row r="86" ht="15.75" hidden="1" customHeight="1">
      <c r="A86" s="7" t="s">
        <v>23</v>
      </c>
      <c r="B86" s="7" t="s">
        <v>698</v>
      </c>
      <c r="C86" s="7" t="s">
        <v>699</v>
      </c>
      <c r="D86" s="7" t="s">
        <v>700</v>
      </c>
      <c r="E86" s="7" t="s">
        <v>35</v>
      </c>
      <c r="F86" s="7" t="s">
        <v>701</v>
      </c>
      <c r="G86" s="7" t="s">
        <v>702</v>
      </c>
      <c r="H86" s="9" t="s">
        <v>703</v>
      </c>
      <c r="I86" s="7" t="s">
        <v>704</v>
      </c>
      <c r="J86" s="8">
        <v>45982.0</v>
      </c>
      <c r="K86" s="7" t="s">
        <v>705</v>
      </c>
      <c r="L86" s="7" t="s">
        <v>706</v>
      </c>
    </row>
    <row r="87" ht="15.75" hidden="1" customHeight="1">
      <c r="A87" s="7" t="s">
        <v>23</v>
      </c>
      <c r="B87" s="7" t="s">
        <v>707</v>
      </c>
      <c r="C87" s="7" t="s">
        <v>708</v>
      </c>
      <c r="D87" s="7" t="s">
        <v>283</v>
      </c>
      <c r="E87" s="7" t="s">
        <v>35</v>
      </c>
      <c r="F87" s="7" t="s">
        <v>709</v>
      </c>
      <c r="G87" s="7" t="s">
        <v>710</v>
      </c>
      <c r="H87" s="9" t="s">
        <v>711</v>
      </c>
      <c r="I87" s="7" t="s">
        <v>287</v>
      </c>
      <c r="J87" s="8">
        <v>45982.0</v>
      </c>
      <c r="K87" s="7" t="s">
        <v>712</v>
      </c>
      <c r="L87" s="7" t="s">
        <v>713</v>
      </c>
    </row>
    <row r="88" ht="15.75" hidden="1" customHeight="1">
      <c r="A88" s="7" t="s">
        <v>23</v>
      </c>
      <c r="B88" s="7" t="s">
        <v>714</v>
      </c>
      <c r="C88" s="7" t="s">
        <v>715</v>
      </c>
      <c r="D88" s="7" t="s">
        <v>716</v>
      </c>
      <c r="E88" s="7" t="s">
        <v>35</v>
      </c>
      <c r="F88" s="7" t="s">
        <v>717</v>
      </c>
      <c r="G88" s="7" t="s">
        <v>718</v>
      </c>
      <c r="H88" s="9" t="s">
        <v>719</v>
      </c>
      <c r="I88" s="7" t="s">
        <v>720</v>
      </c>
      <c r="J88" s="8">
        <v>45982.0</v>
      </c>
      <c r="K88" s="7" t="s">
        <v>721</v>
      </c>
      <c r="L88" s="7" t="s">
        <v>722</v>
      </c>
    </row>
    <row r="89" ht="15.75" hidden="1" customHeight="1">
      <c r="A89" s="7" t="s">
        <v>23</v>
      </c>
      <c r="B89" s="7" t="s">
        <v>723</v>
      </c>
      <c r="C89" s="7" t="s">
        <v>724</v>
      </c>
      <c r="D89" s="7" t="s">
        <v>34</v>
      </c>
      <c r="E89" s="7" t="s">
        <v>35</v>
      </c>
      <c r="F89" s="7" t="s">
        <v>725</v>
      </c>
      <c r="G89" s="7" t="s">
        <v>726</v>
      </c>
      <c r="H89" s="9" t="s">
        <v>727</v>
      </c>
      <c r="I89" s="7" t="s">
        <v>39</v>
      </c>
      <c r="J89" s="8">
        <v>45982.0</v>
      </c>
      <c r="K89" s="7" t="s">
        <v>728</v>
      </c>
      <c r="L89" s="7" t="s">
        <v>729</v>
      </c>
    </row>
    <row r="90" ht="15.75" hidden="1" customHeight="1">
      <c r="A90" s="7" t="s">
        <v>23</v>
      </c>
      <c r="B90" s="7" t="s">
        <v>730</v>
      </c>
      <c r="C90" s="7" t="s">
        <v>731</v>
      </c>
      <c r="D90" s="7" t="s">
        <v>315</v>
      </c>
      <c r="E90" s="7" t="s">
        <v>35</v>
      </c>
      <c r="F90" s="7" t="s">
        <v>732</v>
      </c>
      <c r="G90" s="7" t="s">
        <v>733</v>
      </c>
      <c r="H90" s="9" t="s">
        <v>734</v>
      </c>
      <c r="I90" s="7" t="s">
        <v>319</v>
      </c>
      <c r="J90" s="8">
        <v>45982.0</v>
      </c>
      <c r="K90" s="7" t="s">
        <v>735</v>
      </c>
      <c r="L90" s="7" t="s">
        <v>736</v>
      </c>
    </row>
    <row r="91" ht="15.75" hidden="1" customHeight="1">
      <c r="A91" s="7" t="s">
        <v>23</v>
      </c>
      <c r="B91" s="7" t="s">
        <v>737</v>
      </c>
      <c r="C91" s="7" t="s">
        <v>738</v>
      </c>
      <c r="D91" s="7" t="s">
        <v>739</v>
      </c>
      <c r="E91" s="7" t="s">
        <v>27</v>
      </c>
      <c r="F91" s="7" t="s">
        <v>740</v>
      </c>
      <c r="G91" s="7" t="s">
        <v>741</v>
      </c>
      <c r="H91" s="9" t="s">
        <v>742</v>
      </c>
      <c r="I91" s="7" t="s">
        <v>508</v>
      </c>
      <c r="J91" s="8">
        <v>45982.0</v>
      </c>
      <c r="K91" s="7" t="s">
        <v>743</v>
      </c>
      <c r="L91" s="7" t="s">
        <v>744</v>
      </c>
    </row>
    <row r="92" ht="15.75" hidden="1" customHeight="1">
      <c r="A92" s="7" t="s">
        <v>23</v>
      </c>
      <c r="B92" s="7" t="s">
        <v>745</v>
      </c>
      <c r="C92" s="7" t="s">
        <v>746</v>
      </c>
      <c r="D92" s="7" t="s">
        <v>747</v>
      </c>
      <c r="E92" s="7" t="s">
        <v>35</v>
      </c>
      <c r="F92" s="7" t="s">
        <v>748</v>
      </c>
      <c r="G92" s="7" t="s">
        <v>749</v>
      </c>
      <c r="H92" s="9" t="s">
        <v>750</v>
      </c>
      <c r="I92" s="7" t="s">
        <v>751</v>
      </c>
      <c r="J92" s="8">
        <v>45982.0</v>
      </c>
      <c r="K92" s="7" t="s">
        <v>752</v>
      </c>
      <c r="L92" s="7" t="s">
        <v>753</v>
      </c>
    </row>
    <row r="93" ht="15.75" hidden="1" customHeight="1">
      <c r="A93" s="7" t="s">
        <v>23</v>
      </c>
      <c r="B93" s="7" t="s">
        <v>754</v>
      </c>
      <c r="C93" s="7" t="s">
        <v>755</v>
      </c>
      <c r="D93" s="7" t="s">
        <v>34</v>
      </c>
      <c r="E93" s="7" t="s">
        <v>35</v>
      </c>
      <c r="F93" s="7" t="s">
        <v>756</v>
      </c>
      <c r="G93" s="7" t="s">
        <v>757</v>
      </c>
      <c r="H93" s="9" t="s">
        <v>758</v>
      </c>
      <c r="I93" s="7" t="s">
        <v>39</v>
      </c>
      <c r="J93" s="8">
        <v>45982.0</v>
      </c>
      <c r="K93" s="7" t="s">
        <v>759</v>
      </c>
      <c r="L93" s="7" t="s">
        <v>760</v>
      </c>
    </row>
    <row r="94" ht="15.75" hidden="1" customHeight="1">
      <c r="A94" s="7" t="s">
        <v>23</v>
      </c>
      <c r="B94" s="7" t="s">
        <v>761</v>
      </c>
      <c r="C94" s="7" t="s">
        <v>762</v>
      </c>
      <c r="D94" s="7" t="s">
        <v>763</v>
      </c>
      <c r="E94" s="7" t="s">
        <v>35</v>
      </c>
      <c r="F94" s="7" t="s">
        <v>764</v>
      </c>
      <c r="G94" s="7" t="s">
        <v>765</v>
      </c>
      <c r="H94" s="9" t="s">
        <v>766</v>
      </c>
      <c r="I94" s="7" t="s">
        <v>56</v>
      </c>
      <c r="J94" s="8">
        <v>45982.0</v>
      </c>
      <c r="K94" s="7" t="s">
        <v>767</v>
      </c>
      <c r="L94" s="7" t="s">
        <v>768</v>
      </c>
    </row>
    <row r="95" ht="15.75" hidden="1" customHeight="1">
      <c r="A95" s="7" t="s">
        <v>23</v>
      </c>
      <c r="B95" s="7" t="s">
        <v>769</v>
      </c>
      <c r="C95" s="7" t="s">
        <v>770</v>
      </c>
      <c r="D95" s="7" t="s">
        <v>771</v>
      </c>
      <c r="E95" s="7" t="s">
        <v>27</v>
      </c>
      <c r="F95" s="7" t="s">
        <v>772</v>
      </c>
      <c r="G95" s="7" t="s">
        <v>773</v>
      </c>
      <c r="H95" s="9" t="s">
        <v>774</v>
      </c>
      <c r="I95" s="7" t="s">
        <v>252</v>
      </c>
      <c r="J95" s="8">
        <v>45982.0</v>
      </c>
      <c r="K95" s="7" t="s">
        <v>775</v>
      </c>
      <c r="L95" s="7" t="s">
        <v>776</v>
      </c>
    </row>
    <row r="96" ht="15.75" hidden="1" customHeight="1">
      <c r="A96" s="7" t="s">
        <v>633</v>
      </c>
      <c r="B96" s="7" t="s">
        <v>777</v>
      </c>
      <c r="C96" s="7" t="s">
        <v>778</v>
      </c>
      <c r="D96" s="7" t="s">
        <v>779</v>
      </c>
      <c r="E96" s="7" t="s">
        <v>637</v>
      </c>
      <c r="F96" s="7" t="s">
        <v>780</v>
      </c>
      <c r="G96" s="7" t="s">
        <v>781</v>
      </c>
      <c r="H96" s="9" t="s">
        <v>782</v>
      </c>
      <c r="I96" s="7" t="s">
        <v>783</v>
      </c>
      <c r="J96" s="8">
        <v>45982.0</v>
      </c>
      <c r="K96" s="7" t="s">
        <v>784</v>
      </c>
      <c r="L96" s="7" t="s">
        <v>785</v>
      </c>
    </row>
    <row r="97" ht="15.75" hidden="1" customHeight="1">
      <c r="A97" s="7" t="s">
        <v>23</v>
      </c>
      <c r="B97" s="7" t="s">
        <v>786</v>
      </c>
      <c r="C97" s="7" t="s">
        <v>787</v>
      </c>
      <c r="D97" s="7" t="s">
        <v>362</v>
      </c>
      <c r="E97" s="7" t="s">
        <v>35</v>
      </c>
      <c r="F97" s="7" t="s">
        <v>788</v>
      </c>
      <c r="G97" s="7" t="s">
        <v>789</v>
      </c>
      <c r="H97" s="9" t="s">
        <v>790</v>
      </c>
      <c r="I97" s="7" t="s">
        <v>39</v>
      </c>
      <c r="J97" s="8">
        <v>45982.0</v>
      </c>
      <c r="K97" s="7" t="s">
        <v>791</v>
      </c>
      <c r="L97" s="7" t="s">
        <v>792</v>
      </c>
    </row>
    <row r="98" ht="15.75" hidden="1" customHeight="1">
      <c r="A98" s="7" t="s">
        <v>23</v>
      </c>
      <c r="B98" s="7" t="s">
        <v>793</v>
      </c>
      <c r="C98" s="7" t="s">
        <v>794</v>
      </c>
      <c r="D98" s="7" t="s">
        <v>795</v>
      </c>
      <c r="E98" s="7" t="s">
        <v>35</v>
      </c>
      <c r="F98" s="7" t="s">
        <v>796</v>
      </c>
      <c r="G98" s="7" t="s">
        <v>797</v>
      </c>
      <c r="H98" s="9" t="s">
        <v>798</v>
      </c>
      <c r="I98" s="7" t="s">
        <v>185</v>
      </c>
      <c r="J98" s="8">
        <v>45982.0</v>
      </c>
      <c r="K98" s="7" t="s">
        <v>799</v>
      </c>
      <c r="L98" s="7" t="s">
        <v>800</v>
      </c>
    </row>
    <row r="99" ht="15.75" hidden="1" customHeight="1">
      <c r="A99" s="7" t="s">
        <v>23</v>
      </c>
      <c r="B99" s="7" t="s">
        <v>801</v>
      </c>
      <c r="C99" s="7" t="s">
        <v>802</v>
      </c>
      <c r="D99" s="7" t="s">
        <v>61</v>
      </c>
      <c r="E99" s="7" t="s">
        <v>27</v>
      </c>
      <c r="F99" s="7" t="s">
        <v>803</v>
      </c>
      <c r="G99" s="7" t="s">
        <v>804</v>
      </c>
      <c r="H99" s="9" t="s">
        <v>805</v>
      </c>
      <c r="I99" s="7" t="s">
        <v>65</v>
      </c>
      <c r="J99" s="8">
        <v>45982.0</v>
      </c>
      <c r="K99" s="7" t="s">
        <v>806</v>
      </c>
      <c r="L99" s="7" t="s">
        <v>807</v>
      </c>
    </row>
    <row r="100" ht="15.75" hidden="1" customHeight="1">
      <c r="A100" s="7" t="s">
        <v>23</v>
      </c>
      <c r="B100" s="7" t="s">
        <v>808</v>
      </c>
      <c r="C100" s="7" t="s">
        <v>809</v>
      </c>
      <c r="D100" s="7" t="s">
        <v>810</v>
      </c>
      <c r="E100" s="7" t="s">
        <v>27</v>
      </c>
      <c r="F100" s="7" t="s">
        <v>811</v>
      </c>
      <c r="G100" s="7" t="s">
        <v>812</v>
      </c>
      <c r="H100" s="9" t="s">
        <v>813</v>
      </c>
      <c r="I100" s="7" t="s">
        <v>814</v>
      </c>
      <c r="J100" s="8">
        <v>45982.0</v>
      </c>
      <c r="K100" s="7" t="s">
        <v>815</v>
      </c>
      <c r="L100" s="7" t="s">
        <v>816</v>
      </c>
    </row>
    <row r="101" ht="15.75" hidden="1" customHeight="1">
      <c r="A101" s="7" t="s">
        <v>23</v>
      </c>
      <c r="B101" s="7" t="s">
        <v>817</v>
      </c>
      <c r="C101" s="7" t="s">
        <v>818</v>
      </c>
      <c r="D101" s="7" t="s">
        <v>34</v>
      </c>
      <c r="E101" s="7" t="s">
        <v>35</v>
      </c>
      <c r="F101" s="7" t="s">
        <v>819</v>
      </c>
      <c r="G101" s="7" t="s">
        <v>820</v>
      </c>
      <c r="H101" s="9" t="s">
        <v>821</v>
      </c>
      <c r="I101" s="7" t="s">
        <v>39</v>
      </c>
      <c r="J101" s="8">
        <v>45982.0</v>
      </c>
      <c r="K101" s="7" t="s">
        <v>822</v>
      </c>
      <c r="L101" s="7" t="s">
        <v>823</v>
      </c>
    </row>
    <row r="102" ht="15.75" hidden="1" customHeight="1">
      <c r="A102" s="7" t="s">
        <v>23</v>
      </c>
      <c r="B102" s="7" t="s">
        <v>824</v>
      </c>
      <c r="C102" s="7" t="s">
        <v>825</v>
      </c>
      <c r="D102" s="7" t="s">
        <v>324</v>
      </c>
      <c r="E102" s="7" t="s">
        <v>35</v>
      </c>
      <c r="F102" s="7" t="s">
        <v>826</v>
      </c>
      <c r="G102" s="7" t="s">
        <v>827</v>
      </c>
      <c r="H102" s="9" t="s">
        <v>828</v>
      </c>
      <c r="I102" s="7" t="s">
        <v>39</v>
      </c>
      <c r="J102" s="8">
        <v>45982.0</v>
      </c>
      <c r="K102" s="7" t="s">
        <v>829</v>
      </c>
      <c r="L102" s="7" t="s">
        <v>830</v>
      </c>
    </row>
    <row r="103" ht="15.75" hidden="1" customHeight="1">
      <c r="A103" s="7" t="s">
        <v>23</v>
      </c>
      <c r="B103" s="7" t="s">
        <v>831</v>
      </c>
      <c r="C103" s="7" t="s">
        <v>832</v>
      </c>
      <c r="D103" s="7" t="s">
        <v>833</v>
      </c>
      <c r="E103" s="7" t="s">
        <v>35</v>
      </c>
      <c r="F103" s="7" t="s">
        <v>834</v>
      </c>
      <c r="G103" s="7" t="s">
        <v>835</v>
      </c>
      <c r="H103" s="9" t="s">
        <v>836</v>
      </c>
      <c r="I103" s="7" t="s">
        <v>837</v>
      </c>
      <c r="J103" s="8">
        <v>45982.0</v>
      </c>
      <c r="K103" s="7" t="s">
        <v>838</v>
      </c>
      <c r="L103" s="7" t="s">
        <v>839</v>
      </c>
    </row>
    <row r="104" ht="15.75" hidden="1" customHeight="1">
      <c r="A104" s="7" t="s">
        <v>23</v>
      </c>
      <c r="B104" s="7" t="s">
        <v>840</v>
      </c>
      <c r="C104" s="7" t="s">
        <v>841</v>
      </c>
      <c r="D104" s="7" t="s">
        <v>34</v>
      </c>
      <c r="E104" s="7" t="s">
        <v>35</v>
      </c>
      <c r="F104" s="7" t="s">
        <v>842</v>
      </c>
      <c r="G104" s="7" t="s">
        <v>843</v>
      </c>
      <c r="H104" s="9" t="s">
        <v>844</v>
      </c>
      <c r="I104" s="7" t="s">
        <v>39</v>
      </c>
      <c r="J104" s="8">
        <v>45982.0</v>
      </c>
      <c r="K104" s="7" t="s">
        <v>845</v>
      </c>
      <c r="L104" s="7" t="s">
        <v>846</v>
      </c>
    </row>
    <row r="105" ht="15.75" hidden="1" customHeight="1">
      <c r="A105" s="7" t="s">
        <v>23</v>
      </c>
      <c r="B105" s="7" t="s">
        <v>847</v>
      </c>
      <c r="C105" s="7" t="s">
        <v>848</v>
      </c>
      <c r="D105" s="7" t="s">
        <v>849</v>
      </c>
      <c r="E105" s="7" t="s">
        <v>35</v>
      </c>
      <c r="F105" s="7" t="s">
        <v>850</v>
      </c>
      <c r="G105" s="7" t="s">
        <v>851</v>
      </c>
      <c r="H105" s="9" t="s">
        <v>852</v>
      </c>
      <c r="I105" s="7" t="s">
        <v>219</v>
      </c>
      <c r="J105" s="8">
        <v>45982.0</v>
      </c>
      <c r="K105" s="7" t="s">
        <v>853</v>
      </c>
      <c r="L105" s="7" t="s">
        <v>854</v>
      </c>
    </row>
    <row r="106" ht="15.75" hidden="1" customHeight="1">
      <c r="A106" s="7" t="s">
        <v>23</v>
      </c>
      <c r="B106" s="7" t="s">
        <v>855</v>
      </c>
      <c r="C106" s="7" t="s">
        <v>856</v>
      </c>
      <c r="D106" s="7" t="s">
        <v>324</v>
      </c>
      <c r="E106" s="7" t="s">
        <v>27</v>
      </c>
      <c r="F106" s="7" t="s">
        <v>857</v>
      </c>
      <c r="G106" s="7" t="s">
        <v>858</v>
      </c>
      <c r="H106" s="9" t="s">
        <v>859</v>
      </c>
      <c r="I106" s="7" t="s">
        <v>39</v>
      </c>
      <c r="J106" s="8">
        <v>45982.0</v>
      </c>
      <c r="K106" s="7" t="s">
        <v>860</v>
      </c>
      <c r="L106" s="7" t="s">
        <v>861</v>
      </c>
    </row>
    <row r="107" ht="15.75" hidden="1" customHeight="1">
      <c r="A107" s="7" t="s">
        <v>23</v>
      </c>
      <c r="B107" s="7" t="s">
        <v>862</v>
      </c>
      <c r="C107" s="7" t="s">
        <v>863</v>
      </c>
      <c r="D107" s="7" t="s">
        <v>324</v>
      </c>
      <c r="E107" s="7" t="s">
        <v>27</v>
      </c>
      <c r="F107" s="7" t="s">
        <v>864</v>
      </c>
      <c r="G107" s="7" t="s">
        <v>865</v>
      </c>
      <c r="H107" s="9" t="s">
        <v>866</v>
      </c>
      <c r="I107" s="7" t="s">
        <v>39</v>
      </c>
      <c r="J107" s="8">
        <v>45982.0</v>
      </c>
      <c r="K107" s="7" t="s">
        <v>867</v>
      </c>
      <c r="L107" s="7" t="s">
        <v>868</v>
      </c>
    </row>
    <row r="108" ht="15.75" hidden="1" customHeight="1">
      <c r="A108" s="7" t="s">
        <v>23</v>
      </c>
      <c r="B108" s="7" t="s">
        <v>869</v>
      </c>
      <c r="C108" s="7" t="s">
        <v>870</v>
      </c>
      <c r="D108" s="7" t="s">
        <v>871</v>
      </c>
      <c r="E108" s="7" t="s">
        <v>35</v>
      </c>
      <c r="F108" s="7" t="s">
        <v>872</v>
      </c>
      <c r="G108" s="7" t="s">
        <v>873</v>
      </c>
      <c r="H108" s="9" t="s">
        <v>874</v>
      </c>
      <c r="I108" s="7" t="s">
        <v>875</v>
      </c>
      <c r="J108" s="8">
        <v>45982.0</v>
      </c>
      <c r="K108" s="7" t="s">
        <v>876</v>
      </c>
      <c r="L108" s="7" t="s">
        <v>877</v>
      </c>
    </row>
    <row r="109" ht="15.75" hidden="1" customHeight="1">
      <c r="A109" s="7" t="s">
        <v>23</v>
      </c>
      <c r="B109" s="7" t="s">
        <v>878</v>
      </c>
      <c r="C109" s="7" t="s">
        <v>879</v>
      </c>
      <c r="D109" s="7" t="s">
        <v>324</v>
      </c>
      <c r="E109" s="7" t="s">
        <v>35</v>
      </c>
      <c r="F109" s="7" t="s">
        <v>880</v>
      </c>
      <c r="G109" s="7" t="s">
        <v>881</v>
      </c>
      <c r="H109" s="9" t="s">
        <v>882</v>
      </c>
      <c r="I109" s="7" t="s">
        <v>39</v>
      </c>
      <c r="J109" s="8">
        <v>45982.0</v>
      </c>
      <c r="K109" s="7" t="s">
        <v>883</v>
      </c>
      <c r="L109" s="7" t="s">
        <v>884</v>
      </c>
    </row>
    <row r="110" ht="15.75" hidden="1" customHeight="1">
      <c r="A110" s="7" t="s">
        <v>23</v>
      </c>
      <c r="B110" s="7" t="s">
        <v>885</v>
      </c>
      <c r="C110" s="7" t="s">
        <v>886</v>
      </c>
      <c r="D110" s="7" t="s">
        <v>763</v>
      </c>
      <c r="E110" s="7" t="s">
        <v>35</v>
      </c>
      <c r="F110" s="7" t="s">
        <v>887</v>
      </c>
      <c r="G110" s="7" t="s">
        <v>888</v>
      </c>
      <c r="H110" s="9" t="s">
        <v>889</v>
      </c>
      <c r="I110" s="7" t="s">
        <v>56</v>
      </c>
      <c r="J110" s="8">
        <v>45982.0</v>
      </c>
      <c r="K110" s="7" t="s">
        <v>890</v>
      </c>
      <c r="L110" s="7" t="s">
        <v>891</v>
      </c>
    </row>
    <row r="111" ht="15.75" hidden="1" customHeight="1">
      <c r="A111" s="7" t="s">
        <v>23</v>
      </c>
      <c r="B111" s="7" t="s">
        <v>892</v>
      </c>
      <c r="C111" s="7" t="s">
        <v>893</v>
      </c>
      <c r="D111" s="7" t="s">
        <v>691</v>
      </c>
      <c r="E111" s="7" t="s">
        <v>27</v>
      </c>
      <c r="F111" s="7" t="s">
        <v>894</v>
      </c>
      <c r="G111" s="7" t="s">
        <v>895</v>
      </c>
      <c r="H111" s="9" t="s">
        <v>896</v>
      </c>
      <c r="I111" s="7" t="s">
        <v>695</v>
      </c>
      <c r="J111" s="8">
        <v>45982.0</v>
      </c>
      <c r="K111" s="7" t="s">
        <v>897</v>
      </c>
      <c r="L111" s="7" t="s">
        <v>898</v>
      </c>
    </row>
    <row r="112" ht="15.75" hidden="1" customHeight="1">
      <c r="A112" s="7" t="s">
        <v>23</v>
      </c>
      <c r="B112" s="7" t="s">
        <v>899</v>
      </c>
      <c r="C112" s="7" t="s">
        <v>900</v>
      </c>
      <c r="D112" s="7" t="s">
        <v>901</v>
      </c>
      <c r="E112" s="7" t="s">
        <v>27</v>
      </c>
      <c r="F112" s="7" t="s">
        <v>902</v>
      </c>
      <c r="G112" s="7" t="s">
        <v>903</v>
      </c>
      <c r="H112" s="9" t="s">
        <v>904</v>
      </c>
      <c r="I112" s="7" t="s">
        <v>508</v>
      </c>
      <c r="J112" s="8">
        <v>45982.0</v>
      </c>
      <c r="K112" s="7" t="s">
        <v>905</v>
      </c>
      <c r="L112" s="7" t="s">
        <v>906</v>
      </c>
    </row>
    <row r="113" ht="15.75" hidden="1" customHeight="1">
      <c r="A113" s="7" t="s">
        <v>23</v>
      </c>
      <c r="B113" s="7" t="s">
        <v>907</v>
      </c>
      <c r="C113" s="7" t="s">
        <v>908</v>
      </c>
      <c r="D113" s="7" t="s">
        <v>763</v>
      </c>
      <c r="E113" s="7" t="s">
        <v>27</v>
      </c>
      <c r="F113" s="7" t="s">
        <v>909</v>
      </c>
      <c r="G113" s="7" t="s">
        <v>910</v>
      </c>
      <c r="H113" s="9" t="s">
        <v>911</v>
      </c>
      <c r="I113" s="7" t="s">
        <v>56</v>
      </c>
      <c r="J113" s="8">
        <v>45982.0</v>
      </c>
      <c r="K113" s="7" t="s">
        <v>912</v>
      </c>
      <c r="L113" s="7" t="s">
        <v>913</v>
      </c>
    </row>
    <row r="114" ht="15.75" hidden="1" customHeight="1">
      <c r="A114" s="7" t="s">
        <v>23</v>
      </c>
      <c r="B114" s="7" t="s">
        <v>914</v>
      </c>
      <c r="C114" s="7" t="s">
        <v>915</v>
      </c>
      <c r="D114" s="7" t="s">
        <v>324</v>
      </c>
      <c r="E114" s="7" t="s">
        <v>35</v>
      </c>
      <c r="F114" s="7" t="s">
        <v>916</v>
      </c>
      <c r="G114" s="7" t="s">
        <v>917</v>
      </c>
      <c r="H114" s="9" t="s">
        <v>918</v>
      </c>
      <c r="I114" s="7" t="s">
        <v>39</v>
      </c>
      <c r="J114" s="8">
        <v>45982.0</v>
      </c>
      <c r="K114" s="7" t="s">
        <v>919</v>
      </c>
      <c r="L114" s="7" t="s">
        <v>920</v>
      </c>
    </row>
    <row r="115" ht="15.75" hidden="1" customHeight="1">
      <c r="A115" s="7" t="s">
        <v>23</v>
      </c>
      <c r="B115" s="7" t="s">
        <v>921</v>
      </c>
      <c r="C115" s="7" t="s">
        <v>922</v>
      </c>
      <c r="D115" s="7" t="s">
        <v>923</v>
      </c>
      <c r="E115" s="7" t="s">
        <v>637</v>
      </c>
      <c r="F115" s="7" t="s">
        <v>924</v>
      </c>
      <c r="G115" s="7" t="s">
        <v>925</v>
      </c>
      <c r="H115" s="9" t="s">
        <v>926</v>
      </c>
      <c r="I115" s="7" t="s">
        <v>641</v>
      </c>
      <c r="J115" s="8">
        <v>45982.0</v>
      </c>
      <c r="K115" s="7" t="s">
        <v>927</v>
      </c>
      <c r="L115" s="7" t="s">
        <v>928</v>
      </c>
    </row>
    <row r="116" ht="15.75" hidden="1" customHeight="1">
      <c r="A116" s="7" t="s">
        <v>633</v>
      </c>
      <c r="B116" s="7" t="s">
        <v>929</v>
      </c>
      <c r="C116" s="7" t="s">
        <v>930</v>
      </c>
      <c r="D116" s="7" t="s">
        <v>931</v>
      </c>
      <c r="E116" s="7" t="s">
        <v>637</v>
      </c>
      <c r="F116" s="7" t="s">
        <v>932</v>
      </c>
      <c r="G116" s="7" t="s">
        <v>933</v>
      </c>
      <c r="H116" s="9" t="s">
        <v>934</v>
      </c>
      <c r="I116" s="7" t="s">
        <v>783</v>
      </c>
      <c r="J116" s="8">
        <v>45982.0</v>
      </c>
      <c r="K116" s="7" t="s">
        <v>935</v>
      </c>
      <c r="L116" s="7" t="s">
        <v>936</v>
      </c>
    </row>
    <row r="117" ht="15.75" hidden="1" customHeight="1">
      <c r="A117" s="7" t="s">
        <v>23</v>
      </c>
      <c r="B117" s="7" t="s">
        <v>937</v>
      </c>
      <c r="C117" s="7" t="s">
        <v>938</v>
      </c>
      <c r="D117" s="7" t="s">
        <v>275</v>
      </c>
      <c r="E117" s="7" t="s">
        <v>35</v>
      </c>
      <c r="F117" s="7" t="s">
        <v>939</v>
      </c>
      <c r="G117" s="7" t="s">
        <v>940</v>
      </c>
      <c r="H117" s="9" t="s">
        <v>941</v>
      </c>
      <c r="I117" s="7" t="s">
        <v>39</v>
      </c>
      <c r="J117" s="8">
        <v>45982.0</v>
      </c>
      <c r="K117" s="7" t="s">
        <v>942</v>
      </c>
      <c r="L117" s="7" t="s">
        <v>943</v>
      </c>
    </row>
    <row r="118" ht="15.75" hidden="1" customHeight="1">
      <c r="A118" s="7" t="s">
        <v>23</v>
      </c>
      <c r="B118" s="7" t="s">
        <v>944</v>
      </c>
      <c r="C118" s="7" t="s">
        <v>945</v>
      </c>
      <c r="D118" s="7" t="s">
        <v>946</v>
      </c>
      <c r="E118" s="7" t="s">
        <v>35</v>
      </c>
      <c r="F118" s="7" t="s">
        <v>947</v>
      </c>
      <c r="G118" s="7" t="s">
        <v>948</v>
      </c>
      <c r="H118" s="9" t="s">
        <v>949</v>
      </c>
      <c r="I118" s="7" t="s">
        <v>950</v>
      </c>
      <c r="J118" s="8">
        <v>45982.0</v>
      </c>
      <c r="K118" s="7" t="s">
        <v>951</v>
      </c>
      <c r="L118" s="7" t="s">
        <v>952</v>
      </c>
    </row>
    <row r="119" ht="15.75" hidden="1" customHeight="1">
      <c r="A119" s="7" t="s">
        <v>23</v>
      </c>
      <c r="B119" s="7" t="s">
        <v>953</v>
      </c>
      <c r="C119" s="7" t="s">
        <v>954</v>
      </c>
      <c r="D119" s="7" t="s">
        <v>165</v>
      </c>
      <c r="E119" s="7" t="s">
        <v>27</v>
      </c>
      <c r="F119" s="7" t="s">
        <v>955</v>
      </c>
      <c r="G119" s="7" t="s">
        <v>956</v>
      </c>
      <c r="H119" s="9" t="s">
        <v>957</v>
      </c>
      <c r="I119" s="7" t="s">
        <v>169</v>
      </c>
      <c r="J119" s="8">
        <v>45982.0</v>
      </c>
      <c r="K119" s="7" t="s">
        <v>958</v>
      </c>
      <c r="L119" s="7" t="s">
        <v>959</v>
      </c>
    </row>
    <row r="120" ht="15.75" hidden="1" customHeight="1">
      <c r="A120" s="7" t="s">
        <v>23</v>
      </c>
      <c r="B120" s="7" t="s">
        <v>960</v>
      </c>
      <c r="C120" s="7" t="s">
        <v>961</v>
      </c>
      <c r="D120" s="7" t="s">
        <v>324</v>
      </c>
      <c r="E120" s="7" t="s">
        <v>35</v>
      </c>
      <c r="F120" s="7" t="s">
        <v>962</v>
      </c>
      <c r="G120" s="7" t="s">
        <v>963</v>
      </c>
      <c r="H120" s="9" t="s">
        <v>964</v>
      </c>
      <c r="I120" s="7" t="s">
        <v>39</v>
      </c>
      <c r="J120" s="8">
        <v>45982.0</v>
      </c>
      <c r="K120" s="7" t="s">
        <v>965</v>
      </c>
      <c r="L120" s="7" t="s">
        <v>966</v>
      </c>
    </row>
    <row r="121" ht="15.75" hidden="1" customHeight="1">
      <c r="A121" s="7" t="s">
        <v>23</v>
      </c>
      <c r="B121" s="7" t="s">
        <v>967</v>
      </c>
      <c r="C121" s="7" t="s">
        <v>968</v>
      </c>
      <c r="D121" s="7" t="s">
        <v>457</v>
      </c>
      <c r="E121" s="7" t="s">
        <v>35</v>
      </c>
      <c r="F121" s="7" t="s">
        <v>969</v>
      </c>
      <c r="G121" s="7" t="s">
        <v>970</v>
      </c>
      <c r="H121" s="9" t="s">
        <v>971</v>
      </c>
      <c r="I121" s="7" t="s">
        <v>185</v>
      </c>
      <c r="J121" s="8">
        <v>45982.0</v>
      </c>
      <c r="K121" s="7" t="s">
        <v>972</v>
      </c>
      <c r="L121" s="7" t="s">
        <v>973</v>
      </c>
    </row>
    <row r="122" ht="15.75" hidden="1" customHeight="1">
      <c r="A122" s="7" t="s">
        <v>23</v>
      </c>
      <c r="B122" s="7" t="s">
        <v>974</v>
      </c>
      <c r="C122" s="7" t="s">
        <v>975</v>
      </c>
      <c r="D122" s="7" t="s">
        <v>691</v>
      </c>
      <c r="E122" s="7" t="s">
        <v>27</v>
      </c>
      <c r="F122" s="7" t="s">
        <v>976</v>
      </c>
      <c r="G122" s="7" t="s">
        <v>977</v>
      </c>
      <c r="H122" s="9" t="s">
        <v>978</v>
      </c>
      <c r="I122" s="7" t="s">
        <v>695</v>
      </c>
      <c r="J122" s="8">
        <v>45982.0</v>
      </c>
      <c r="K122" s="7" t="s">
        <v>979</v>
      </c>
      <c r="L122" s="7" t="s">
        <v>980</v>
      </c>
    </row>
    <row r="123" ht="15.75" hidden="1" customHeight="1">
      <c r="A123" s="7" t="s">
        <v>23</v>
      </c>
      <c r="B123" s="7" t="s">
        <v>981</v>
      </c>
      <c r="C123" s="7" t="s">
        <v>982</v>
      </c>
      <c r="D123" s="7" t="s">
        <v>923</v>
      </c>
      <c r="E123" s="7" t="s">
        <v>637</v>
      </c>
      <c r="F123" s="7" t="s">
        <v>983</v>
      </c>
      <c r="G123" s="7" t="s">
        <v>984</v>
      </c>
      <c r="H123" s="9" t="s">
        <v>985</v>
      </c>
      <c r="I123" s="7" t="s">
        <v>641</v>
      </c>
      <c r="J123" s="8">
        <v>45982.0</v>
      </c>
      <c r="K123" s="7" t="s">
        <v>986</v>
      </c>
      <c r="L123" s="7" t="s">
        <v>987</v>
      </c>
    </row>
    <row r="124" ht="15.75" hidden="1" customHeight="1">
      <c r="A124" s="7" t="s">
        <v>23</v>
      </c>
      <c r="B124" s="7" t="s">
        <v>988</v>
      </c>
      <c r="C124" s="7" t="s">
        <v>989</v>
      </c>
      <c r="D124" s="7" t="s">
        <v>990</v>
      </c>
      <c r="E124" s="7" t="s">
        <v>35</v>
      </c>
      <c r="F124" s="7" t="s">
        <v>991</v>
      </c>
      <c r="G124" s="7" t="s">
        <v>992</v>
      </c>
      <c r="H124" s="9" t="s">
        <v>993</v>
      </c>
      <c r="I124" s="7" t="s">
        <v>994</v>
      </c>
      <c r="J124" s="8">
        <v>45982.0</v>
      </c>
      <c r="K124" s="7" t="s">
        <v>995</v>
      </c>
      <c r="L124" s="7" t="s">
        <v>996</v>
      </c>
    </row>
    <row r="125" ht="15.75" hidden="1" customHeight="1">
      <c r="A125" s="7" t="s">
        <v>23</v>
      </c>
      <c r="B125" s="7" t="s">
        <v>997</v>
      </c>
      <c r="C125" s="7" t="s">
        <v>998</v>
      </c>
      <c r="D125" s="7" t="s">
        <v>999</v>
      </c>
      <c r="E125" s="7" t="s">
        <v>35</v>
      </c>
      <c r="F125" s="7" t="s">
        <v>1000</v>
      </c>
      <c r="G125" s="7" t="s">
        <v>1001</v>
      </c>
      <c r="H125" s="9" t="s">
        <v>1002</v>
      </c>
      <c r="I125" s="7" t="s">
        <v>814</v>
      </c>
      <c r="J125" s="8">
        <v>45982.0</v>
      </c>
      <c r="K125" s="7" t="s">
        <v>1003</v>
      </c>
      <c r="L125" s="7" t="s">
        <v>1004</v>
      </c>
    </row>
    <row r="126" ht="15.75" hidden="1" customHeight="1">
      <c r="A126" s="7" t="s">
        <v>23</v>
      </c>
      <c r="B126" s="7" t="s">
        <v>1005</v>
      </c>
      <c r="C126" s="7" t="s">
        <v>1006</v>
      </c>
      <c r="D126" s="7" t="s">
        <v>275</v>
      </c>
      <c r="E126" s="7" t="s">
        <v>35</v>
      </c>
      <c r="F126" s="7" t="s">
        <v>1007</v>
      </c>
      <c r="G126" s="7" t="s">
        <v>1008</v>
      </c>
      <c r="H126" s="9" t="s">
        <v>1009</v>
      </c>
      <c r="I126" s="7" t="s">
        <v>39</v>
      </c>
      <c r="J126" s="8">
        <v>45982.0</v>
      </c>
      <c r="K126" s="7" t="s">
        <v>1010</v>
      </c>
      <c r="L126" s="7" t="s">
        <v>1011</v>
      </c>
    </row>
    <row r="127" ht="15.75" hidden="1" customHeight="1">
      <c r="A127" s="7" t="s">
        <v>23</v>
      </c>
      <c r="B127" s="7" t="s">
        <v>1012</v>
      </c>
      <c r="C127" s="7" t="s">
        <v>1013</v>
      </c>
      <c r="D127" s="7" t="s">
        <v>1014</v>
      </c>
      <c r="E127" s="7" t="s">
        <v>35</v>
      </c>
      <c r="F127" s="7" t="s">
        <v>1015</v>
      </c>
      <c r="G127" s="7" t="s">
        <v>1016</v>
      </c>
      <c r="H127" s="9" t="s">
        <v>1017</v>
      </c>
      <c r="I127" s="7" t="s">
        <v>576</v>
      </c>
      <c r="J127" s="8">
        <v>45982.0</v>
      </c>
      <c r="K127" s="7" t="s">
        <v>1018</v>
      </c>
      <c r="L127" s="7" t="s">
        <v>1019</v>
      </c>
    </row>
    <row r="128" ht="15.75" hidden="1" customHeight="1">
      <c r="A128" s="7" t="s">
        <v>23</v>
      </c>
      <c r="B128" s="7" t="s">
        <v>1020</v>
      </c>
      <c r="C128" s="7" t="s">
        <v>1021</v>
      </c>
      <c r="D128" s="7" t="s">
        <v>324</v>
      </c>
      <c r="E128" s="7" t="s">
        <v>35</v>
      </c>
      <c r="F128" s="7" t="s">
        <v>1022</v>
      </c>
      <c r="G128" s="7" t="s">
        <v>1023</v>
      </c>
      <c r="H128" s="9" t="s">
        <v>1024</v>
      </c>
      <c r="I128" s="7" t="s">
        <v>39</v>
      </c>
      <c r="J128" s="8">
        <v>45982.0</v>
      </c>
      <c r="K128" s="7" t="s">
        <v>1025</v>
      </c>
      <c r="L128" s="7" t="s">
        <v>1026</v>
      </c>
    </row>
    <row r="129" ht="15.75" hidden="1" customHeight="1">
      <c r="A129" s="7" t="s">
        <v>23</v>
      </c>
      <c r="B129" s="7" t="s">
        <v>1027</v>
      </c>
      <c r="C129" s="7" t="s">
        <v>1028</v>
      </c>
      <c r="D129" s="7" t="s">
        <v>34</v>
      </c>
      <c r="E129" s="7" t="s">
        <v>35</v>
      </c>
      <c r="F129" s="7" t="s">
        <v>1029</v>
      </c>
      <c r="G129" s="7" t="s">
        <v>1030</v>
      </c>
      <c r="H129" s="9" t="s">
        <v>1031</v>
      </c>
      <c r="I129" s="7" t="s">
        <v>39</v>
      </c>
      <c r="J129" s="8">
        <v>45982.0</v>
      </c>
      <c r="K129" s="7" t="s">
        <v>1032</v>
      </c>
      <c r="L129" s="7" t="s">
        <v>1033</v>
      </c>
    </row>
    <row r="130" ht="15.75" hidden="1" customHeight="1">
      <c r="A130" s="7" t="s">
        <v>23</v>
      </c>
      <c r="B130" s="7" t="s">
        <v>1034</v>
      </c>
      <c r="C130" s="7" t="s">
        <v>1035</v>
      </c>
      <c r="D130" s="7" t="s">
        <v>504</v>
      </c>
      <c r="E130" s="7" t="s">
        <v>35</v>
      </c>
      <c r="F130" s="7" t="s">
        <v>1036</v>
      </c>
      <c r="G130" s="7" t="s">
        <v>1037</v>
      </c>
      <c r="H130" s="9" t="s">
        <v>1038</v>
      </c>
      <c r="I130" s="7" t="s">
        <v>508</v>
      </c>
      <c r="J130" s="8">
        <v>45982.0</v>
      </c>
      <c r="K130" s="7" t="s">
        <v>1039</v>
      </c>
      <c r="L130" s="7" t="s">
        <v>1040</v>
      </c>
    </row>
    <row r="131" ht="15.75" hidden="1" customHeight="1">
      <c r="A131" s="7" t="s">
        <v>23</v>
      </c>
      <c r="B131" s="7" t="s">
        <v>1041</v>
      </c>
      <c r="C131" s="7" t="s">
        <v>1042</v>
      </c>
      <c r="D131" s="7" t="s">
        <v>1043</v>
      </c>
      <c r="E131" s="7" t="s">
        <v>266</v>
      </c>
      <c r="F131" s="7" t="s">
        <v>1044</v>
      </c>
      <c r="G131" s="7" t="s">
        <v>1045</v>
      </c>
      <c r="H131" s="9" t="s">
        <v>1046</v>
      </c>
      <c r="I131" s="7" t="s">
        <v>1047</v>
      </c>
      <c r="J131" s="8">
        <v>45982.0</v>
      </c>
      <c r="K131" s="7" t="s">
        <v>1048</v>
      </c>
      <c r="L131" s="7" t="s">
        <v>1049</v>
      </c>
    </row>
    <row r="132" ht="15.75" hidden="1" customHeight="1">
      <c r="A132" s="7" t="s">
        <v>23</v>
      </c>
      <c r="B132" s="7" t="s">
        <v>1050</v>
      </c>
      <c r="C132" s="7" t="s">
        <v>1051</v>
      </c>
      <c r="D132" s="7" t="s">
        <v>1052</v>
      </c>
      <c r="E132" s="7" t="s">
        <v>35</v>
      </c>
      <c r="F132" s="7" t="s">
        <v>1053</v>
      </c>
      <c r="G132" s="7" t="s">
        <v>1054</v>
      </c>
      <c r="H132" s="9" t="s">
        <v>1055</v>
      </c>
      <c r="I132" s="7" t="s">
        <v>1056</v>
      </c>
      <c r="J132" s="8">
        <v>45982.0</v>
      </c>
      <c r="K132" s="7" t="s">
        <v>1057</v>
      </c>
      <c r="L132" s="7" t="s">
        <v>1058</v>
      </c>
    </row>
    <row r="133" ht="15.75" hidden="1" customHeight="1">
      <c r="A133" s="7" t="s">
        <v>23</v>
      </c>
      <c r="B133" s="7" t="s">
        <v>1059</v>
      </c>
      <c r="C133" s="7" t="s">
        <v>1060</v>
      </c>
      <c r="D133" s="7" t="s">
        <v>1061</v>
      </c>
      <c r="E133" s="7" t="s">
        <v>35</v>
      </c>
      <c r="F133" s="7" t="s">
        <v>1062</v>
      </c>
      <c r="G133" s="7" t="s">
        <v>1063</v>
      </c>
      <c r="H133" s="9" t="s">
        <v>1064</v>
      </c>
      <c r="I133" s="7" t="s">
        <v>194</v>
      </c>
      <c r="J133" s="8">
        <v>45982.0</v>
      </c>
      <c r="K133" s="7" t="s">
        <v>1065</v>
      </c>
      <c r="L133" s="7" t="s">
        <v>1066</v>
      </c>
    </row>
    <row r="134" ht="15.75" hidden="1" customHeight="1">
      <c r="A134" s="7" t="s">
        <v>23</v>
      </c>
      <c r="B134" s="7" t="s">
        <v>1067</v>
      </c>
      <c r="C134" s="7" t="s">
        <v>1068</v>
      </c>
      <c r="D134" s="7" t="s">
        <v>1069</v>
      </c>
      <c r="E134" s="7" t="s">
        <v>266</v>
      </c>
      <c r="F134" s="7" t="s">
        <v>1070</v>
      </c>
      <c r="G134" s="7" t="s">
        <v>1071</v>
      </c>
      <c r="H134" s="9" t="s">
        <v>1072</v>
      </c>
      <c r="I134" s="7" t="s">
        <v>39</v>
      </c>
      <c r="J134" s="8">
        <v>45982.0</v>
      </c>
      <c r="K134" s="7" t="s">
        <v>1073</v>
      </c>
      <c r="L134" s="7" t="s">
        <v>1074</v>
      </c>
    </row>
    <row r="135" ht="15.75" hidden="1" customHeight="1">
      <c r="A135" s="7" t="s">
        <v>23</v>
      </c>
      <c r="B135" s="7" t="s">
        <v>1075</v>
      </c>
      <c r="C135" s="7" t="s">
        <v>1076</v>
      </c>
      <c r="D135" s="7" t="s">
        <v>1077</v>
      </c>
      <c r="E135" s="7" t="s">
        <v>266</v>
      </c>
      <c r="F135" s="7" t="s">
        <v>1078</v>
      </c>
      <c r="G135" s="7" t="s">
        <v>1079</v>
      </c>
      <c r="H135" s="9" t="s">
        <v>1080</v>
      </c>
      <c r="I135" s="7" t="s">
        <v>65</v>
      </c>
      <c r="J135" s="8">
        <v>45982.0</v>
      </c>
      <c r="K135" s="7" t="s">
        <v>1081</v>
      </c>
      <c r="L135" s="7" t="s">
        <v>1082</v>
      </c>
    </row>
    <row r="136" ht="15.75" hidden="1" customHeight="1">
      <c r="A136" s="7" t="s">
        <v>23</v>
      </c>
      <c r="B136" s="7" t="s">
        <v>1083</v>
      </c>
      <c r="C136" s="7" t="s">
        <v>1084</v>
      </c>
      <c r="D136" s="7" t="s">
        <v>1085</v>
      </c>
      <c r="E136" s="7" t="s">
        <v>35</v>
      </c>
      <c r="F136" s="7" t="s">
        <v>1086</v>
      </c>
      <c r="G136" s="7" t="s">
        <v>1087</v>
      </c>
      <c r="H136" s="9" t="s">
        <v>1088</v>
      </c>
      <c r="I136" s="7" t="s">
        <v>47</v>
      </c>
      <c r="J136" s="8">
        <v>45982.0</v>
      </c>
      <c r="K136" s="7" t="s">
        <v>1089</v>
      </c>
      <c r="L136" s="7" t="s">
        <v>1090</v>
      </c>
    </row>
    <row r="137" ht="15.75" hidden="1" customHeight="1">
      <c r="A137" s="7" t="s">
        <v>23</v>
      </c>
      <c r="B137" s="7" t="s">
        <v>1091</v>
      </c>
      <c r="C137" s="7" t="s">
        <v>1092</v>
      </c>
      <c r="D137" s="7" t="s">
        <v>324</v>
      </c>
      <c r="E137" s="7" t="s">
        <v>27</v>
      </c>
      <c r="F137" s="7" t="s">
        <v>1093</v>
      </c>
      <c r="G137" s="7" t="s">
        <v>1094</v>
      </c>
      <c r="H137" s="9" t="s">
        <v>1095</v>
      </c>
      <c r="I137" s="7" t="s">
        <v>39</v>
      </c>
      <c r="J137" s="8">
        <v>45982.0</v>
      </c>
      <c r="K137" s="7" t="s">
        <v>1096</v>
      </c>
      <c r="L137" s="7" t="s">
        <v>1097</v>
      </c>
    </row>
    <row r="138" ht="15.75" hidden="1" customHeight="1">
      <c r="A138" s="7" t="s">
        <v>23</v>
      </c>
      <c r="B138" s="7" t="s">
        <v>1098</v>
      </c>
      <c r="C138" s="7" t="s">
        <v>1099</v>
      </c>
      <c r="D138" s="7" t="s">
        <v>1100</v>
      </c>
      <c r="E138" s="7" t="s">
        <v>35</v>
      </c>
      <c r="F138" s="7" t="s">
        <v>1101</v>
      </c>
      <c r="G138" s="7" t="s">
        <v>1102</v>
      </c>
      <c r="H138" s="9" t="s">
        <v>1103</v>
      </c>
      <c r="I138" s="7" t="s">
        <v>814</v>
      </c>
      <c r="J138" s="8">
        <v>45982.0</v>
      </c>
      <c r="K138" s="7" t="s">
        <v>1104</v>
      </c>
      <c r="L138" s="7" t="s">
        <v>1105</v>
      </c>
    </row>
    <row r="139" ht="15.75" hidden="1" customHeight="1">
      <c r="A139" s="7" t="s">
        <v>23</v>
      </c>
      <c r="B139" s="7" t="s">
        <v>1106</v>
      </c>
      <c r="C139" s="7" t="s">
        <v>1107</v>
      </c>
      <c r="D139" s="7" t="s">
        <v>1108</v>
      </c>
      <c r="E139" s="7" t="s">
        <v>35</v>
      </c>
      <c r="F139" s="7" t="s">
        <v>1109</v>
      </c>
      <c r="G139" s="7" t="s">
        <v>1110</v>
      </c>
      <c r="H139" s="9" t="s">
        <v>1111</v>
      </c>
      <c r="I139" s="7" t="s">
        <v>1112</v>
      </c>
      <c r="J139" s="8">
        <v>45982.0</v>
      </c>
      <c r="K139" s="7" t="s">
        <v>1113</v>
      </c>
      <c r="L139" s="7" t="s">
        <v>1114</v>
      </c>
    </row>
    <row r="140" ht="15.75" hidden="1" customHeight="1">
      <c r="A140" s="7" t="s">
        <v>23</v>
      </c>
      <c r="B140" s="7" t="s">
        <v>1115</v>
      </c>
      <c r="C140" s="7" t="s">
        <v>1116</v>
      </c>
      <c r="D140" s="7" t="s">
        <v>1117</v>
      </c>
      <c r="E140" s="7" t="s">
        <v>27</v>
      </c>
      <c r="F140" s="7" t="s">
        <v>1118</v>
      </c>
      <c r="G140" s="7" t="s">
        <v>1119</v>
      </c>
      <c r="H140" s="9" t="s">
        <v>1120</v>
      </c>
      <c r="I140" s="7" t="s">
        <v>1121</v>
      </c>
      <c r="J140" s="8">
        <v>45982.0</v>
      </c>
      <c r="K140" s="7" t="s">
        <v>1122</v>
      </c>
      <c r="L140" s="7" t="s">
        <v>1123</v>
      </c>
    </row>
    <row r="141" ht="15.75" hidden="1" customHeight="1">
      <c r="A141" s="7" t="s">
        <v>23</v>
      </c>
      <c r="B141" s="7" t="s">
        <v>1124</v>
      </c>
      <c r="C141" s="7" t="s">
        <v>1125</v>
      </c>
      <c r="D141" s="7" t="s">
        <v>1126</v>
      </c>
      <c r="E141" s="7" t="s">
        <v>35</v>
      </c>
      <c r="F141" s="7" t="s">
        <v>1127</v>
      </c>
      <c r="G141" s="7" t="s">
        <v>1128</v>
      </c>
      <c r="H141" s="9" t="s">
        <v>1129</v>
      </c>
      <c r="I141" s="7" t="s">
        <v>695</v>
      </c>
      <c r="J141" s="8">
        <v>45982.0</v>
      </c>
      <c r="K141" s="7" t="s">
        <v>1130</v>
      </c>
      <c r="L141" s="7" t="s">
        <v>1131</v>
      </c>
    </row>
    <row r="142" ht="15.75" hidden="1" customHeight="1">
      <c r="A142" s="7" t="s">
        <v>23</v>
      </c>
      <c r="B142" s="7" t="s">
        <v>1132</v>
      </c>
      <c r="C142" s="7" t="s">
        <v>1133</v>
      </c>
      <c r="D142" s="7" t="s">
        <v>283</v>
      </c>
      <c r="E142" s="7" t="s">
        <v>35</v>
      </c>
      <c r="F142" s="7" t="s">
        <v>1134</v>
      </c>
      <c r="G142" s="7" t="s">
        <v>1135</v>
      </c>
      <c r="H142" s="9" t="s">
        <v>1136</v>
      </c>
      <c r="I142" s="7" t="s">
        <v>287</v>
      </c>
      <c r="J142" s="8">
        <v>45982.0</v>
      </c>
      <c r="K142" s="7" t="s">
        <v>1137</v>
      </c>
      <c r="L142" s="7" t="s">
        <v>1138</v>
      </c>
    </row>
    <row r="143" ht="15.75" hidden="1" customHeight="1">
      <c r="A143" s="7" t="s">
        <v>23</v>
      </c>
      <c r="B143" s="7" t="s">
        <v>1139</v>
      </c>
      <c r="C143" s="7" t="s">
        <v>1140</v>
      </c>
      <c r="D143" s="7" t="s">
        <v>324</v>
      </c>
      <c r="E143" s="7" t="s">
        <v>35</v>
      </c>
      <c r="F143" s="7" t="s">
        <v>1141</v>
      </c>
      <c r="G143" s="7" t="s">
        <v>1142</v>
      </c>
      <c r="H143" s="9" t="s">
        <v>1143</v>
      </c>
      <c r="I143" s="7" t="s">
        <v>39</v>
      </c>
      <c r="J143" s="8">
        <v>45982.0</v>
      </c>
      <c r="K143" s="7" t="s">
        <v>1144</v>
      </c>
      <c r="L143" s="7" t="s">
        <v>1145</v>
      </c>
    </row>
    <row r="144" ht="15.75" hidden="1" customHeight="1">
      <c r="A144" s="7" t="s">
        <v>23</v>
      </c>
      <c r="B144" s="7" t="s">
        <v>1146</v>
      </c>
      <c r="C144" s="7" t="s">
        <v>1147</v>
      </c>
      <c r="D144" s="7" t="s">
        <v>1148</v>
      </c>
      <c r="E144" s="7" t="s">
        <v>27</v>
      </c>
      <c r="F144" s="7" t="s">
        <v>1149</v>
      </c>
      <c r="G144" s="7" t="s">
        <v>1150</v>
      </c>
      <c r="H144" s="9" t="s">
        <v>1151</v>
      </c>
      <c r="I144" s="7" t="s">
        <v>1121</v>
      </c>
      <c r="J144" s="8">
        <v>45982.0</v>
      </c>
      <c r="K144" s="7" t="s">
        <v>1152</v>
      </c>
      <c r="L144" s="7" t="s">
        <v>1153</v>
      </c>
    </row>
    <row r="145" ht="15.75" hidden="1" customHeight="1">
      <c r="A145" s="7" t="s">
        <v>23</v>
      </c>
      <c r="B145" s="7" t="s">
        <v>1154</v>
      </c>
      <c r="C145" s="7" t="s">
        <v>1155</v>
      </c>
      <c r="D145" s="7" t="s">
        <v>1156</v>
      </c>
      <c r="E145" s="7" t="s">
        <v>35</v>
      </c>
      <c r="F145" s="7" t="s">
        <v>1157</v>
      </c>
      <c r="G145" s="7" t="s">
        <v>1158</v>
      </c>
      <c r="H145" s="9" t="s">
        <v>1159</v>
      </c>
      <c r="I145" s="7" t="s">
        <v>1047</v>
      </c>
      <c r="J145" s="8">
        <v>45982.0</v>
      </c>
      <c r="K145" s="7" t="s">
        <v>1160</v>
      </c>
      <c r="L145" s="7" t="s">
        <v>1161</v>
      </c>
    </row>
    <row r="146" ht="15.75" hidden="1" customHeight="1">
      <c r="A146" s="7" t="s">
        <v>23</v>
      </c>
      <c r="B146" s="7" t="s">
        <v>1162</v>
      </c>
      <c r="C146" s="7" t="s">
        <v>1163</v>
      </c>
      <c r="D146" s="7" t="s">
        <v>1164</v>
      </c>
      <c r="E146" s="7" t="s">
        <v>35</v>
      </c>
      <c r="F146" s="7" t="s">
        <v>1165</v>
      </c>
      <c r="G146" s="7" t="s">
        <v>1166</v>
      </c>
      <c r="H146" s="9" t="s">
        <v>1167</v>
      </c>
      <c r="I146" s="7" t="s">
        <v>65</v>
      </c>
      <c r="J146" s="8">
        <v>45982.0</v>
      </c>
      <c r="K146" s="7" t="s">
        <v>1168</v>
      </c>
      <c r="L146" s="7" t="s">
        <v>1169</v>
      </c>
    </row>
    <row r="147" ht="15.75" hidden="1" customHeight="1">
      <c r="A147" s="7" t="s">
        <v>23</v>
      </c>
      <c r="B147" s="7" t="s">
        <v>1170</v>
      </c>
      <c r="C147" s="7" t="s">
        <v>1171</v>
      </c>
      <c r="D147" s="7" t="s">
        <v>275</v>
      </c>
      <c r="E147" s="7" t="s">
        <v>35</v>
      </c>
      <c r="F147" s="7" t="s">
        <v>1172</v>
      </c>
      <c r="G147" s="7" t="s">
        <v>1173</v>
      </c>
      <c r="H147" s="9" t="s">
        <v>1174</v>
      </c>
      <c r="I147" s="7" t="s">
        <v>39</v>
      </c>
      <c r="J147" s="8">
        <v>45982.0</v>
      </c>
      <c r="K147" s="7" t="s">
        <v>1175</v>
      </c>
      <c r="L147" s="7" t="s">
        <v>1176</v>
      </c>
    </row>
    <row r="148" ht="15.75" hidden="1" customHeight="1">
      <c r="A148" s="7" t="s">
        <v>23</v>
      </c>
      <c r="B148" s="7" t="s">
        <v>1177</v>
      </c>
      <c r="C148" s="7" t="s">
        <v>1178</v>
      </c>
      <c r="D148" s="7" t="s">
        <v>275</v>
      </c>
      <c r="E148" s="7" t="s">
        <v>27</v>
      </c>
      <c r="F148" s="7" t="s">
        <v>1179</v>
      </c>
      <c r="G148" s="7" t="s">
        <v>1180</v>
      </c>
      <c r="H148" s="9" t="s">
        <v>1181</v>
      </c>
      <c r="I148" s="7" t="s">
        <v>39</v>
      </c>
      <c r="J148" s="8">
        <v>45982.0</v>
      </c>
      <c r="K148" s="7" t="s">
        <v>1182</v>
      </c>
      <c r="L148" s="7" t="s">
        <v>1183</v>
      </c>
    </row>
    <row r="149" ht="15.75" hidden="1" customHeight="1">
      <c r="A149" s="7" t="s">
        <v>23</v>
      </c>
      <c r="B149" s="7" t="s">
        <v>1184</v>
      </c>
      <c r="C149" s="7" t="s">
        <v>1185</v>
      </c>
      <c r="D149" s="7" t="s">
        <v>1186</v>
      </c>
      <c r="E149" s="7" t="s">
        <v>35</v>
      </c>
      <c r="F149" s="7" t="s">
        <v>1187</v>
      </c>
      <c r="G149" s="7" t="s">
        <v>1188</v>
      </c>
      <c r="H149" s="9" t="s">
        <v>1189</v>
      </c>
      <c r="I149" s="7" t="s">
        <v>270</v>
      </c>
      <c r="J149" s="8">
        <v>45982.0</v>
      </c>
      <c r="K149" s="7" t="s">
        <v>1190</v>
      </c>
      <c r="L149" s="7" t="s">
        <v>1191</v>
      </c>
    </row>
    <row r="150" ht="15.75" hidden="1" customHeight="1">
      <c r="A150" s="7" t="s">
        <v>23</v>
      </c>
      <c r="B150" s="7" t="s">
        <v>1192</v>
      </c>
      <c r="C150" s="7" t="s">
        <v>1193</v>
      </c>
      <c r="D150" s="7" t="s">
        <v>324</v>
      </c>
      <c r="E150" s="7" t="s">
        <v>35</v>
      </c>
      <c r="F150" s="7" t="s">
        <v>1194</v>
      </c>
      <c r="G150" s="7" t="s">
        <v>1195</v>
      </c>
      <c r="H150" s="9" t="s">
        <v>1196</v>
      </c>
      <c r="I150" s="7" t="s">
        <v>39</v>
      </c>
      <c r="J150" s="8">
        <v>45982.0</v>
      </c>
      <c r="K150" s="7" t="s">
        <v>1197</v>
      </c>
      <c r="L150" s="7" t="s">
        <v>1198</v>
      </c>
    </row>
    <row r="151" ht="15.75" hidden="1" customHeight="1">
      <c r="A151" s="7" t="s">
        <v>23</v>
      </c>
      <c r="B151" s="7" t="s">
        <v>1199</v>
      </c>
      <c r="C151" s="7" t="s">
        <v>1200</v>
      </c>
      <c r="D151" s="7" t="s">
        <v>275</v>
      </c>
      <c r="E151" s="7" t="s">
        <v>35</v>
      </c>
      <c r="F151" s="7"/>
      <c r="G151" s="7" t="s">
        <v>1201</v>
      </c>
      <c r="H151" s="9" t="s">
        <v>1202</v>
      </c>
      <c r="I151" s="7" t="s">
        <v>39</v>
      </c>
      <c r="J151" s="8">
        <v>45982.0</v>
      </c>
      <c r="K151" s="7" t="s">
        <v>1203</v>
      </c>
      <c r="L151" s="7" t="s">
        <v>1204</v>
      </c>
    </row>
    <row r="152" ht="15.75" hidden="1" customHeight="1">
      <c r="A152" s="7" t="s">
        <v>23</v>
      </c>
      <c r="B152" s="7" t="s">
        <v>1205</v>
      </c>
      <c r="C152" s="7" t="s">
        <v>1206</v>
      </c>
      <c r="D152" s="7" t="s">
        <v>795</v>
      </c>
      <c r="E152" s="7" t="s">
        <v>35</v>
      </c>
      <c r="F152" s="7"/>
      <c r="G152" s="7" t="s">
        <v>1207</v>
      </c>
      <c r="H152" s="9" t="s">
        <v>1208</v>
      </c>
      <c r="I152" s="7" t="s">
        <v>185</v>
      </c>
      <c r="J152" s="8">
        <v>45982.0</v>
      </c>
      <c r="K152" s="7" t="s">
        <v>1209</v>
      </c>
      <c r="L152" s="7" t="s">
        <v>1210</v>
      </c>
    </row>
    <row r="153" ht="15.75" hidden="1" customHeight="1">
      <c r="A153" s="7" t="s">
        <v>23</v>
      </c>
      <c r="B153" s="7" t="s">
        <v>1211</v>
      </c>
      <c r="C153" s="7" t="s">
        <v>1212</v>
      </c>
      <c r="D153" s="7" t="s">
        <v>465</v>
      </c>
      <c r="E153" s="7" t="s">
        <v>266</v>
      </c>
      <c r="F153" s="7" t="s">
        <v>1213</v>
      </c>
      <c r="G153" s="7" t="s">
        <v>1214</v>
      </c>
      <c r="H153" s="9" t="s">
        <v>1215</v>
      </c>
      <c r="I153" s="7" t="s">
        <v>469</v>
      </c>
      <c r="J153" s="8">
        <v>45982.0</v>
      </c>
      <c r="K153" s="7" t="s">
        <v>1216</v>
      </c>
      <c r="L153" s="7" t="s">
        <v>1217</v>
      </c>
    </row>
    <row r="154" ht="15.75" hidden="1" customHeight="1">
      <c r="A154" s="7" t="s">
        <v>23</v>
      </c>
      <c r="B154" s="7" t="s">
        <v>1218</v>
      </c>
      <c r="C154" s="7" t="s">
        <v>1219</v>
      </c>
      <c r="D154" s="7" t="s">
        <v>795</v>
      </c>
      <c r="E154" s="7" t="s">
        <v>35</v>
      </c>
      <c r="F154" s="7"/>
      <c r="G154" s="7" t="s">
        <v>1220</v>
      </c>
      <c r="H154" s="9" t="s">
        <v>1221</v>
      </c>
      <c r="I154" s="7" t="s">
        <v>185</v>
      </c>
      <c r="J154" s="8">
        <v>45982.0</v>
      </c>
      <c r="K154" s="7" t="s">
        <v>1222</v>
      </c>
      <c r="L154" s="7" t="s">
        <v>1223</v>
      </c>
    </row>
    <row r="155" ht="15.75" hidden="1" customHeight="1">
      <c r="A155" s="7" t="s">
        <v>23</v>
      </c>
      <c r="B155" s="7" t="s">
        <v>1224</v>
      </c>
      <c r="C155" s="7" t="s">
        <v>1225</v>
      </c>
      <c r="D155" s="7" t="s">
        <v>1226</v>
      </c>
      <c r="E155" s="7" t="s">
        <v>35</v>
      </c>
      <c r="F155" s="7" t="s">
        <v>1227</v>
      </c>
      <c r="G155" s="7" t="s">
        <v>1228</v>
      </c>
      <c r="H155" s="9" t="s">
        <v>1229</v>
      </c>
      <c r="I155" s="7" t="s">
        <v>1230</v>
      </c>
      <c r="J155" s="8">
        <v>45982.0</v>
      </c>
      <c r="K155" s="7" t="s">
        <v>1231</v>
      </c>
      <c r="L155" s="7" t="s">
        <v>1232</v>
      </c>
    </row>
    <row r="156" ht="15.75" hidden="1" customHeight="1">
      <c r="A156" s="7" t="s">
        <v>23</v>
      </c>
      <c r="B156" s="7" t="s">
        <v>1233</v>
      </c>
      <c r="C156" s="7" t="s">
        <v>1234</v>
      </c>
      <c r="D156" s="7" t="s">
        <v>1235</v>
      </c>
      <c r="E156" s="7" t="s">
        <v>27</v>
      </c>
      <c r="F156" s="7" t="s">
        <v>1236</v>
      </c>
      <c r="G156" s="7" t="s">
        <v>1237</v>
      </c>
      <c r="H156" s="9" t="s">
        <v>1238</v>
      </c>
      <c r="I156" s="7" t="s">
        <v>65</v>
      </c>
      <c r="J156" s="8">
        <v>45982.0</v>
      </c>
      <c r="K156" s="7" t="s">
        <v>1239</v>
      </c>
      <c r="L156" s="7" t="s">
        <v>1240</v>
      </c>
    </row>
    <row r="157" ht="15.75" hidden="1" customHeight="1">
      <c r="A157" s="7" t="s">
        <v>23</v>
      </c>
      <c r="B157" s="7" t="s">
        <v>1241</v>
      </c>
      <c r="C157" s="7" t="s">
        <v>1242</v>
      </c>
      <c r="D157" s="7" t="s">
        <v>275</v>
      </c>
      <c r="E157" s="7" t="s">
        <v>35</v>
      </c>
      <c r="F157" s="7" t="s">
        <v>1243</v>
      </c>
      <c r="G157" s="7" t="s">
        <v>1244</v>
      </c>
      <c r="H157" s="9" t="s">
        <v>1245</v>
      </c>
      <c r="I157" s="7" t="s">
        <v>39</v>
      </c>
      <c r="J157" s="8">
        <v>45982.0</v>
      </c>
      <c r="K157" s="7" t="s">
        <v>1246</v>
      </c>
      <c r="L157" s="7" t="s">
        <v>1247</v>
      </c>
    </row>
    <row r="158" ht="15.75" hidden="1" customHeight="1">
      <c r="A158" s="7" t="s">
        <v>23</v>
      </c>
      <c r="B158" s="7" t="s">
        <v>1248</v>
      </c>
      <c r="C158" s="7" t="s">
        <v>1249</v>
      </c>
      <c r="D158" s="7" t="s">
        <v>1250</v>
      </c>
      <c r="E158" s="7" t="s">
        <v>266</v>
      </c>
      <c r="F158" s="7" t="s">
        <v>1251</v>
      </c>
      <c r="G158" s="7" t="s">
        <v>1252</v>
      </c>
      <c r="H158" s="9" t="s">
        <v>1253</v>
      </c>
      <c r="I158" s="7" t="s">
        <v>1254</v>
      </c>
      <c r="J158" s="8">
        <v>45982.0</v>
      </c>
      <c r="K158" s="7" t="s">
        <v>1255</v>
      </c>
      <c r="L158" s="7" t="s">
        <v>1256</v>
      </c>
    </row>
    <row r="159" ht="15.75" hidden="1" customHeight="1">
      <c r="A159" s="7" t="s">
        <v>23</v>
      </c>
      <c r="B159" s="7" t="s">
        <v>1257</v>
      </c>
      <c r="C159" s="7" t="s">
        <v>1258</v>
      </c>
      <c r="D159" s="7" t="s">
        <v>1259</v>
      </c>
      <c r="E159" s="7" t="s">
        <v>27</v>
      </c>
      <c r="F159" s="7" t="s">
        <v>1260</v>
      </c>
      <c r="G159" s="7" t="s">
        <v>1261</v>
      </c>
      <c r="H159" s="9" t="s">
        <v>1262</v>
      </c>
      <c r="I159" s="7" t="s">
        <v>1263</v>
      </c>
      <c r="J159" s="8">
        <v>45982.0</v>
      </c>
      <c r="K159" s="7" t="s">
        <v>1264</v>
      </c>
      <c r="L159" s="7" t="s">
        <v>1265</v>
      </c>
    </row>
    <row r="160" ht="15.75" hidden="1" customHeight="1">
      <c r="A160" s="7" t="s">
        <v>23</v>
      </c>
      <c r="B160" s="7" t="s">
        <v>1266</v>
      </c>
      <c r="C160" s="7" t="s">
        <v>1267</v>
      </c>
      <c r="D160" s="7" t="s">
        <v>1268</v>
      </c>
      <c r="E160" s="7" t="s">
        <v>35</v>
      </c>
      <c r="F160" s="7" t="s">
        <v>1269</v>
      </c>
      <c r="G160" s="7" t="s">
        <v>1270</v>
      </c>
      <c r="H160" s="9" t="s">
        <v>1271</v>
      </c>
      <c r="I160" s="7" t="s">
        <v>65</v>
      </c>
      <c r="J160" s="8">
        <v>45982.0</v>
      </c>
      <c r="K160" s="7" t="s">
        <v>1272</v>
      </c>
      <c r="L160" s="7" t="s">
        <v>1273</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60">
    <filterColumn colId="4">
      <filters>
        <filter val="Editorial Material"/>
      </filters>
    </filterColumn>
  </autoFilter>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s>
  <drawing r:id="rId1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7" width="7.63"/>
  </cols>
  <sheetData>
    <row r="1">
      <c r="A1" s="10" t="s">
        <v>1274</v>
      </c>
      <c r="B1" s="10" t="s">
        <v>1275</v>
      </c>
      <c r="C1" s="10" t="s">
        <v>1276</v>
      </c>
      <c r="D1" s="10" t="s">
        <v>1277</v>
      </c>
      <c r="E1" s="10" t="s">
        <v>1278</v>
      </c>
      <c r="F1" s="10" t="s">
        <v>1279</v>
      </c>
      <c r="G1" s="10" t="s">
        <v>1280</v>
      </c>
      <c r="H1" s="10" t="s">
        <v>1281</v>
      </c>
      <c r="I1" s="10" t="s">
        <v>17</v>
      </c>
      <c r="J1" s="10" t="s">
        <v>1282</v>
      </c>
      <c r="K1" s="10" t="s">
        <v>1283</v>
      </c>
      <c r="L1" s="10" t="s">
        <v>1284</v>
      </c>
      <c r="M1" s="10" t="s">
        <v>1285</v>
      </c>
      <c r="N1" s="10" t="s">
        <v>1286</v>
      </c>
      <c r="O1" s="10" t="s">
        <v>1287</v>
      </c>
      <c r="P1" s="10" t="s">
        <v>1288</v>
      </c>
      <c r="Q1" s="10" t="s">
        <v>1289</v>
      </c>
      <c r="R1" s="10" t="s">
        <v>1290</v>
      </c>
      <c r="S1" s="10" t="s">
        <v>1291</v>
      </c>
      <c r="T1" s="10" t="s">
        <v>1292</v>
      </c>
      <c r="U1" s="10" t="s">
        <v>1293</v>
      </c>
      <c r="V1" s="10" t="s">
        <v>1294</v>
      </c>
      <c r="W1" s="10" t="s">
        <v>1295</v>
      </c>
      <c r="X1" s="10" t="s">
        <v>1296</v>
      </c>
      <c r="Y1" s="10" t="s">
        <v>1297</v>
      </c>
      <c r="Z1" s="10" t="s">
        <v>1298</v>
      </c>
      <c r="AA1" s="10" t="s">
        <v>1299</v>
      </c>
      <c r="AB1" s="10" t="s">
        <v>1300</v>
      </c>
      <c r="AC1" s="10" t="s">
        <v>1301</v>
      </c>
      <c r="AD1" s="10" t="s">
        <v>1302</v>
      </c>
      <c r="AE1" s="10" t="s">
        <v>1303</v>
      </c>
      <c r="AF1" s="10" t="s">
        <v>1304</v>
      </c>
      <c r="AG1" s="10" t="s">
        <v>1305</v>
      </c>
      <c r="AH1" s="10" t="s">
        <v>1306</v>
      </c>
      <c r="AI1" s="10" t="s">
        <v>1307</v>
      </c>
      <c r="AJ1" s="10" t="s">
        <v>1308</v>
      </c>
      <c r="AK1" s="10" t="s">
        <v>1309</v>
      </c>
      <c r="AL1" s="10" t="s">
        <v>1310</v>
      </c>
      <c r="AM1" s="10" t="s">
        <v>1311</v>
      </c>
      <c r="AN1" s="10" t="s">
        <v>1312</v>
      </c>
      <c r="AO1" s="10" t="s">
        <v>1313</v>
      </c>
      <c r="AP1" s="10" t="s">
        <v>1314</v>
      </c>
      <c r="AQ1" s="10" t="s">
        <v>1315</v>
      </c>
      <c r="AR1" s="10" t="s">
        <v>1316</v>
      </c>
      <c r="AS1" s="10" t="s">
        <v>1317</v>
      </c>
      <c r="AT1" s="10" t="s">
        <v>1318</v>
      </c>
      <c r="AU1" s="10" t="s">
        <v>1319</v>
      </c>
      <c r="AV1" s="10" t="s">
        <v>1320</v>
      </c>
      <c r="AW1" s="10" t="s">
        <v>1321</v>
      </c>
      <c r="AX1" s="10" t="s">
        <v>1322</v>
      </c>
      <c r="AY1" s="10" t="s">
        <v>1323</v>
      </c>
      <c r="AZ1" s="10" t="s">
        <v>1324</v>
      </c>
      <c r="BA1" s="10" t="s">
        <v>1325</v>
      </c>
      <c r="BB1" s="10" t="s">
        <v>1326</v>
      </c>
      <c r="BC1" s="10" t="s">
        <v>1327</v>
      </c>
      <c r="BD1" s="10" t="s">
        <v>1328</v>
      </c>
      <c r="BE1" s="10" t="s">
        <v>1329</v>
      </c>
      <c r="BF1" s="10" t="s">
        <v>1330</v>
      </c>
      <c r="BG1" s="10" t="s">
        <v>1331</v>
      </c>
      <c r="BH1" s="10" t="s">
        <v>1332</v>
      </c>
      <c r="BI1" s="10" t="s">
        <v>1333</v>
      </c>
      <c r="BJ1" s="10" t="s">
        <v>1334</v>
      </c>
      <c r="BK1" s="10" t="s">
        <v>1335</v>
      </c>
      <c r="BL1" s="10" t="s">
        <v>1336</v>
      </c>
      <c r="BM1" s="10" t="s">
        <v>1337</v>
      </c>
      <c r="BN1" s="10" t="s">
        <v>1338</v>
      </c>
      <c r="BO1" s="10" t="s">
        <v>1339</v>
      </c>
      <c r="BP1" s="10" t="s">
        <v>1340</v>
      </c>
      <c r="BQ1" s="10" t="s">
        <v>1341</v>
      </c>
      <c r="BR1" s="10" t="s">
        <v>1342</v>
      </c>
      <c r="BS1" s="10" t="s">
        <v>1343</v>
      </c>
      <c r="BT1" s="10" t="s">
        <v>1344</v>
      </c>
      <c r="BU1" s="10" t="s">
        <v>1345</v>
      </c>
      <c r="BV1" s="10" t="s">
        <v>1346</v>
      </c>
      <c r="BW1" s="10" t="s">
        <v>1347</v>
      </c>
      <c r="BX1" s="10" t="s">
        <v>1348</v>
      </c>
      <c r="BY1" s="10" t="s">
        <v>1349</v>
      </c>
      <c r="BZ1" s="10" t="s">
        <v>1350</v>
      </c>
      <c r="CA1" s="10" t="s">
        <v>1351</v>
      </c>
      <c r="CB1" s="10" t="s">
        <v>1352</v>
      </c>
      <c r="CC1" s="10" t="s">
        <v>1353</v>
      </c>
      <c r="CD1" s="10" t="s">
        <v>1354</v>
      </c>
      <c r="CE1" s="10" t="s">
        <v>1355</v>
      </c>
      <c r="CF1" s="10" t="s">
        <v>1356</v>
      </c>
      <c r="CG1" s="10" t="s">
        <v>1357</v>
      </c>
      <c r="CH1" s="10" t="s">
        <v>1358</v>
      </c>
      <c r="CI1" s="10" t="s">
        <v>1359</v>
      </c>
    </row>
    <row r="2">
      <c r="A2" s="2" t="s">
        <v>1360</v>
      </c>
      <c r="B2" s="2" t="s">
        <v>1361</v>
      </c>
      <c r="C2" s="2">
        <v>2009.0</v>
      </c>
      <c r="D2" s="2" t="s">
        <v>1362</v>
      </c>
      <c r="E2" s="2" t="s">
        <v>968</v>
      </c>
      <c r="F2" s="2" t="s">
        <v>1363</v>
      </c>
      <c r="I2" s="2" t="s">
        <v>970</v>
      </c>
      <c r="L2" s="2" t="s">
        <v>1364</v>
      </c>
      <c r="M2" s="2" t="s">
        <v>1365</v>
      </c>
      <c r="N2" s="2" t="s">
        <v>1366</v>
      </c>
      <c r="P2" s="2" t="s">
        <v>1367</v>
      </c>
      <c r="R2" s="2">
        <v>1526.0</v>
      </c>
      <c r="S2" s="2">
        <v>364.0</v>
      </c>
      <c r="AN2" s="2" t="s">
        <v>1368</v>
      </c>
    </row>
    <row r="3">
      <c r="A3" s="2" t="s">
        <v>1369</v>
      </c>
      <c r="B3" s="2" t="s">
        <v>1361</v>
      </c>
      <c r="C3" s="2">
        <v>2015.0</v>
      </c>
      <c r="D3" s="2" t="s">
        <v>1370</v>
      </c>
      <c r="E3" s="2" t="s">
        <v>1371</v>
      </c>
      <c r="F3" s="2" t="s">
        <v>1372</v>
      </c>
      <c r="L3" s="2" t="s">
        <v>1373</v>
      </c>
      <c r="M3" s="2" t="s">
        <v>1374</v>
      </c>
      <c r="N3" s="2" t="s">
        <v>1375</v>
      </c>
      <c r="P3" s="2" t="s">
        <v>1376</v>
      </c>
      <c r="S3" s="2">
        <v>2015.0</v>
      </c>
      <c r="AN3" s="2" t="s">
        <v>1368</v>
      </c>
    </row>
    <row r="4">
      <c r="A4" s="2" t="s">
        <v>1377</v>
      </c>
      <c r="B4" s="2" t="s">
        <v>1361</v>
      </c>
      <c r="C4" s="2">
        <v>2002.0</v>
      </c>
      <c r="D4" s="2" t="s">
        <v>1378</v>
      </c>
      <c r="E4" s="2" t="s">
        <v>1379</v>
      </c>
      <c r="F4" s="2" t="s">
        <v>1380</v>
      </c>
      <c r="H4" s="2" t="s">
        <v>1381</v>
      </c>
      <c r="I4" s="2" t="s">
        <v>1201</v>
      </c>
      <c r="J4" s="2" t="s">
        <v>1382</v>
      </c>
      <c r="K4" s="2" t="s">
        <v>1383</v>
      </c>
      <c r="L4" s="2" t="s">
        <v>1384</v>
      </c>
      <c r="M4" s="2" t="s">
        <v>1385</v>
      </c>
      <c r="N4" s="2" t="s">
        <v>1386</v>
      </c>
      <c r="P4" s="2" t="s">
        <v>1387</v>
      </c>
      <c r="R4" s="2">
        <v>6883.0</v>
      </c>
      <c r="S4" s="2">
        <v>416.0</v>
      </c>
      <c r="AN4" s="2" t="s">
        <v>1368</v>
      </c>
    </row>
    <row r="5">
      <c r="A5" s="2" t="s">
        <v>1388</v>
      </c>
      <c r="B5" s="2" t="s">
        <v>1361</v>
      </c>
      <c r="C5" s="2">
        <v>2005.0</v>
      </c>
      <c r="D5" s="2" t="s">
        <v>1389</v>
      </c>
      <c r="E5" s="2" t="s">
        <v>1390</v>
      </c>
      <c r="F5" s="2" t="s">
        <v>1391</v>
      </c>
      <c r="I5" s="2" t="s">
        <v>1392</v>
      </c>
      <c r="K5" s="2" t="s">
        <v>1393</v>
      </c>
      <c r="L5" s="2" t="s">
        <v>1394</v>
      </c>
      <c r="M5" s="2" t="s">
        <v>1385</v>
      </c>
      <c r="N5" s="2" t="s">
        <v>1386</v>
      </c>
      <c r="AN5" s="2" t="s">
        <v>1368</v>
      </c>
    </row>
    <row r="6">
      <c r="A6" s="2" t="s">
        <v>1395</v>
      </c>
      <c r="B6" s="2" t="s">
        <v>1396</v>
      </c>
      <c r="C6" s="2">
        <v>1963.0</v>
      </c>
      <c r="D6" s="2" t="s">
        <v>1397</v>
      </c>
      <c r="E6" s="2" t="s">
        <v>1398</v>
      </c>
      <c r="L6" s="2" t="s">
        <v>1399</v>
      </c>
      <c r="M6" s="2" t="s">
        <v>1385</v>
      </c>
      <c r="N6" s="2" t="s">
        <v>1386</v>
      </c>
      <c r="AA6" s="2" t="s">
        <v>1400</v>
      </c>
      <c r="AB6" s="2" t="s">
        <v>1401</v>
      </c>
      <c r="AN6" s="2" t="s">
        <v>1368</v>
      </c>
    </row>
    <row r="7">
      <c r="A7" s="2" t="s">
        <v>1402</v>
      </c>
      <c r="B7" s="2" t="s">
        <v>1396</v>
      </c>
      <c r="C7" s="2">
        <v>2012.0</v>
      </c>
      <c r="D7" s="2" t="s">
        <v>1403</v>
      </c>
      <c r="E7" s="2" t="s">
        <v>1404</v>
      </c>
      <c r="L7" s="2" t="s">
        <v>1405</v>
      </c>
      <c r="M7" s="2" t="s">
        <v>1385</v>
      </c>
      <c r="N7" s="2" t="s">
        <v>1386</v>
      </c>
      <c r="AA7" s="2" t="s">
        <v>1406</v>
      </c>
      <c r="AN7" s="2" t="s">
        <v>1368</v>
      </c>
    </row>
    <row r="8">
      <c r="A8" s="2" t="s">
        <v>1407</v>
      </c>
      <c r="B8" s="2" t="s">
        <v>1361</v>
      </c>
      <c r="C8" s="2">
        <v>2001.0</v>
      </c>
      <c r="D8" s="2" t="s">
        <v>1408</v>
      </c>
      <c r="E8" s="2" t="s">
        <v>1409</v>
      </c>
      <c r="F8" s="2" t="s">
        <v>1410</v>
      </c>
      <c r="H8" s="2" t="s">
        <v>1411</v>
      </c>
      <c r="I8" s="2" t="s">
        <v>1412</v>
      </c>
      <c r="K8" s="2" t="s">
        <v>1413</v>
      </c>
      <c r="L8" s="2" t="s">
        <v>1414</v>
      </c>
      <c r="M8" s="2" t="s">
        <v>1385</v>
      </c>
      <c r="N8" s="2" t="s">
        <v>1386</v>
      </c>
      <c r="AN8" s="2" t="s">
        <v>1368</v>
      </c>
    </row>
    <row r="9">
      <c r="A9" s="2" t="s">
        <v>1415</v>
      </c>
      <c r="B9" s="2" t="s">
        <v>1396</v>
      </c>
      <c r="C9" s="2">
        <v>2018.0</v>
      </c>
      <c r="D9" s="2" t="s">
        <v>1416</v>
      </c>
      <c r="E9" s="2" t="s">
        <v>1417</v>
      </c>
      <c r="G9" s="2" t="s">
        <v>1418</v>
      </c>
      <c r="K9" s="2" t="s">
        <v>1419</v>
      </c>
      <c r="L9" s="2" t="s">
        <v>1420</v>
      </c>
      <c r="M9" s="2" t="s">
        <v>1385</v>
      </c>
      <c r="N9" s="2" t="s">
        <v>1386</v>
      </c>
      <c r="Q9" s="2" t="s">
        <v>1421</v>
      </c>
      <c r="S9" s="2">
        <v>559.0</v>
      </c>
      <c r="X9" s="2">
        <v>7715.0</v>
      </c>
      <c r="AA9" s="2" t="s">
        <v>1422</v>
      </c>
      <c r="AN9" s="2" t="s">
        <v>1368</v>
      </c>
    </row>
    <row r="10">
      <c r="A10" s="2" t="s">
        <v>1423</v>
      </c>
      <c r="B10" s="2" t="s">
        <v>1361</v>
      </c>
      <c r="C10" s="2">
        <v>2013.0</v>
      </c>
      <c r="D10" s="2" t="s">
        <v>1408</v>
      </c>
      <c r="E10" s="2" t="s">
        <v>1424</v>
      </c>
      <c r="F10" s="2" t="s">
        <v>1425</v>
      </c>
      <c r="H10" s="2" t="s">
        <v>1426</v>
      </c>
      <c r="I10" s="2" t="s">
        <v>1427</v>
      </c>
      <c r="K10" s="2" t="s">
        <v>1428</v>
      </c>
      <c r="L10" s="2" t="s">
        <v>1429</v>
      </c>
      <c r="M10" s="2" t="s">
        <v>1385</v>
      </c>
      <c r="N10" s="2" t="s">
        <v>1386</v>
      </c>
      <c r="AN10" s="2" t="s">
        <v>1368</v>
      </c>
    </row>
    <row r="11">
      <c r="A11" s="2" t="s">
        <v>1430</v>
      </c>
      <c r="B11" s="2" t="s">
        <v>1396</v>
      </c>
      <c r="C11" s="2">
        <v>1999.0</v>
      </c>
      <c r="D11" s="2" t="s">
        <v>1408</v>
      </c>
      <c r="E11" s="2" t="s">
        <v>1431</v>
      </c>
      <c r="G11" s="2" t="s">
        <v>1432</v>
      </c>
      <c r="K11" s="2" t="s">
        <v>1433</v>
      </c>
      <c r="L11" s="2" t="s">
        <v>1434</v>
      </c>
      <c r="M11" s="2" t="s">
        <v>1385</v>
      </c>
      <c r="N11" s="2" t="s">
        <v>1386</v>
      </c>
      <c r="AN11" s="2" t="s">
        <v>1368</v>
      </c>
    </row>
    <row r="12">
      <c r="A12" s="2" t="s">
        <v>1435</v>
      </c>
      <c r="B12" s="2" t="s">
        <v>1361</v>
      </c>
      <c r="C12" s="2">
        <v>2009.0</v>
      </c>
      <c r="D12" s="2" t="s">
        <v>1436</v>
      </c>
      <c r="E12" s="2" t="s">
        <v>1437</v>
      </c>
      <c r="F12" s="2" t="s">
        <v>1438</v>
      </c>
      <c r="I12" s="2" t="s">
        <v>1439</v>
      </c>
      <c r="L12" s="2" t="s">
        <v>1364</v>
      </c>
      <c r="M12" s="2" t="s">
        <v>1440</v>
      </c>
      <c r="N12" s="2" t="s">
        <v>1441</v>
      </c>
      <c r="P12" s="2" t="s">
        <v>1442</v>
      </c>
      <c r="R12" s="2" t="s">
        <v>1443</v>
      </c>
      <c r="S12" s="2">
        <v>4.0</v>
      </c>
      <c r="AN12" s="2" t="s">
        <v>1368</v>
      </c>
    </row>
    <row r="13">
      <c r="A13" s="2" t="s">
        <v>1444</v>
      </c>
      <c r="B13" s="2" t="s">
        <v>1361</v>
      </c>
      <c r="C13" s="2">
        <v>2010.0</v>
      </c>
      <c r="D13" s="2" t="s">
        <v>1445</v>
      </c>
      <c r="E13" s="2" t="s">
        <v>1446</v>
      </c>
      <c r="F13" s="2" t="s">
        <v>1447</v>
      </c>
      <c r="I13" s="2" t="s">
        <v>1448</v>
      </c>
      <c r="L13" s="2" t="s">
        <v>1449</v>
      </c>
      <c r="M13" s="2" t="s">
        <v>1450</v>
      </c>
      <c r="N13" s="2" t="s">
        <v>1451</v>
      </c>
      <c r="P13" s="2" t="s">
        <v>1452</v>
      </c>
      <c r="R13" s="2" t="s">
        <v>1453</v>
      </c>
      <c r="S13" s="2">
        <v>70.0</v>
      </c>
      <c r="AN13" s="2" t="s">
        <v>1368</v>
      </c>
    </row>
    <row r="14">
      <c r="A14" s="2" t="s">
        <v>1454</v>
      </c>
      <c r="B14" s="2" t="s">
        <v>1361</v>
      </c>
      <c r="C14" s="2">
        <v>2008.0</v>
      </c>
      <c r="D14" s="2" t="s">
        <v>1455</v>
      </c>
      <c r="E14" s="2" t="s">
        <v>1456</v>
      </c>
      <c r="F14" s="2" t="s">
        <v>1457</v>
      </c>
      <c r="L14" s="2" t="s">
        <v>1458</v>
      </c>
      <c r="M14" s="2" t="s">
        <v>1459</v>
      </c>
      <c r="N14" s="2" t="s">
        <v>1460</v>
      </c>
      <c r="P14" s="2" t="s">
        <v>1461</v>
      </c>
      <c r="R14" s="2" t="s">
        <v>1462</v>
      </c>
      <c r="S14" s="2">
        <v>21.0</v>
      </c>
      <c r="AN14" s="2" t="s">
        <v>1368</v>
      </c>
    </row>
    <row r="15">
      <c r="A15" s="2" t="s">
        <v>1463</v>
      </c>
      <c r="B15" s="2" t="s">
        <v>1361</v>
      </c>
      <c r="C15" s="2">
        <v>2010.0</v>
      </c>
      <c r="D15" s="2" t="s">
        <v>1464</v>
      </c>
      <c r="E15" s="2" t="s">
        <v>1465</v>
      </c>
      <c r="F15" s="2" t="s">
        <v>1466</v>
      </c>
      <c r="I15" s="2" t="s">
        <v>1467</v>
      </c>
      <c r="L15" s="2" t="s">
        <v>1449</v>
      </c>
      <c r="M15" s="2" t="s">
        <v>1468</v>
      </c>
      <c r="N15" s="2" t="s">
        <v>1469</v>
      </c>
      <c r="P15" s="2" t="s">
        <v>1470</v>
      </c>
      <c r="R15" s="2" t="s">
        <v>1453</v>
      </c>
      <c r="S15" s="2">
        <v>27.0</v>
      </c>
      <c r="AN15" s="2" t="s">
        <v>1368</v>
      </c>
    </row>
    <row r="16">
      <c r="A16" s="2" t="s">
        <v>1471</v>
      </c>
      <c r="B16" s="2" t="s">
        <v>1361</v>
      </c>
      <c r="C16" s="2">
        <v>2014.0</v>
      </c>
      <c r="D16" s="2" t="s">
        <v>1472</v>
      </c>
      <c r="E16" s="2" t="s">
        <v>1473</v>
      </c>
      <c r="F16" s="2" t="s">
        <v>1474</v>
      </c>
      <c r="I16" s="2" t="s">
        <v>1475</v>
      </c>
      <c r="L16" s="2" t="s">
        <v>1476</v>
      </c>
      <c r="M16" s="2" t="s">
        <v>1477</v>
      </c>
      <c r="N16" s="2" t="s">
        <v>1478</v>
      </c>
      <c r="P16" s="2" t="s">
        <v>1479</v>
      </c>
      <c r="R16" s="2" t="s">
        <v>1480</v>
      </c>
      <c r="S16" s="2">
        <v>104.0</v>
      </c>
      <c r="AN16" s="2" t="s">
        <v>1368</v>
      </c>
    </row>
    <row r="17">
      <c r="A17" s="2" t="s">
        <v>1481</v>
      </c>
      <c r="B17" s="2" t="s">
        <v>1361</v>
      </c>
      <c r="C17" s="2">
        <v>2014.0</v>
      </c>
      <c r="D17" s="2" t="s">
        <v>1482</v>
      </c>
      <c r="E17" s="2" t="s">
        <v>1483</v>
      </c>
      <c r="F17" s="2" t="s">
        <v>1484</v>
      </c>
      <c r="I17" s="2" t="s">
        <v>1485</v>
      </c>
      <c r="L17" s="2" t="s">
        <v>1476</v>
      </c>
      <c r="M17" s="2" t="s">
        <v>1486</v>
      </c>
      <c r="N17" s="2" t="s">
        <v>1487</v>
      </c>
      <c r="P17" s="2" t="s">
        <v>1488</v>
      </c>
      <c r="S17" s="2">
        <v>169.0</v>
      </c>
      <c r="AN17" s="2" t="s">
        <v>1368</v>
      </c>
    </row>
    <row r="18">
      <c r="A18" s="2" t="s">
        <v>1489</v>
      </c>
      <c r="B18" s="2" t="s">
        <v>1361</v>
      </c>
      <c r="C18" s="2">
        <v>2002.0</v>
      </c>
      <c r="D18" s="2" t="s">
        <v>1490</v>
      </c>
      <c r="E18" s="2" t="s">
        <v>1491</v>
      </c>
      <c r="F18" s="2" t="s">
        <v>1492</v>
      </c>
      <c r="L18" s="2" t="s">
        <v>1493</v>
      </c>
      <c r="M18" s="2" t="s">
        <v>1494</v>
      </c>
      <c r="N18" s="2" t="s">
        <v>1495</v>
      </c>
      <c r="P18" s="2" t="s">
        <v>1496</v>
      </c>
      <c r="S18" s="2">
        <v>28.0</v>
      </c>
      <c r="AN18" s="2" t="s">
        <v>1368</v>
      </c>
    </row>
    <row r="19">
      <c r="A19" s="2" t="s">
        <v>1497</v>
      </c>
      <c r="B19" s="2" t="s">
        <v>1361</v>
      </c>
      <c r="C19" s="2">
        <v>2016.0</v>
      </c>
      <c r="D19" s="2" t="s">
        <v>1498</v>
      </c>
      <c r="E19" s="2" t="s">
        <v>1499</v>
      </c>
      <c r="F19" s="2" t="s">
        <v>1500</v>
      </c>
      <c r="I19" s="2" t="s">
        <v>1501</v>
      </c>
      <c r="L19" s="2" t="s">
        <v>1502</v>
      </c>
      <c r="M19" s="2" t="s">
        <v>1503</v>
      </c>
      <c r="N19" s="2" t="s">
        <v>1504</v>
      </c>
      <c r="P19" s="2" t="s">
        <v>1505</v>
      </c>
      <c r="R19" s="2" t="s">
        <v>1506</v>
      </c>
      <c r="S19" s="2">
        <v>63.0</v>
      </c>
      <c r="AN19" s="2" t="s">
        <v>1368</v>
      </c>
    </row>
    <row r="20">
      <c r="A20" s="2" t="s">
        <v>1507</v>
      </c>
      <c r="B20" s="2" t="s">
        <v>1361</v>
      </c>
      <c r="C20" s="2">
        <v>2018.0</v>
      </c>
      <c r="D20" s="2" t="s">
        <v>1508</v>
      </c>
      <c r="E20" s="2" t="s">
        <v>1509</v>
      </c>
      <c r="F20" s="2" t="s">
        <v>1510</v>
      </c>
      <c r="H20" s="2" t="s">
        <v>1511</v>
      </c>
      <c r="I20" s="2" t="s">
        <v>1512</v>
      </c>
      <c r="L20" s="2" t="s">
        <v>1420</v>
      </c>
      <c r="M20" s="2" t="s">
        <v>1513</v>
      </c>
      <c r="N20" s="2" t="s">
        <v>1514</v>
      </c>
      <c r="P20" s="2" t="s">
        <v>1515</v>
      </c>
      <c r="R20" s="2" t="s">
        <v>1516</v>
      </c>
      <c r="S20" s="2">
        <v>361.0</v>
      </c>
      <c r="AN20" s="2" t="s">
        <v>1368</v>
      </c>
    </row>
    <row r="21" ht="15.75" customHeight="1">
      <c r="A21" s="2" t="s">
        <v>1517</v>
      </c>
      <c r="B21" s="2" t="s">
        <v>1361</v>
      </c>
      <c r="C21" s="2">
        <v>2008.0</v>
      </c>
      <c r="D21" s="2" t="s">
        <v>1518</v>
      </c>
      <c r="E21" s="2" t="s">
        <v>1519</v>
      </c>
      <c r="F21" s="2" t="s">
        <v>1520</v>
      </c>
      <c r="I21" s="2" t="s">
        <v>1521</v>
      </c>
      <c r="K21" s="2" t="s">
        <v>1522</v>
      </c>
      <c r="L21" s="2" t="s">
        <v>1458</v>
      </c>
      <c r="M21" s="2" t="s">
        <v>1523</v>
      </c>
      <c r="N21" s="2" t="s">
        <v>1524</v>
      </c>
      <c r="AN21" s="2" t="s">
        <v>1368</v>
      </c>
    </row>
    <row r="22" ht="15.75" customHeight="1">
      <c r="A22" s="2" t="s">
        <v>1525</v>
      </c>
      <c r="B22" s="2" t="s">
        <v>1361</v>
      </c>
      <c r="C22" s="2">
        <v>2014.0</v>
      </c>
      <c r="D22" s="2" t="s">
        <v>1526</v>
      </c>
      <c r="E22" s="2" t="s">
        <v>1527</v>
      </c>
      <c r="F22" s="2" t="s">
        <v>1528</v>
      </c>
      <c r="H22" s="2" t="s">
        <v>1529</v>
      </c>
      <c r="I22" s="2" t="s">
        <v>1530</v>
      </c>
      <c r="J22" s="2" t="s">
        <v>1531</v>
      </c>
      <c r="K22" s="2" t="s">
        <v>1532</v>
      </c>
      <c r="L22" s="2" t="s">
        <v>1476</v>
      </c>
      <c r="M22" s="2" t="s">
        <v>1533</v>
      </c>
      <c r="N22" s="2" t="s">
        <v>1534</v>
      </c>
      <c r="O22" s="2" t="s">
        <v>1535</v>
      </c>
      <c r="P22" s="2" t="s">
        <v>1536</v>
      </c>
      <c r="R22" s="2" t="s">
        <v>1537</v>
      </c>
      <c r="S22" s="2">
        <v>65.0</v>
      </c>
      <c r="U22" s="2" t="s">
        <v>1538</v>
      </c>
      <c r="V22" s="2" t="s">
        <v>1539</v>
      </c>
      <c r="AC22" s="2" t="s">
        <v>1540</v>
      </c>
      <c r="AH22" s="2" t="s">
        <v>1541</v>
      </c>
      <c r="AN22" s="2" t="s">
        <v>1542</v>
      </c>
    </row>
    <row r="23" ht="15.75" customHeight="1">
      <c r="A23" s="2" t="s">
        <v>1543</v>
      </c>
      <c r="B23" s="2" t="s">
        <v>1361</v>
      </c>
      <c r="C23" s="2">
        <v>2008.0</v>
      </c>
      <c r="D23" s="2" t="s">
        <v>1544</v>
      </c>
      <c r="E23" s="2" t="s">
        <v>1545</v>
      </c>
      <c r="F23" s="2" t="s">
        <v>1510</v>
      </c>
      <c r="H23" s="2" t="s">
        <v>1546</v>
      </c>
      <c r="I23" s="2" t="s">
        <v>1547</v>
      </c>
      <c r="J23" s="2" t="s">
        <v>1548</v>
      </c>
      <c r="K23" s="2" t="s">
        <v>1549</v>
      </c>
      <c r="L23" s="2" t="s">
        <v>1550</v>
      </c>
      <c r="M23" s="2" t="s">
        <v>1551</v>
      </c>
      <c r="N23" s="2" t="s">
        <v>1552</v>
      </c>
      <c r="O23" s="2" t="s">
        <v>1553</v>
      </c>
      <c r="P23" s="2" t="s">
        <v>1554</v>
      </c>
      <c r="R23" s="2" t="s">
        <v>1555</v>
      </c>
      <c r="S23" s="2">
        <v>321.0</v>
      </c>
      <c r="U23" s="2" t="s">
        <v>1510</v>
      </c>
      <c r="AC23" s="2" t="s">
        <v>1540</v>
      </c>
      <c r="AH23" s="2" t="s">
        <v>1541</v>
      </c>
      <c r="AN23" s="2" t="s">
        <v>1556</v>
      </c>
    </row>
    <row r="24" ht="15.75" customHeight="1">
      <c r="A24" s="2" t="s">
        <v>1557</v>
      </c>
      <c r="B24" s="2" t="s">
        <v>1396</v>
      </c>
      <c r="C24" s="2">
        <v>2013.0</v>
      </c>
      <c r="D24" s="2" t="s">
        <v>1558</v>
      </c>
      <c r="E24" s="2" t="s">
        <v>1559</v>
      </c>
      <c r="G24" s="2" t="s">
        <v>1560</v>
      </c>
      <c r="K24" s="2" t="s">
        <v>1561</v>
      </c>
      <c r="L24" s="2" t="s">
        <v>1429</v>
      </c>
      <c r="M24" s="2" t="s">
        <v>1562</v>
      </c>
      <c r="N24" s="2" t="s">
        <v>1563</v>
      </c>
      <c r="Q24" s="2">
        <v>488.0</v>
      </c>
      <c r="AA24" s="2" t="s">
        <v>1564</v>
      </c>
      <c r="AB24" s="2" t="s">
        <v>1565</v>
      </c>
      <c r="AN24" s="2" t="s">
        <v>1566</v>
      </c>
    </row>
    <row r="25" ht="15.75" customHeight="1">
      <c r="A25" s="2" t="s">
        <v>1567</v>
      </c>
      <c r="B25" s="2" t="s">
        <v>1361</v>
      </c>
      <c r="C25" s="2">
        <v>2002.0</v>
      </c>
      <c r="D25" s="2" t="s">
        <v>1568</v>
      </c>
      <c r="E25" s="2" t="s">
        <v>1569</v>
      </c>
      <c r="F25" s="2" t="s">
        <v>1570</v>
      </c>
      <c r="H25" s="2" t="s">
        <v>1571</v>
      </c>
      <c r="I25" s="2" t="s">
        <v>226</v>
      </c>
      <c r="J25" s="2" t="s">
        <v>1572</v>
      </c>
      <c r="K25" s="2" t="s">
        <v>1573</v>
      </c>
      <c r="L25" s="2" t="s">
        <v>1493</v>
      </c>
      <c r="M25" s="2" t="s">
        <v>1385</v>
      </c>
      <c r="N25" s="2" t="s">
        <v>1386</v>
      </c>
      <c r="P25" s="2" t="s">
        <v>1574</v>
      </c>
      <c r="S25" s="2">
        <v>44.0</v>
      </c>
      <c r="AN25" s="2" t="s">
        <v>1368</v>
      </c>
    </row>
    <row r="26" ht="15.75" customHeight="1">
      <c r="A26" s="2" t="s">
        <v>1575</v>
      </c>
      <c r="B26" s="2" t="s">
        <v>1361</v>
      </c>
      <c r="C26" s="2">
        <v>2015.0</v>
      </c>
      <c r="D26" s="2" t="s">
        <v>1576</v>
      </c>
      <c r="E26" s="2" t="s">
        <v>1577</v>
      </c>
      <c r="F26" s="2" t="s">
        <v>1578</v>
      </c>
      <c r="H26" s="2" t="s">
        <v>1579</v>
      </c>
      <c r="I26" s="2" t="s">
        <v>1580</v>
      </c>
      <c r="J26" s="2" t="s">
        <v>1581</v>
      </c>
      <c r="K26" s="2" t="s">
        <v>1582</v>
      </c>
      <c r="L26" s="2" t="s">
        <v>1373</v>
      </c>
      <c r="M26" s="2" t="s">
        <v>1385</v>
      </c>
      <c r="N26" s="2" t="s">
        <v>1386</v>
      </c>
      <c r="P26" s="2" t="s">
        <v>1583</v>
      </c>
      <c r="S26" s="2">
        <v>45.0</v>
      </c>
      <c r="AN26" s="2" t="s">
        <v>1368</v>
      </c>
    </row>
    <row r="27" ht="15.75" customHeight="1">
      <c r="A27" s="2" t="s">
        <v>1584</v>
      </c>
      <c r="B27" s="2" t="s">
        <v>1361</v>
      </c>
      <c r="C27" s="2">
        <v>2013.0</v>
      </c>
      <c r="D27" s="2" t="s">
        <v>1585</v>
      </c>
      <c r="E27" s="2" t="s">
        <v>1586</v>
      </c>
      <c r="F27" s="2" t="s">
        <v>1587</v>
      </c>
      <c r="H27" s="2" t="s">
        <v>1588</v>
      </c>
      <c r="I27" s="2" t="s">
        <v>1589</v>
      </c>
      <c r="K27" s="2" t="s">
        <v>1590</v>
      </c>
      <c r="L27" s="2" t="s">
        <v>1429</v>
      </c>
      <c r="M27" s="2" t="s">
        <v>1385</v>
      </c>
      <c r="N27" s="2" t="s">
        <v>1386</v>
      </c>
      <c r="AN27" s="2" t="s">
        <v>1368</v>
      </c>
    </row>
    <row r="28" ht="15.75" customHeight="1">
      <c r="A28" s="2" t="s">
        <v>1591</v>
      </c>
      <c r="B28" s="2" t="s">
        <v>1361</v>
      </c>
      <c r="C28" s="2">
        <v>2010.0</v>
      </c>
      <c r="D28" s="2" t="s">
        <v>1592</v>
      </c>
      <c r="E28" s="2" t="s">
        <v>1593</v>
      </c>
      <c r="F28" s="2" t="s">
        <v>1594</v>
      </c>
      <c r="H28" s="2" t="s">
        <v>1595</v>
      </c>
      <c r="I28" s="2" t="s">
        <v>1596</v>
      </c>
      <c r="J28" s="2" t="s">
        <v>1597</v>
      </c>
      <c r="K28" s="2" t="s">
        <v>1598</v>
      </c>
      <c r="L28" s="2" t="s">
        <v>1449</v>
      </c>
      <c r="M28" s="2" t="s">
        <v>1385</v>
      </c>
      <c r="N28" s="2" t="s">
        <v>1386</v>
      </c>
      <c r="P28" s="2" t="s">
        <v>1599</v>
      </c>
      <c r="R28" s="2" t="s">
        <v>1600</v>
      </c>
      <c r="S28" s="2">
        <v>3.0</v>
      </c>
      <c r="AN28" s="2" t="s">
        <v>1601</v>
      </c>
    </row>
    <row r="29" ht="15.75" customHeight="1">
      <c r="A29" s="2" t="s">
        <v>1602</v>
      </c>
      <c r="B29" s="2" t="s">
        <v>1396</v>
      </c>
      <c r="C29" s="2">
        <v>2003.0</v>
      </c>
      <c r="D29" s="2" t="s">
        <v>1603</v>
      </c>
      <c r="E29" s="2" t="s">
        <v>1604</v>
      </c>
      <c r="J29" s="2" t="s">
        <v>1605</v>
      </c>
      <c r="L29" s="2" t="s">
        <v>1606</v>
      </c>
      <c r="M29" s="2" t="s">
        <v>1385</v>
      </c>
      <c r="N29" s="2" t="s">
        <v>1386</v>
      </c>
      <c r="AA29" s="2" t="s">
        <v>1607</v>
      </c>
      <c r="AB29" s="2" t="s">
        <v>1608</v>
      </c>
      <c r="AN29" s="2" t="s">
        <v>1609</v>
      </c>
    </row>
    <row r="30" ht="15.75" customHeight="1">
      <c r="A30" s="2" t="s">
        <v>1610</v>
      </c>
      <c r="B30" s="2" t="s">
        <v>1361</v>
      </c>
      <c r="C30" s="2">
        <v>2017.0</v>
      </c>
      <c r="D30" s="2" t="s">
        <v>1611</v>
      </c>
      <c r="E30" s="2" t="s">
        <v>1612</v>
      </c>
      <c r="F30" s="2" t="s">
        <v>1613</v>
      </c>
      <c r="H30" s="2" t="s">
        <v>1614</v>
      </c>
      <c r="I30" s="2" t="s">
        <v>1615</v>
      </c>
      <c r="J30" s="2" t="s">
        <v>1616</v>
      </c>
      <c r="K30" s="2" t="s">
        <v>1617</v>
      </c>
      <c r="L30" s="2" t="s">
        <v>1618</v>
      </c>
      <c r="M30" s="2" t="s">
        <v>1385</v>
      </c>
      <c r="N30" s="2" t="s">
        <v>1386</v>
      </c>
      <c r="P30" s="2" t="s">
        <v>1619</v>
      </c>
      <c r="R30" s="2" t="s">
        <v>1620</v>
      </c>
      <c r="S30" s="2">
        <v>3.0</v>
      </c>
      <c r="AN30" s="2" t="s">
        <v>1621</v>
      </c>
    </row>
    <row r="31" ht="15.75" customHeight="1">
      <c r="A31" s="2" t="s">
        <v>1622</v>
      </c>
      <c r="B31" s="2" t="s">
        <v>1623</v>
      </c>
      <c r="C31" s="2">
        <v>2011.0</v>
      </c>
      <c r="D31" s="2" t="s">
        <v>1624</v>
      </c>
      <c r="E31" s="2" t="s">
        <v>1625</v>
      </c>
      <c r="J31" s="2" t="s">
        <v>1626</v>
      </c>
      <c r="L31" s="2" t="s">
        <v>1627</v>
      </c>
      <c r="M31" s="2" t="s">
        <v>1385</v>
      </c>
      <c r="N31" s="2" t="s">
        <v>1386</v>
      </c>
      <c r="AA31" s="2" t="s">
        <v>1628</v>
      </c>
      <c r="AB31" s="2" t="s">
        <v>1629</v>
      </c>
      <c r="AN31" s="2" t="s">
        <v>1368</v>
      </c>
    </row>
    <row r="32" ht="15.75" customHeight="1">
      <c r="A32" s="2" t="s">
        <v>1630</v>
      </c>
      <c r="B32" s="2" t="s">
        <v>1361</v>
      </c>
      <c r="C32" s="2">
        <v>1999.0</v>
      </c>
      <c r="D32" s="2" t="s">
        <v>1631</v>
      </c>
      <c r="E32" s="2" t="s">
        <v>1632</v>
      </c>
      <c r="F32" s="2" t="s">
        <v>1633</v>
      </c>
      <c r="H32" s="2" t="s">
        <v>1634</v>
      </c>
      <c r="I32" s="2" t="s">
        <v>1635</v>
      </c>
      <c r="J32" s="2" t="s">
        <v>1636</v>
      </c>
      <c r="K32" s="2" t="s">
        <v>1637</v>
      </c>
      <c r="L32" s="2" t="s">
        <v>1434</v>
      </c>
      <c r="M32" s="2" t="s">
        <v>1385</v>
      </c>
      <c r="N32" s="2" t="s">
        <v>1386</v>
      </c>
      <c r="P32" s="2" t="s">
        <v>1638</v>
      </c>
      <c r="R32" s="2" t="s">
        <v>1600</v>
      </c>
      <c r="S32" s="2">
        <v>75.0</v>
      </c>
      <c r="AF32" s="2" t="s">
        <v>1639</v>
      </c>
      <c r="AN32" s="2" t="s">
        <v>1368</v>
      </c>
    </row>
    <row r="33" ht="15.75" customHeight="1">
      <c r="A33" s="2" t="s">
        <v>1640</v>
      </c>
      <c r="B33" s="2" t="s">
        <v>1361</v>
      </c>
      <c r="C33" s="2">
        <v>2017.0</v>
      </c>
      <c r="D33" s="2" t="s">
        <v>1641</v>
      </c>
      <c r="E33" s="2" t="s">
        <v>1642</v>
      </c>
      <c r="F33" s="2" t="s">
        <v>1500</v>
      </c>
      <c r="H33" s="2" t="s">
        <v>1643</v>
      </c>
      <c r="I33" s="2" t="s">
        <v>1644</v>
      </c>
      <c r="J33" s="2" t="s">
        <v>1645</v>
      </c>
      <c r="K33" s="2" t="s">
        <v>1646</v>
      </c>
      <c r="L33" s="2" t="s">
        <v>1647</v>
      </c>
      <c r="M33" s="2" t="s">
        <v>1385</v>
      </c>
      <c r="N33" s="2" t="s">
        <v>1386</v>
      </c>
      <c r="P33" s="2" t="s">
        <v>1648</v>
      </c>
      <c r="R33" s="2" t="s">
        <v>1453</v>
      </c>
      <c r="S33" s="2">
        <v>68.0</v>
      </c>
      <c r="AN33" s="2" t="s">
        <v>1368</v>
      </c>
    </row>
    <row r="34" ht="15.75" customHeight="1">
      <c r="A34" s="2" t="s">
        <v>1649</v>
      </c>
      <c r="B34" s="2" t="s">
        <v>1623</v>
      </c>
      <c r="C34" s="2">
        <v>2016.0</v>
      </c>
      <c r="D34" s="2" t="s">
        <v>1472</v>
      </c>
      <c r="E34" s="2" t="s">
        <v>1650</v>
      </c>
      <c r="J34" s="2" t="s">
        <v>1651</v>
      </c>
      <c r="K34" s="2" t="s">
        <v>1652</v>
      </c>
      <c r="L34" s="2" t="s">
        <v>1502</v>
      </c>
      <c r="M34" s="2" t="s">
        <v>1385</v>
      </c>
      <c r="N34" s="2" t="s">
        <v>1386</v>
      </c>
      <c r="AA34" s="2" t="s">
        <v>1653</v>
      </c>
      <c r="AE34" s="2" t="s">
        <v>1654</v>
      </c>
      <c r="AN34" s="2" t="s">
        <v>1368</v>
      </c>
      <c r="BH34" s="2">
        <v>22105.0</v>
      </c>
    </row>
    <row r="35" ht="15.75" customHeight="1">
      <c r="A35" s="2" t="s">
        <v>1655</v>
      </c>
      <c r="B35" s="2" t="s">
        <v>1623</v>
      </c>
      <c r="C35" s="2">
        <v>2017.0</v>
      </c>
      <c r="D35" s="2" t="s">
        <v>1656</v>
      </c>
      <c r="E35" s="2" t="s">
        <v>1657</v>
      </c>
      <c r="L35" s="2" t="s">
        <v>1658</v>
      </c>
      <c r="M35" s="2" t="s">
        <v>1385</v>
      </c>
      <c r="N35" s="2" t="s">
        <v>1386</v>
      </c>
      <c r="AA35" s="2" t="s">
        <v>1653</v>
      </c>
      <c r="AN35" s="2" t="s">
        <v>1368</v>
      </c>
    </row>
    <row r="36" ht="15.75" customHeight="1">
      <c r="A36" s="2" t="s">
        <v>1659</v>
      </c>
      <c r="B36" s="2" t="s">
        <v>1361</v>
      </c>
      <c r="C36" s="2">
        <v>2010.0</v>
      </c>
      <c r="D36" s="2" t="s">
        <v>1660</v>
      </c>
      <c r="E36" s="2" t="s">
        <v>1661</v>
      </c>
      <c r="F36" s="2" t="s">
        <v>1662</v>
      </c>
      <c r="H36" s="2" t="s">
        <v>1663</v>
      </c>
      <c r="I36" s="2" t="s">
        <v>1664</v>
      </c>
      <c r="J36" s="2" t="s">
        <v>1665</v>
      </c>
      <c r="K36" s="2" t="s">
        <v>1666</v>
      </c>
      <c r="L36" s="2" t="s">
        <v>1667</v>
      </c>
      <c r="M36" s="2" t="s">
        <v>1385</v>
      </c>
      <c r="N36" s="2" t="s">
        <v>1386</v>
      </c>
      <c r="P36" s="2" t="s">
        <v>1668</v>
      </c>
      <c r="R36" s="2" t="s">
        <v>1506</v>
      </c>
      <c r="S36" s="2">
        <v>115.0</v>
      </c>
      <c r="AN36" s="2" t="s">
        <v>1368</v>
      </c>
    </row>
    <row r="37" ht="15.75" customHeight="1">
      <c r="A37" s="2" t="s">
        <v>1669</v>
      </c>
      <c r="B37" s="2" t="s">
        <v>1361</v>
      </c>
      <c r="C37" s="2">
        <v>2007.0</v>
      </c>
      <c r="D37" s="2" t="s">
        <v>1670</v>
      </c>
      <c r="E37" s="2" t="s">
        <v>1671</v>
      </c>
      <c r="F37" s="2" t="s">
        <v>1672</v>
      </c>
      <c r="H37" s="2" t="s">
        <v>1673</v>
      </c>
      <c r="I37" s="2" t="s">
        <v>1674</v>
      </c>
      <c r="J37" s="2" t="s">
        <v>1675</v>
      </c>
      <c r="K37" s="2" t="s">
        <v>1676</v>
      </c>
      <c r="L37" s="2" t="s">
        <v>1677</v>
      </c>
      <c r="M37" s="2" t="s">
        <v>1385</v>
      </c>
      <c r="N37" s="2" t="s">
        <v>1386</v>
      </c>
      <c r="O37" s="2" t="s">
        <v>1678</v>
      </c>
      <c r="P37" s="2" t="s">
        <v>1679</v>
      </c>
      <c r="R37" s="2" t="s">
        <v>1453</v>
      </c>
      <c r="S37" s="2">
        <v>38.0</v>
      </c>
      <c r="U37" s="2" t="s">
        <v>1672</v>
      </c>
      <c r="AN37" s="2" t="s">
        <v>1368</v>
      </c>
    </row>
    <row r="38" ht="15.75" customHeight="1">
      <c r="A38" s="2" t="s">
        <v>1680</v>
      </c>
      <c r="B38" s="2" t="s">
        <v>1361</v>
      </c>
      <c r="C38" s="2">
        <v>2001.0</v>
      </c>
      <c r="D38" s="2" t="s">
        <v>1681</v>
      </c>
      <c r="E38" s="2" t="s">
        <v>1682</v>
      </c>
      <c r="F38" s="2" t="s">
        <v>1633</v>
      </c>
      <c r="H38" s="2" t="s">
        <v>1634</v>
      </c>
      <c r="I38" s="2" t="s">
        <v>1683</v>
      </c>
      <c r="K38" s="2" t="s">
        <v>1684</v>
      </c>
      <c r="L38" s="2" t="s">
        <v>1414</v>
      </c>
      <c r="M38" s="2" t="s">
        <v>1385</v>
      </c>
      <c r="N38" s="2" t="s">
        <v>1386</v>
      </c>
      <c r="P38" s="2" t="s">
        <v>1685</v>
      </c>
      <c r="R38" s="2" t="s">
        <v>1453</v>
      </c>
      <c r="S38" s="2">
        <v>77.0</v>
      </c>
      <c r="AN38" s="2" t="s">
        <v>1368</v>
      </c>
    </row>
    <row r="39" ht="15.75" customHeight="1">
      <c r="A39" s="2" t="s">
        <v>1686</v>
      </c>
      <c r="B39" s="2" t="s">
        <v>1361</v>
      </c>
      <c r="C39" s="2">
        <v>2015.0</v>
      </c>
      <c r="D39" s="2" t="s">
        <v>1687</v>
      </c>
      <c r="E39" s="2" t="s">
        <v>376</v>
      </c>
      <c r="F39" s="2" t="s">
        <v>1688</v>
      </c>
      <c r="H39" s="2" t="s">
        <v>1689</v>
      </c>
      <c r="I39" s="2" t="s">
        <v>378</v>
      </c>
      <c r="K39" s="2" t="s">
        <v>1690</v>
      </c>
      <c r="L39" s="2" t="s">
        <v>1373</v>
      </c>
      <c r="M39" s="2" t="s">
        <v>1385</v>
      </c>
      <c r="N39" s="2" t="s">
        <v>1386</v>
      </c>
      <c r="AN39" s="2" t="s">
        <v>1368</v>
      </c>
    </row>
    <row r="40" ht="15.75" customHeight="1">
      <c r="A40" s="2" t="s">
        <v>1691</v>
      </c>
      <c r="B40" s="2" t="s">
        <v>1361</v>
      </c>
      <c r="C40" s="2">
        <v>2008.0</v>
      </c>
      <c r="D40" s="2" t="s">
        <v>1692</v>
      </c>
      <c r="E40" s="2" t="s">
        <v>1693</v>
      </c>
      <c r="F40" s="2" t="s">
        <v>1694</v>
      </c>
      <c r="H40" s="2" t="s">
        <v>1695</v>
      </c>
      <c r="I40" s="2" t="s">
        <v>1696</v>
      </c>
      <c r="K40" s="2" t="s">
        <v>1697</v>
      </c>
      <c r="L40" s="2" t="s">
        <v>1458</v>
      </c>
      <c r="M40" s="2" t="s">
        <v>1385</v>
      </c>
      <c r="N40" s="2" t="s">
        <v>1386</v>
      </c>
      <c r="AN40" s="2" t="s">
        <v>1368</v>
      </c>
    </row>
    <row r="41" ht="15.75" customHeight="1">
      <c r="A41" s="2" t="s">
        <v>1698</v>
      </c>
      <c r="B41" s="2" t="s">
        <v>1361</v>
      </c>
      <c r="C41" s="2">
        <v>2002.0</v>
      </c>
      <c r="D41" s="2" t="s">
        <v>1699</v>
      </c>
      <c r="E41" s="2" t="s">
        <v>1700</v>
      </c>
      <c r="F41" s="2" t="s">
        <v>1701</v>
      </c>
      <c r="H41" s="2" t="s">
        <v>1702</v>
      </c>
      <c r="I41" s="2" t="s">
        <v>1703</v>
      </c>
      <c r="K41" s="2" t="s">
        <v>1704</v>
      </c>
      <c r="L41" s="2" t="s">
        <v>1493</v>
      </c>
      <c r="M41" s="2" t="s">
        <v>1385</v>
      </c>
      <c r="N41" s="2" t="s">
        <v>1386</v>
      </c>
      <c r="AN41" s="2" t="s">
        <v>1368</v>
      </c>
    </row>
    <row r="42" ht="15.75" customHeight="1">
      <c r="A42" s="2" t="s">
        <v>1705</v>
      </c>
      <c r="B42" s="2" t="s">
        <v>1361</v>
      </c>
      <c r="C42" s="2">
        <v>2017.0</v>
      </c>
      <c r="D42" s="2" t="s">
        <v>1706</v>
      </c>
      <c r="E42" s="2" t="s">
        <v>76</v>
      </c>
      <c r="F42" s="2" t="s">
        <v>1707</v>
      </c>
      <c r="H42" s="2" t="s">
        <v>1708</v>
      </c>
      <c r="I42" s="2" t="s">
        <v>79</v>
      </c>
      <c r="K42" s="2" t="s">
        <v>78</v>
      </c>
      <c r="L42" s="2" t="s">
        <v>1709</v>
      </c>
      <c r="M42" s="2" t="s">
        <v>1385</v>
      </c>
      <c r="N42" s="2" t="s">
        <v>1386</v>
      </c>
      <c r="P42" s="2" t="s">
        <v>1710</v>
      </c>
      <c r="R42" s="2" t="s">
        <v>1711</v>
      </c>
      <c r="S42" s="2">
        <v>1.0</v>
      </c>
      <c r="AN42" s="2" t="s">
        <v>1368</v>
      </c>
    </row>
    <row r="43" ht="15.75" customHeight="1">
      <c r="A43" s="2" t="s">
        <v>1712</v>
      </c>
      <c r="B43" s="2" t="s">
        <v>1361</v>
      </c>
      <c r="C43" s="2">
        <v>2012.0</v>
      </c>
      <c r="D43" s="2" t="s">
        <v>1713</v>
      </c>
      <c r="E43" s="2" t="s">
        <v>1714</v>
      </c>
      <c r="F43" s="2" t="s">
        <v>1715</v>
      </c>
      <c r="H43" s="2" t="s">
        <v>1716</v>
      </c>
      <c r="I43" s="2" t="s">
        <v>1717</v>
      </c>
      <c r="K43" s="2" t="s">
        <v>1718</v>
      </c>
      <c r="L43" s="2" t="s">
        <v>1405</v>
      </c>
      <c r="M43" s="2" t="s">
        <v>1385</v>
      </c>
      <c r="N43" s="2" t="s">
        <v>1386</v>
      </c>
      <c r="P43" s="2" t="s">
        <v>1719</v>
      </c>
      <c r="R43" s="2" t="s">
        <v>1462</v>
      </c>
      <c r="S43" s="2">
        <v>99.0</v>
      </c>
      <c r="AN43" s="2" t="s">
        <v>1368</v>
      </c>
    </row>
    <row r="44" ht="15.75" customHeight="1">
      <c r="A44" s="2" t="s">
        <v>1720</v>
      </c>
      <c r="B44" s="2" t="s">
        <v>1361</v>
      </c>
      <c r="C44" s="2">
        <v>2006.0</v>
      </c>
      <c r="D44" s="2" t="s">
        <v>1721</v>
      </c>
      <c r="E44" s="2" t="s">
        <v>1722</v>
      </c>
      <c r="F44" s="2" t="s">
        <v>1723</v>
      </c>
      <c r="H44" s="2" t="s">
        <v>1724</v>
      </c>
      <c r="I44" s="2" t="s">
        <v>1725</v>
      </c>
      <c r="K44" s="2" t="s">
        <v>1726</v>
      </c>
      <c r="L44" s="2" t="s">
        <v>1727</v>
      </c>
      <c r="M44" s="2" t="s">
        <v>1385</v>
      </c>
      <c r="N44" s="2" t="s">
        <v>1386</v>
      </c>
      <c r="AN44" s="2" t="s">
        <v>1368</v>
      </c>
    </row>
    <row r="45" ht="15.75" customHeight="1">
      <c r="A45" s="2" t="s">
        <v>1728</v>
      </c>
      <c r="B45" s="2" t="s">
        <v>1361</v>
      </c>
      <c r="C45" s="2">
        <v>1999.0</v>
      </c>
      <c r="D45" s="2" t="s">
        <v>1729</v>
      </c>
      <c r="E45" s="2" t="s">
        <v>1730</v>
      </c>
      <c r="F45" s="2" t="s">
        <v>1731</v>
      </c>
      <c r="H45" s="2" t="s">
        <v>1732</v>
      </c>
      <c r="I45" s="2" t="s">
        <v>1733</v>
      </c>
      <c r="K45" s="2" t="s">
        <v>1734</v>
      </c>
      <c r="L45" s="2" t="s">
        <v>1434</v>
      </c>
      <c r="M45" s="2" t="s">
        <v>1385</v>
      </c>
      <c r="N45" s="2" t="s">
        <v>1386</v>
      </c>
      <c r="AN45" s="2" t="s">
        <v>1368</v>
      </c>
    </row>
    <row r="46" ht="15.75" customHeight="1">
      <c r="A46" s="2" t="s">
        <v>1735</v>
      </c>
      <c r="B46" s="2" t="s">
        <v>1361</v>
      </c>
      <c r="C46" s="2">
        <v>2015.0</v>
      </c>
      <c r="D46" s="2" t="s">
        <v>1736</v>
      </c>
      <c r="E46" s="2" t="s">
        <v>1737</v>
      </c>
      <c r="F46" s="2" t="s">
        <v>1425</v>
      </c>
      <c r="H46" s="2" t="s">
        <v>1738</v>
      </c>
      <c r="I46" s="2" t="s">
        <v>1739</v>
      </c>
      <c r="K46" s="2" t="s">
        <v>1740</v>
      </c>
      <c r="L46" s="2" t="s">
        <v>1373</v>
      </c>
      <c r="M46" s="2" t="s">
        <v>1385</v>
      </c>
      <c r="N46" s="2" t="s">
        <v>1386</v>
      </c>
      <c r="AN46" s="2" t="s">
        <v>1368</v>
      </c>
    </row>
    <row r="47" ht="15.75" customHeight="1">
      <c r="A47" s="2" t="s">
        <v>1741</v>
      </c>
      <c r="B47" s="2" t="s">
        <v>1361</v>
      </c>
      <c r="C47" s="2">
        <v>1999.0</v>
      </c>
      <c r="D47" s="2" t="s">
        <v>1742</v>
      </c>
      <c r="E47" s="2" t="s">
        <v>1743</v>
      </c>
      <c r="F47" s="2" t="s">
        <v>1744</v>
      </c>
      <c r="H47" s="2" t="s">
        <v>1745</v>
      </c>
      <c r="I47" s="2" t="s">
        <v>1746</v>
      </c>
      <c r="K47" s="2" t="s">
        <v>1747</v>
      </c>
      <c r="L47" s="2" t="s">
        <v>1434</v>
      </c>
      <c r="M47" s="2" t="s">
        <v>1385</v>
      </c>
      <c r="N47" s="2" t="s">
        <v>1386</v>
      </c>
      <c r="AN47" s="2" t="s">
        <v>1368</v>
      </c>
    </row>
    <row r="48" ht="15.75" customHeight="1">
      <c r="A48" s="2" t="s">
        <v>1748</v>
      </c>
      <c r="B48" s="2" t="s">
        <v>1361</v>
      </c>
      <c r="C48" s="2">
        <v>2002.0</v>
      </c>
      <c r="D48" s="2" t="s">
        <v>1749</v>
      </c>
      <c r="E48" s="2" t="s">
        <v>1750</v>
      </c>
      <c r="L48" s="2" t="s">
        <v>1493</v>
      </c>
      <c r="M48" s="2" t="s">
        <v>1385</v>
      </c>
      <c r="N48" s="2" t="s">
        <v>1386</v>
      </c>
      <c r="P48" s="2" t="s">
        <v>1751</v>
      </c>
      <c r="R48" s="2" t="s">
        <v>1462</v>
      </c>
      <c r="S48" s="2">
        <v>16.0</v>
      </c>
      <c r="AN48" s="2" t="s">
        <v>1368</v>
      </c>
    </row>
    <row r="49" ht="15.75" customHeight="1">
      <c r="A49" s="2" t="s">
        <v>1752</v>
      </c>
      <c r="B49" s="2" t="s">
        <v>1396</v>
      </c>
      <c r="C49" s="2">
        <v>2016.0</v>
      </c>
      <c r="D49" s="2" t="s">
        <v>1753</v>
      </c>
      <c r="E49" s="2" t="s">
        <v>1754</v>
      </c>
      <c r="G49" s="2" t="s">
        <v>1755</v>
      </c>
      <c r="K49" s="2" t="s">
        <v>1756</v>
      </c>
      <c r="L49" s="2" t="s">
        <v>1502</v>
      </c>
      <c r="M49" s="2" t="s">
        <v>1385</v>
      </c>
      <c r="N49" s="2" t="s">
        <v>1386</v>
      </c>
      <c r="AN49" s="2" t="s">
        <v>1368</v>
      </c>
    </row>
    <row r="50" ht="15.75" customHeight="1">
      <c r="A50" s="2" t="s">
        <v>1757</v>
      </c>
      <c r="B50" s="2" t="s">
        <v>1361</v>
      </c>
      <c r="C50" s="2">
        <v>2018.0</v>
      </c>
      <c r="D50" s="2" t="s">
        <v>1758</v>
      </c>
      <c r="E50" s="2" t="s">
        <v>1759</v>
      </c>
      <c r="F50" s="2" t="s">
        <v>1760</v>
      </c>
      <c r="H50" s="2" t="s">
        <v>1761</v>
      </c>
      <c r="I50" s="2" t="s">
        <v>1762</v>
      </c>
      <c r="K50" s="2" t="s">
        <v>1763</v>
      </c>
      <c r="L50" s="2" t="s">
        <v>1420</v>
      </c>
      <c r="M50" s="2" t="s">
        <v>1385</v>
      </c>
      <c r="N50" s="2" t="s">
        <v>1386</v>
      </c>
      <c r="P50" s="2" t="s">
        <v>1764</v>
      </c>
      <c r="S50" s="2">
        <v>143.0</v>
      </c>
      <c r="AN50" s="2" t="s">
        <v>1368</v>
      </c>
    </row>
    <row r="51" ht="15.75" customHeight="1">
      <c r="A51" s="2" t="s">
        <v>1765</v>
      </c>
      <c r="B51" s="2" t="s">
        <v>1766</v>
      </c>
      <c r="C51" s="2">
        <v>2014.0</v>
      </c>
      <c r="D51" s="2" t="s">
        <v>1767</v>
      </c>
      <c r="E51" s="2" t="s">
        <v>1768</v>
      </c>
      <c r="F51" s="2" t="s">
        <v>1769</v>
      </c>
      <c r="L51" s="2" t="s">
        <v>1476</v>
      </c>
      <c r="M51" s="2" t="s">
        <v>1385</v>
      </c>
      <c r="N51" s="2" t="s">
        <v>1386</v>
      </c>
      <c r="P51" s="2" t="s">
        <v>1770</v>
      </c>
      <c r="AA51" s="2" t="s">
        <v>1771</v>
      </c>
      <c r="AN51" s="2" t="s">
        <v>1368</v>
      </c>
    </row>
    <row r="52" ht="15.75" customHeight="1">
      <c r="A52" s="2" t="s">
        <v>1772</v>
      </c>
      <c r="B52" s="2" t="s">
        <v>1361</v>
      </c>
      <c r="C52" s="2">
        <v>2013.0</v>
      </c>
      <c r="D52" s="2" t="s">
        <v>1773</v>
      </c>
      <c r="E52" s="2" t="s">
        <v>1774</v>
      </c>
      <c r="F52" s="2" t="s">
        <v>1363</v>
      </c>
      <c r="H52" s="2" t="s">
        <v>1775</v>
      </c>
      <c r="I52" s="2" t="s">
        <v>1776</v>
      </c>
      <c r="K52" s="2" t="s">
        <v>1777</v>
      </c>
      <c r="L52" s="2" t="s">
        <v>1429</v>
      </c>
      <c r="M52" s="2" t="s">
        <v>1385</v>
      </c>
      <c r="N52" s="2" t="s">
        <v>1386</v>
      </c>
      <c r="P52" s="2" t="s">
        <v>1778</v>
      </c>
      <c r="R52" s="2" t="s">
        <v>1779</v>
      </c>
      <c r="S52" s="2">
        <v>368.0</v>
      </c>
      <c r="AN52" s="2" t="s">
        <v>1368</v>
      </c>
    </row>
    <row r="53" ht="15.75" customHeight="1">
      <c r="A53" s="2" t="s">
        <v>1780</v>
      </c>
      <c r="B53" s="2" t="s">
        <v>1781</v>
      </c>
      <c r="C53" s="2">
        <v>2014.0</v>
      </c>
      <c r="D53" s="2" t="s">
        <v>1782</v>
      </c>
      <c r="E53" s="2" t="s">
        <v>1783</v>
      </c>
      <c r="K53" s="2" t="s">
        <v>1784</v>
      </c>
      <c r="L53" s="2" t="s">
        <v>1476</v>
      </c>
      <c r="M53" s="2" t="s">
        <v>1385</v>
      </c>
      <c r="N53" s="2" t="s">
        <v>1386</v>
      </c>
      <c r="AB53" s="2" t="s">
        <v>1785</v>
      </c>
      <c r="AN53" s="2" t="s">
        <v>1368</v>
      </c>
    </row>
    <row r="54" ht="15.75" customHeight="1">
      <c r="A54" s="2" t="s">
        <v>1786</v>
      </c>
      <c r="B54" s="2" t="s">
        <v>1361</v>
      </c>
      <c r="C54" s="2">
        <v>2008.0</v>
      </c>
      <c r="D54" s="2" t="s">
        <v>1787</v>
      </c>
      <c r="E54" s="2" t="s">
        <v>1788</v>
      </c>
      <c r="F54" s="2" t="s">
        <v>1789</v>
      </c>
      <c r="H54" s="2" t="s">
        <v>1790</v>
      </c>
      <c r="I54" s="2" t="s">
        <v>1791</v>
      </c>
      <c r="K54" s="2" t="s">
        <v>1792</v>
      </c>
      <c r="L54" s="2" t="s">
        <v>1458</v>
      </c>
      <c r="M54" s="2" t="s">
        <v>1385</v>
      </c>
      <c r="N54" s="2" t="s">
        <v>1386</v>
      </c>
      <c r="AN54" s="2" t="s">
        <v>1368</v>
      </c>
    </row>
    <row r="55" ht="15.75" customHeight="1">
      <c r="A55" s="2" t="s">
        <v>1793</v>
      </c>
      <c r="B55" s="2" t="s">
        <v>1361</v>
      </c>
      <c r="C55" s="2">
        <v>2014.0</v>
      </c>
      <c r="D55" s="2" t="s">
        <v>1794</v>
      </c>
      <c r="E55" s="2" t="s">
        <v>1795</v>
      </c>
      <c r="F55" s="2" t="s">
        <v>1796</v>
      </c>
      <c r="H55" s="2" t="s">
        <v>1797</v>
      </c>
      <c r="I55" s="2" t="s">
        <v>467</v>
      </c>
      <c r="K55" s="2" t="s">
        <v>1798</v>
      </c>
      <c r="L55" s="2" t="s">
        <v>1476</v>
      </c>
      <c r="M55" s="2" t="s">
        <v>1385</v>
      </c>
      <c r="N55" s="2" t="s">
        <v>1386</v>
      </c>
      <c r="AN55" s="2" t="s">
        <v>1368</v>
      </c>
    </row>
    <row r="56" ht="15.75" customHeight="1">
      <c r="A56" s="2" t="s">
        <v>1799</v>
      </c>
      <c r="B56" s="2" t="s">
        <v>1766</v>
      </c>
      <c r="C56" s="2">
        <v>1997.0</v>
      </c>
      <c r="D56" s="2" t="s">
        <v>1800</v>
      </c>
      <c r="E56" s="2" t="s">
        <v>1801</v>
      </c>
      <c r="F56" s="2" t="s">
        <v>1802</v>
      </c>
      <c r="K56" s="2" t="s">
        <v>1803</v>
      </c>
      <c r="L56" s="2" t="s">
        <v>1804</v>
      </c>
      <c r="M56" s="2" t="s">
        <v>1385</v>
      </c>
      <c r="N56" s="2" t="s">
        <v>1386</v>
      </c>
      <c r="AN56" s="2" t="s">
        <v>1368</v>
      </c>
    </row>
    <row r="57" ht="15.75" customHeight="1">
      <c r="A57" s="2" t="s">
        <v>1805</v>
      </c>
      <c r="B57" s="2" t="s">
        <v>1396</v>
      </c>
      <c r="C57" s="2">
        <v>2013.0</v>
      </c>
      <c r="D57" s="2" t="s">
        <v>1806</v>
      </c>
      <c r="E57" s="2" t="s">
        <v>1807</v>
      </c>
      <c r="K57" s="2" t="s">
        <v>1808</v>
      </c>
      <c r="L57" s="2" t="s">
        <v>1429</v>
      </c>
      <c r="M57" s="2" t="s">
        <v>1385</v>
      </c>
      <c r="N57" s="2" t="s">
        <v>1386</v>
      </c>
      <c r="AA57" s="2" t="s">
        <v>1809</v>
      </c>
      <c r="AN57" s="2" t="s">
        <v>1368</v>
      </c>
    </row>
    <row r="58" ht="15.75" customHeight="1">
      <c r="A58" s="2" t="s">
        <v>1810</v>
      </c>
      <c r="B58" s="2" t="s">
        <v>1361</v>
      </c>
      <c r="C58" s="2">
        <v>2011.0</v>
      </c>
      <c r="D58" s="2" t="s">
        <v>1811</v>
      </c>
      <c r="E58" s="2" t="s">
        <v>1812</v>
      </c>
      <c r="F58" s="2" t="s">
        <v>1425</v>
      </c>
      <c r="H58" s="2" t="s">
        <v>1426</v>
      </c>
      <c r="I58" s="2" t="s">
        <v>1813</v>
      </c>
      <c r="L58" s="2" t="s">
        <v>1627</v>
      </c>
      <c r="M58" s="2" t="s">
        <v>1385</v>
      </c>
      <c r="N58" s="2" t="s">
        <v>1386</v>
      </c>
      <c r="P58" s="2" t="s">
        <v>1814</v>
      </c>
      <c r="R58" s="2" t="s">
        <v>1462</v>
      </c>
      <c r="S58" s="2">
        <v>61.0</v>
      </c>
      <c r="AN58" s="2" t="s">
        <v>1368</v>
      </c>
    </row>
    <row r="59" ht="15.75" customHeight="1">
      <c r="A59" s="2" t="s">
        <v>1815</v>
      </c>
      <c r="B59" s="2" t="s">
        <v>1396</v>
      </c>
      <c r="C59" s="2">
        <v>1985.0</v>
      </c>
      <c r="D59" s="2" t="s">
        <v>1816</v>
      </c>
      <c r="E59" s="2" t="s">
        <v>1817</v>
      </c>
      <c r="G59" s="2" t="s">
        <v>1818</v>
      </c>
      <c r="K59" s="2" t="s">
        <v>1819</v>
      </c>
      <c r="L59" s="2" t="s">
        <v>1820</v>
      </c>
      <c r="M59" s="2" t="s">
        <v>1385</v>
      </c>
      <c r="N59" s="2" t="s">
        <v>1386</v>
      </c>
      <c r="Q59" s="2">
        <v>266.0</v>
      </c>
      <c r="AA59" s="2" t="s">
        <v>1821</v>
      </c>
      <c r="AN59" s="2" t="s">
        <v>1368</v>
      </c>
    </row>
    <row r="60" ht="15.75" customHeight="1">
      <c r="A60" s="2" t="s">
        <v>1822</v>
      </c>
      <c r="B60" s="2" t="s">
        <v>1361</v>
      </c>
      <c r="C60" s="2">
        <v>2009.0</v>
      </c>
      <c r="D60" s="2" t="s">
        <v>1823</v>
      </c>
      <c r="E60" s="2" t="s">
        <v>1824</v>
      </c>
      <c r="F60" s="2" t="s">
        <v>1825</v>
      </c>
      <c r="I60" s="2" t="s">
        <v>1826</v>
      </c>
      <c r="L60" s="2" t="s">
        <v>1364</v>
      </c>
      <c r="M60" s="2" t="s">
        <v>1385</v>
      </c>
      <c r="N60" s="2" t="s">
        <v>1386</v>
      </c>
      <c r="P60" s="2" t="s">
        <v>1827</v>
      </c>
      <c r="R60" s="2" t="s">
        <v>1506</v>
      </c>
      <c r="S60" s="2">
        <v>91.0</v>
      </c>
      <c r="AN60" s="2" t="s">
        <v>1368</v>
      </c>
    </row>
    <row r="61" ht="15.75" customHeight="1">
      <c r="A61" s="2" t="s">
        <v>1828</v>
      </c>
      <c r="B61" s="2" t="s">
        <v>1361</v>
      </c>
      <c r="C61" s="2">
        <v>2010.0</v>
      </c>
      <c r="D61" s="2" t="s">
        <v>1829</v>
      </c>
      <c r="E61" s="2" t="s">
        <v>1830</v>
      </c>
      <c r="F61" s="2" t="s">
        <v>1831</v>
      </c>
      <c r="H61" s="2" t="s">
        <v>1832</v>
      </c>
      <c r="I61" s="2" t="s">
        <v>1833</v>
      </c>
      <c r="K61" s="2" t="s">
        <v>1834</v>
      </c>
      <c r="L61" s="2" t="s">
        <v>1835</v>
      </c>
      <c r="M61" s="2" t="s">
        <v>1385</v>
      </c>
      <c r="N61" s="2" t="s">
        <v>1386</v>
      </c>
      <c r="P61" s="2" t="s">
        <v>1836</v>
      </c>
      <c r="R61" s="2" t="s">
        <v>1506</v>
      </c>
      <c r="S61" s="2">
        <v>19.0</v>
      </c>
      <c r="AN61" s="2" t="s">
        <v>1368</v>
      </c>
    </row>
    <row r="62" ht="15.75" customHeight="1">
      <c r="A62" s="2" t="s">
        <v>1837</v>
      </c>
      <c r="B62" s="2" t="s">
        <v>1361</v>
      </c>
      <c r="C62" s="2">
        <v>1997.0</v>
      </c>
      <c r="D62" s="2" t="s">
        <v>1838</v>
      </c>
      <c r="E62" s="2" t="s">
        <v>1839</v>
      </c>
      <c r="F62" s="2" t="s">
        <v>1840</v>
      </c>
      <c r="I62" s="2" t="s">
        <v>1841</v>
      </c>
      <c r="L62" s="2" t="s">
        <v>1804</v>
      </c>
      <c r="M62" s="2" t="s">
        <v>1842</v>
      </c>
      <c r="N62" s="2" t="s">
        <v>1843</v>
      </c>
      <c r="P62" s="2" t="s">
        <v>1844</v>
      </c>
      <c r="R62" s="2">
        <v>3.0</v>
      </c>
      <c r="S62" s="2">
        <v>28.0</v>
      </c>
      <c r="AN62" s="2" t="s">
        <v>1368</v>
      </c>
    </row>
    <row r="63" ht="15.75" customHeight="1">
      <c r="A63" s="2" t="s">
        <v>1845</v>
      </c>
      <c r="B63" s="2" t="s">
        <v>1361</v>
      </c>
      <c r="C63" s="2">
        <v>2014.0</v>
      </c>
      <c r="D63" s="2" t="s">
        <v>1846</v>
      </c>
      <c r="E63" s="2" t="s">
        <v>1847</v>
      </c>
      <c r="F63" s="2" t="s">
        <v>1848</v>
      </c>
      <c r="J63" s="2" t="s">
        <v>1849</v>
      </c>
      <c r="K63" s="2" t="s">
        <v>1850</v>
      </c>
      <c r="L63" s="2" t="s">
        <v>1476</v>
      </c>
      <c r="M63" s="2" t="s">
        <v>1851</v>
      </c>
      <c r="N63" s="2" t="s">
        <v>1852</v>
      </c>
      <c r="AN63" s="2" t="s">
        <v>1368</v>
      </c>
    </row>
    <row r="64" ht="15.75" customHeight="1">
      <c r="A64" s="2" t="s">
        <v>1853</v>
      </c>
      <c r="B64" s="2" t="s">
        <v>1361</v>
      </c>
      <c r="C64" s="2">
        <v>2016.0</v>
      </c>
      <c r="D64" s="2" t="s">
        <v>1854</v>
      </c>
      <c r="E64" s="2" t="s">
        <v>1855</v>
      </c>
      <c r="F64" s="2" t="s">
        <v>1856</v>
      </c>
      <c r="I64" s="2" t="s">
        <v>1857</v>
      </c>
      <c r="L64" s="2" t="s">
        <v>1502</v>
      </c>
      <c r="M64" s="2" t="s">
        <v>1858</v>
      </c>
      <c r="N64" s="2" t="s">
        <v>1859</v>
      </c>
      <c r="P64" s="2" t="s">
        <v>1860</v>
      </c>
      <c r="R64" s="2">
        <v>3.0</v>
      </c>
      <c r="S64" s="2">
        <v>6.0</v>
      </c>
      <c r="AN64" s="2" t="s">
        <v>1368</v>
      </c>
    </row>
    <row r="65" ht="15.75" customHeight="1">
      <c r="A65" s="2" t="s">
        <v>1861</v>
      </c>
      <c r="B65" s="2" t="s">
        <v>1361</v>
      </c>
      <c r="C65" s="2">
        <v>2001.0</v>
      </c>
      <c r="D65" s="2" t="s">
        <v>1846</v>
      </c>
      <c r="E65" s="2" t="s">
        <v>1862</v>
      </c>
      <c r="F65" s="2" t="s">
        <v>1863</v>
      </c>
      <c r="H65" s="2" t="s">
        <v>1864</v>
      </c>
      <c r="I65" s="2" t="s">
        <v>1865</v>
      </c>
      <c r="J65" s="2" t="s">
        <v>1866</v>
      </c>
      <c r="L65" s="2" t="s">
        <v>1867</v>
      </c>
      <c r="M65" s="2" t="s">
        <v>1868</v>
      </c>
      <c r="N65" s="2" t="s">
        <v>1869</v>
      </c>
      <c r="O65" s="2" t="s">
        <v>1870</v>
      </c>
      <c r="P65" s="2" t="s">
        <v>1871</v>
      </c>
      <c r="R65" s="2">
        <v>10.0</v>
      </c>
      <c r="S65" s="2">
        <v>29.0</v>
      </c>
      <c r="U65" s="2" t="s">
        <v>1863</v>
      </c>
      <c r="AC65" s="2" t="s">
        <v>1540</v>
      </c>
      <c r="AH65" s="2" t="s">
        <v>1541</v>
      </c>
      <c r="AN65" s="2" t="s">
        <v>1872</v>
      </c>
    </row>
    <row r="66" ht="15.75" customHeight="1">
      <c r="A66" s="2" t="s">
        <v>1873</v>
      </c>
      <c r="B66" s="2" t="s">
        <v>1361</v>
      </c>
      <c r="C66" s="2">
        <v>2009.0</v>
      </c>
      <c r="D66" s="2" t="s">
        <v>1874</v>
      </c>
      <c r="E66" s="2" t="s">
        <v>1875</v>
      </c>
      <c r="F66" s="2" t="s">
        <v>1876</v>
      </c>
      <c r="H66" s="2" t="s">
        <v>1877</v>
      </c>
      <c r="I66" s="2" t="s">
        <v>1878</v>
      </c>
      <c r="J66" s="2" t="s">
        <v>1879</v>
      </c>
      <c r="L66" s="2" t="s">
        <v>1880</v>
      </c>
      <c r="M66" s="2" t="s">
        <v>1881</v>
      </c>
      <c r="N66" s="2" t="s">
        <v>1882</v>
      </c>
      <c r="O66" s="2" t="s">
        <v>1883</v>
      </c>
      <c r="P66" s="2" t="s">
        <v>1884</v>
      </c>
      <c r="R66" s="2">
        <v>2.0</v>
      </c>
      <c r="S66" s="2">
        <v>4.0</v>
      </c>
      <c r="U66" s="2" t="s">
        <v>1876</v>
      </c>
      <c r="AC66" s="2" t="s">
        <v>1540</v>
      </c>
      <c r="AH66" s="2" t="s">
        <v>1541</v>
      </c>
      <c r="AN66" s="2" t="s">
        <v>1885</v>
      </c>
      <c r="AP66" s="2" t="s">
        <v>1886</v>
      </c>
    </row>
    <row r="67" ht="15.75" customHeight="1">
      <c r="A67" s="2" t="s">
        <v>1887</v>
      </c>
      <c r="B67" s="2" t="s">
        <v>1361</v>
      </c>
      <c r="C67" s="2">
        <v>2014.0</v>
      </c>
      <c r="D67" s="2" t="s">
        <v>1888</v>
      </c>
      <c r="E67" s="2" t="s">
        <v>1889</v>
      </c>
      <c r="F67" s="2" t="s">
        <v>1890</v>
      </c>
      <c r="H67" s="2" t="s">
        <v>1891</v>
      </c>
      <c r="I67" s="2" t="s">
        <v>1892</v>
      </c>
      <c r="J67" s="2" t="s">
        <v>1893</v>
      </c>
      <c r="K67" s="2" t="s">
        <v>1894</v>
      </c>
      <c r="L67" s="2" t="s">
        <v>1476</v>
      </c>
      <c r="M67" s="2" t="s">
        <v>1385</v>
      </c>
      <c r="N67" s="2" t="s">
        <v>1386</v>
      </c>
      <c r="P67" s="2" t="s">
        <v>1895</v>
      </c>
      <c r="R67" s="2">
        <v>4.0</v>
      </c>
      <c r="S67" s="2">
        <v>12.0</v>
      </c>
      <c r="AN67" s="2" t="s">
        <v>1368</v>
      </c>
    </row>
    <row r="68" ht="15.75" customHeight="1">
      <c r="A68" s="2" t="s">
        <v>1896</v>
      </c>
      <c r="B68" s="2" t="s">
        <v>1361</v>
      </c>
      <c r="C68" s="2">
        <v>2010.0</v>
      </c>
      <c r="D68" s="2" t="s">
        <v>1897</v>
      </c>
      <c r="E68" s="2" t="s">
        <v>841</v>
      </c>
      <c r="F68" s="2" t="s">
        <v>1688</v>
      </c>
      <c r="H68" s="2" t="s">
        <v>1689</v>
      </c>
      <c r="I68" s="2" t="s">
        <v>843</v>
      </c>
      <c r="J68" s="2" t="s">
        <v>1898</v>
      </c>
      <c r="K68" s="2" t="s">
        <v>1899</v>
      </c>
      <c r="L68" s="2" t="s">
        <v>1900</v>
      </c>
      <c r="M68" s="2" t="s">
        <v>1385</v>
      </c>
      <c r="N68" s="2" t="s">
        <v>1386</v>
      </c>
      <c r="P68" s="2" t="s">
        <v>1901</v>
      </c>
      <c r="R68" s="2">
        <v>33.0</v>
      </c>
      <c r="S68" s="2">
        <v>107.0</v>
      </c>
      <c r="AN68" s="2" t="s">
        <v>1621</v>
      </c>
    </row>
    <row r="69" ht="15.75" customHeight="1">
      <c r="A69" s="2" t="s">
        <v>1902</v>
      </c>
      <c r="B69" s="2" t="s">
        <v>1361</v>
      </c>
      <c r="C69" s="2">
        <v>2005.0</v>
      </c>
      <c r="D69" s="2" t="s">
        <v>1903</v>
      </c>
      <c r="E69" s="2" t="s">
        <v>1904</v>
      </c>
      <c r="F69" s="2" t="s">
        <v>1863</v>
      </c>
      <c r="H69" s="2" t="s">
        <v>1864</v>
      </c>
      <c r="I69" s="2" t="s">
        <v>1905</v>
      </c>
      <c r="K69" s="2" t="s">
        <v>1906</v>
      </c>
      <c r="L69" s="2" t="s">
        <v>1394</v>
      </c>
      <c r="M69" s="2" t="s">
        <v>1385</v>
      </c>
      <c r="N69" s="2" t="s">
        <v>1386</v>
      </c>
      <c r="P69" s="2" t="s">
        <v>1907</v>
      </c>
      <c r="R69" s="2">
        <v>7.0</v>
      </c>
      <c r="S69" s="2">
        <v>33.0</v>
      </c>
      <c r="AN69" s="2" t="s">
        <v>1368</v>
      </c>
    </row>
    <row r="70" ht="15.75" customHeight="1">
      <c r="A70" s="2" t="s">
        <v>1908</v>
      </c>
      <c r="B70" s="2" t="s">
        <v>1361</v>
      </c>
      <c r="C70" s="2">
        <v>2009.0</v>
      </c>
      <c r="D70" s="2" t="s">
        <v>1909</v>
      </c>
      <c r="E70" s="2" t="s">
        <v>1910</v>
      </c>
      <c r="F70" s="2" t="s">
        <v>1760</v>
      </c>
      <c r="H70" s="2" t="s">
        <v>1761</v>
      </c>
      <c r="I70" s="2" t="s">
        <v>1911</v>
      </c>
      <c r="K70" s="2" t="s">
        <v>1912</v>
      </c>
      <c r="L70" s="2" t="s">
        <v>1364</v>
      </c>
      <c r="M70" s="2" t="s">
        <v>1385</v>
      </c>
      <c r="N70" s="2" t="s">
        <v>1386</v>
      </c>
      <c r="P70" s="2" t="s">
        <v>1913</v>
      </c>
      <c r="R70" s="2">
        <v>11.0</v>
      </c>
      <c r="S70" s="2">
        <v>68.0</v>
      </c>
      <c r="AN70" s="2" t="s">
        <v>1368</v>
      </c>
    </row>
    <row r="71" ht="15.75" customHeight="1">
      <c r="A71" s="2" t="s">
        <v>1914</v>
      </c>
      <c r="B71" s="2" t="s">
        <v>1361</v>
      </c>
      <c r="C71" s="2">
        <v>2008.0</v>
      </c>
      <c r="D71" s="2" t="s">
        <v>1915</v>
      </c>
      <c r="E71" s="2" t="s">
        <v>1916</v>
      </c>
      <c r="F71" s="2" t="s">
        <v>1510</v>
      </c>
      <c r="H71" s="2" t="s">
        <v>1917</v>
      </c>
      <c r="I71" s="2" t="s">
        <v>1918</v>
      </c>
      <c r="K71" s="2" t="s">
        <v>1919</v>
      </c>
      <c r="L71" s="2" t="s">
        <v>1458</v>
      </c>
      <c r="M71" s="2" t="s">
        <v>1385</v>
      </c>
      <c r="N71" s="2" t="s">
        <v>1386</v>
      </c>
      <c r="P71" s="2" t="s">
        <v>1920</v>
      </c>
      <c r="R71" s="2">
        <v>5882.0</v>
      </c>
      <c r="S71" s="2">
        <v>320.0</v>
      </c>
      <c r="AN71" s="2" t="s">
        <v>1368</v>
      </c>
    </row>
    <row r="72" ht="15.75" customHeight="1">
      <c r="A72" s="2" t="s">
        <v>1921</v>
      </c>
      <c r="B72" s="2" t="s">
        <v>1361</v>
      </c>
      <c r="C72" s="2">
        <v>2010.0</v>
      </c>
      <c r="D72" s="2" t="s">
        <v>1922</v>
      </c>
      <c r="E72" s="2" t="s">
        <v>1923</v>
      </c>
      <c r="F72" s="2" t="s">
        <v>1924</v>
      </c>
      <c r="I72" s="2" t="s">
        <v>1925</v>
      </c>
      <c r="L72" s="2" t="s">
        <v>1449</v>
      </c>
      <c r="M72" s="2" t="s">
        <v>1926</v>
      </c>
      <c r="N72" s="2" t="s">
        <v>1927</v>
      </c>
      <c r="P72" s="2" t="s">
        <v>1928</v>
      </c>
      <c r="R72" s="2" t="s">
        <v>1480</v>
      </c>
      <c r="S72" s="2">
        <v>45.0</v>
      </c>
      <c r="AN72" s="2" t="s">
        <v>1368</v>
      </c>
    </row>
    <row r="73" ht="15.75" customHeight="1">
      <c r="A73" s="2" t="s">
        <v>1929</v>
      </c>
      <c r="B73" s="2" t="s">
        <v>1361</v>
      </c>
      <c r="C73" s="2">
        <v>2012.0</v>
      </c>
      <c r="D73" s="2" t="s">
        <v>1930</v>
      </c>
      <c r="E73" s="2" t="s">
        <v>1931</v>
      </c>
      <c r="F73" s="2" t="s">
        <v>1932</v>
      </c>
      <c r="I73" s="2" t="s">
        <v>1933</v>
      </c>
      <c r="L73" s="2" t="s">
        <v>1405</v>
      </c>
      <c r="M73" s="2" t="s">
        <v>1934</v>
      </c>
      <c r="N73" s="2" t="s">
        <v>1935</v>
      </c>
      <c r="P73" s="2" t="s">
        <v>1936</v>
      </c>
      <c r="R73" s="2" t="s">
        <v>1937</v>
      </c>
      <c r="S73" s="2">
        <v>39.0</v>
      </c>
      <c r="AN73" s="2" t="s">
        <v>1368</v>
      </c>
    </row>
    <row r="74" ht="15.75" customHeight="1">
      <c r="A74" s="2" t="s">
        <v>1938</v>
      </c>
      <c r="B74" s="2" t="s">
        <v>1361</v>
      </c>
      <c r="C74" s="2">
        <v>2013.0</v>
      </c>
      <c r="D74" s="2" t="s">
        <v>1939</v>
      </c>
      <c r="E74" s="2" t="s">
        <v>1940</v>
      </c>
      <c r="F74" s="2" t="s">
        <v>1941</v>
      </c>
      <c r="I74" s="2" t="s">
        <v>1942</v>
      </c>
      <c r="L74" s="2" t="s">
        <v>1429</v>
      </c>
      <c r="M74" s="2" t="s">
        <v>1943</v>
      </c>
      <c r="N74" s="2" t="s">
        <v>1944</v>
      </c>
      <c r="P74" s="2" t="s">
        <v>1945</v>
      </c>
      <c r="R74" s="2" t="s">
        <v>1443</v>
      </c>
      <c r="S74" s="2">
        <v>47.0</v>
      </c>
      <c r="AN74" s="2" t="s">
        <v>1368</v>
      </c>
    </row>
    <row r="75" ht="15.75" customHeight="1">
      <c r="A75" s="2" t="s">
        <v>1946</v>
      </c>
      <c r="B75" s="2" t="s">
        <v>1361</v>
      </c>
      <c r="C75" s="2">
        <v>2014.0</v>
      </c>
      <c r="D75" s="2" t="s">
        <v>1947</v>
      </c>
      <c r="E75" s="2" t="s">
        <v>1948</v>
      </c>
      <c r="F75" s="2" t="s">
        <v>1949</v>
      </c>
      <c r="I75" s="2" t="s">
        <v>1950</v>
      </c>
      <c r="L75" s="2" t="s">
        <v>1476</v>
      </c>
      <c r="M75" s="2" t="s">
        <v>1951</v>
      </c>
      <c r="N75" s="2" t="s">
        <v>1952</v>
      </c>
      <c r="P75" s="2" t="s">
        <v>1953</v>
      </c>
      <c r="S75" s="2">
        <v>9.0</v>
      </c>
      <c r="AN75" s="2" t="s">
        <v>1368</v>
      </c>
    </row>
    <row r="76" ht="15.75" customHeight="1">
      <c r="A76" s="2" t="s">
        <v>1954</v>
      </c>
      <c r="B76" s="2" t="s">
        <v>1361</v>
      </c>
      <c r="C76" s="2">
        <v>1998.0</v>
      </c>
      <c r="D76" s="2" t="s">
        <v>1955</v>
      </c>
      <c r="E76" s="2" t="s">
        <v>1956</v>
      </c>
      <c r="F76" s="2" t="s">
        <v>1425</v>
      </c>
      <c r="I76" s="2" t="s">
        <v>1957</v>
      </c>
      <c r="L76" s="2" t="s">
        <v>1958</v>
      </c>
      <c r="M76" s="2" t="s">
        <v>1959</v>
      </c>
      <c r="N76" s="2" t="s">
        <v>1960</v>
      </c>
      <c r="P76" s="2" t="s">
        <v>1961</v>
      </c>
      <c r="R76" s="2" t="s">
        <v>1453</v>
      </c>
      <c r="S76" s="2">
        <v>35.0</v>
      </c>
      <c r="AN76" s="2" t="s">
        <v>1368</v>
      </c>
    </row>
    <row r="77" ht="15.75" customHeight="1">
      <c r="A77" s="2" t="s">
        <v>1962</v>
      </c>
      <c r="B77" s="2" t="s">
        <v>1361</v>
      </c>
      <c r="C77" s="2">
        <v>2009.0</v>
      </c>
      <c r="D77" s="2" t="s">
        <v>1963</v>
      </c>
      <c r="E77" s="2" t="s">
        <v>1964</v>
      </c>
      <c r="F77" s="2" t="s">
        <v>1965</v>
      </c>
      <c r="I77" s="2" t="s">
        <v>1966</v>
      </c>
      <c r="L77" s="2" t="s">
        <v>1364</v>
      </c>
      <c r="M77" s="2" t="s">
        <v>1967</v>
      </c>
      <c r="N77" s="2" t="s">
        <v>1968</v>
      </c>
      <c r="P77" s="2" t="s">
        <v>1969</v>
      </c>
      <c r="R77" s="2" t="s">
        <v>1462</v>
      </c>
      <c r="S77" s="2">
        <v>17.0</v>
      </c>
      <c r="AN77" s="2" t="s">
        <v>1368</v>
      </c>
    </row>
    <row r="78" ht="15.75" customHeight="1">
      <c r="A78" s="2" t="s">
        <v>1970</v>
      </c>
      <c r="B78" s="2" t="s">
        <v>1361</v>
      </c>
      <c r="C78" s="2">
        <v>2009.0</v>
      </c>
      <c r="D78" s="2" t="s">
        <v>1971</v>
      </c>
      <c r="E78" s="2" t="s">
        <v>1972</v>
      </c>
      <c r="F78" s="2" t="s">
        <v>1500</v>
      </c>
      <c r="I78" s="2" t="s">
        <v>1973</v>
      </c>
      <c r="L78" s="2" t="s">
        <v>1364</v>
      </c>
      <c r="M78" s="2" t="s">
        <v>1974</v>
      </c>
      <c r="N78" s="2" t="s">
        <v>1975</v>
      </c>
      <c r="P78" s="2" t="s">
        <v>1976</v>
      </c>
      <c r="R78" s="2" t="s">
        <v>1453</v>
      </c>
      <c r="S78" s="2">
        <v>43.0</v>
      </c>
      <c r="AN78" s="2" t="s">
        <v>1368</v>
      </c>
    </row>
    <row r="79" ht="15.75" customHeight="1">
      <c r="A79" s="2" t="s">
        <v>1977</v>
      </c>
      <c r="B79" s="2" t="s">
        <v>1361</v>
      </c>
      <c r="C79" s="2">
        <v>2015.0</v>
      </c>
      <c r="D79" s="2" t="s">
        <v>1978</v>
      </c>
      <c r="E79" s="2" t="s">
        <v>1979</v>
      </c>
      <c r="F79" s="2" t="s">
        <v>1980</v>
      </c>
      <c r="I79" s="2" t="s">
        <v>1981</v>
      </c>
      <c r="L79" s="2" t="s">
        <v>1373</v>
      </c>
      <c r="M79" s="2" t="s">
        <v>1982</v>
      </c>
      <c r="N79" s="2" t="s">
        <v>1983</v>
      </c>
      <c r="P79" s="2" t="s">
        <v>1984</v>
      </c>
      <c r="S79" s="2">
        <v>58.0</v>
      </c>
      <c r="AN79" s="2" t="s">
        <v>1368</v>
      </c>
    </row>
    <row r="80" ht="15.75" customHeight="1">
      <c r="A80" s="2" t="s">
        <v>1985</v>
      </c>
      <c r="B80" s="2" t="s">
        <v>1361</v>
      </c>
      <c r="C80" s="2">
        <v>2014.0</v>
      </c>
      <c r="D80" s="2" t="s">
        <v>1986</v>
      </c>
      <c r="E80" s="2" t="s">
        <v>1987</v>
      </c>
      <c r="F80" s="2" t="s">
        <v>1988</v>
      </c>
      <c r="L80" s="2" t="s">
        <v>1476</v>
      </c>
      <c r="M80" s="2" t="s">
        <v>1989</v>
      </c>
      <c r="N80" s="2" t="s">
        <v>1990</v>
      </c>
      <c r="P80" s="2" t="s">
        <v>1991</v>
      </c>
      <c r="S80" s="2">
        <v>4.0</v>
      </c>
      <c r="AN80" s="2" t="s">
        <v>1368</v>
      </c>
    </row>
    <row r="81" ht="15.75" customHeight="1">
      <c r="A81" s="2" t="s">
        <v>1992</v>
      </c>
      <c r="B81" s="2" t="s">
        <v>1361</v>
      </c>
      <c r="C81" s="2">
        <v>2005.0</v>
      </c>
      <c r="D81" s="2" t="s">
        <v>1993</v>
      </c>
      <c r="E81" s="2" t="s">
        <v>1994</v>
      </c>
      <c r="F81" s="2" t="s">
        <v>1995</v>
      </c>
      <c r="I81" s="2" t="s">
        <v>1996</v>
      </c>
      <c r="L81" s="2" t="s">
        <v>1394</v>
      </c>
      <c r="M81" s="2" t="s">
        <v>1997</v>
      </c>
      <c r="N81" s="2" t="s">
        <v>1998</v>
      </c>
      <c r="P81" s="2" t="s">
        <v>1999</v>
      </c>
      <c r="R81" s="2" t="s">
        <v>1600</v>
      </c>
      <c r="S81" s="2">
        <v>30.0</v>
      </c>
      <c r="AN81" s="2" t="s">
        <v>1368</v>
      </c>
    </row>
    <row r="82" ht="15.75" customHeight="1">
      <c r="A82" s="2" t="s">
        <v>2000</v>
      </c>
      <c r="B82" s="2" t="s">
        <v>1361</v>
      </c>
      <c r="C82" s="2">
        <v>2002.0</v>
      </c>
      <c r="D82" s="2" t="s">
        <v>2001</v>
      </c>
      <c r="E82" s="2" t="s">
        <v>2002</v>
      </c>
      <c r="F82" s="2" t="s">
        <v>2003</v>
      </c>
      <c r="I82" s="2" t="s">
        <v>2004</v>
      </c>
      <c r="L82" s="2" t="s">
        <v>1493</v>
      </c>
      <c r="M82" s="2" t="s">
        <v>2005</v>
      </c>
      <c r="N82" s="2" t="s">
        <v>2006</v>
      </c>
      <c r="P82" s="2" t="s">
        <v>2007</v>
      </c>
      <c r="R82" s="2" t="s">
        <v>1937</v>
      </c>
      <c r="S82" s="2">
        <v>110.0</v>
      </c>
      <c r="AN82" s="2" t="s">
        <v>1368</v>
      </c>
    </row>
    <row r="83" ht="15.75" customHeight="1">
      <c r="A83" s="2" t="s">
        <v>2008</v>
      </c>
      <c r="B83" s="2" t="s">
        <v>1361</v>
      </c>
      <c r="C83" s="2">
        <v>1954.0</v>
      </c>
      <c r="D83" s="2" t="s">
        <v>2009</v>
      </c>
      <c r="E83" s="2" t="s">
        <v>2010</v>
      </c>
      <c r="F83" s="2" t="s">
        <v>2011</v>
      </c>
      <c r="I83" s="2" t="s">
        <v>2012</v>
      </c>
      <c r="L83" s="2" t="s">
        <v>2013</v>
      </c>
      <c r="M83" s="2" t="s">
        <v>2014</v>
      </c>
      <c r="N83" s="2" t="s">
        <v>2015</v>
      </c>
      <c r="P83" s="2" t="s">
        <v>2016</v>
      </c>
      <c r="R83" s="2" t="s">
        <v>1453</v>
      </c>
      <c r="S83" s="2">
        <v>62.0</v>
      </c>
      <c r="AN83" s="2" t="s">
        <v>1368</v>
      </c>
    </row>
    <row r="84" ht="15.75" customHeight="1">
      <c r="A84" s="2" t="s">
        <v>2017</v>
      </c>
      <c r="B84" s="2" t="s">
        <v>1361</v>
      </c>
      <c r="C84" s="2">
        <v>2005.0</v>
      </c>
      <c r="D84" s="2" t="s">
        <v>2018</v>
      </c>
      <c r="E84" s="2" t="s">
        <v>2019</v>
      </c>
      <c r="F84" s="2" t="s">
        <v>2020</v>
      </c>
      <c r="I84" s="2" t="s">
        <v>2021</v>
      </c>
      <c r="L84" s="2" t="s">
        <v>1394</v>
      </c>
      <c r="M84" s="2" t="s">
        <v>2022</v>
      </c>
      <c r="N84" s="2" t="s">
        <v>2023</v>
      </c>
      <c r="P84" s="2" t="s">
        <v>2024</v>
      </c>
      <c r="R84" s="2" t="s">
        <v>1506</v>
      </c>
      <c r="S84" s="2">
        <v>21.0</v>
      </c>
      <c r="AN84" s="2" t="s">
        <v>1368</v>
      </c>
    </row>
    <row r="85" ht="15.75" customHeight="1">
      <c r="A85" s="2" t="s">
        <v>2025</v>
      </c>
      <c r="B85" s="2" t="s">
        <v>1361</v>
      </c>
      <c r="C85" s="2">
        <v>2002.0</v>
      </c>
      <c r="D85" s="2" t="s">
        <v>2026</v>
      </c>
      <c r="E85" s="2" t="s">
        <v>2027</v>
      </c>
      <c r="F85" s="2" t="s">
        <v>2028</v>
      </c>
      <c r="I85" s="2" t="s">
        <v>2029</v>
      </c>
      <c r="L85" s="2" t="s">
        <v>1493</v>
      </c>
      <c r="M85" s="2" t="s">
        <v>2030</v>
      </c>
      <c r="N85" s="2" t="s">
        <v>2031</v>
      </c>
      <c r="P85" s="2" t="s">
        <v>2032</v>
      </c>
      <c r="R85" s="2" t="s">
        <v>1600</v>
      </c>
      <c r="S85" s="2">
        <v>84.0</v>
      </c>
      <c r="AN85" s="2" t="s">
        <v>1368</v>
      </c>
    </row>
    <row r="86" ht="15.75" customHeight="1">
      <c r="A86" s="2" t="s">
        <v>2033</v>
      </c>
      <c r="B86" s="2" t="s">
        <v>1361</v>
      </c>
      <c r="C86" s="2">
        <v>1971.0</v>
      </c>
      <c r="D86" s="2" t="s">
        <v>2034</v>
      </c>
      <c r="E86" s="2" t="s">
        <v>2035</v>
      </c>
      <c r="F86" s="2" t="s">
        <v>2036</v>
      </c>
      <c r="I86" s="2" t="s">
        <v>2037</v>
      </c>
      <c r="L86" s="2" t="s">
        <v>2038</v>
      </c>
      <c r="M86" s="2" t="s">
        <v>2039</v>
      </c>
      <c r="N86" s="2" t="s">
        <v>2040</v>
      </c>
      <c r="P86" s="2" t="s">
        <v>2041</v>
      </c>
      <c r="R86" s="2" t="s">
        <v>2042</v>
      </c>
      <c r="S86" s="2">
        <v>21.0</v>
      </c>
      <c r="AN86" s="2" t="s">
        <v>1368</v>
      </c>
    </row>
    <row r="87" ht="15.75" customHeight="1">
      <c r="A87" s="2" t="s">
        <v>2043</v>
      </c>
      <c r="B87" s="2" t="s">
        <v>1361</v>
      </c>
      <c r="C87" s="2">
        <v>2003.0</v>
      </c>
      <c r="D87" s="2" t="s">
        <v>2044</v>
      </c>
      <c r="E87" s="2" t="s">
        <v>2045</v>
      </c>
      <c r="F87" s="2" t="s">
        <v>2046</v>
      </c>
      <c r="L87" s="2" t="s">
        <v>1606</v>
      </c>
      <c r="M87" s="2" t="s">
        <v>2047</v>
      </c>
      <c r="N87" s="2" t="s">
        <v>2048</v>
      </c>
      <c r="P87" s="2" t="s">
        <v>2049</v>
      </c>
      <c r="AN87" s="2" t="s">
        <v>1368</v>
      </c>
    </row>
    <row r="88" ht="15.75" customHeight="1">
      <c r="A88" s="2" t="s">
        <v>2050</v>
      </c>
      <c r="B88" s="2" t="s">
        <v>1361</v>
      </c>
      <c r="C88" s="2">
        <v>2014.0</v>
      </c>
      <c r="D88" s="2" t="s">
        <v>2051</v>
      </c>
      <c r="E88" s="2" t="s">
        <v>2052</v>
      </c>
      <c r="F88" s="2" t="s">
        <v>2053</v>
      </c>
      <c r="I88" s="2" t="s">
        <v>2054</v>
      </c>
      <c r="L88" s="2" t="s">
        <v>1476</v>
      </c>
      <c r="M88" s="2" t="s">
        <v>2055</v>
      </c>
      <c r="N88" s="2" t="s">
        <v>2056</v>
      </c>
      <c r="P88" s="2" t="s">
        <v>2057</v>
      </c>
      <c r="R88" s="2" t="s">
        <v>1537</v>
      </c>
      <c r="S88" s="2">
        <v>12.0</v>
      </c>
      <c r="AN88" s="2" t="s">
        <v>1368</v>
      </c>
    </row>
    <row r="89" ht="15.75" customHeight="1">
      <c r="A89" s="2" t="s">
        <v>2058</v>
      </c>
      <c r="B89" s="2" t="s">
        <v>1361</v>
      </c>
      <c r="C89" s="2">
        <v>2011.0</v>
      </c>
      <c r="D89" s="2" t="s">
        <v>2059</v>
      </c>
      <c r="E89" s="2" t="s">
        <v>762</v>
      </c>
      <c r="F89" s="2" t="s">
        <v>1594</v>
      </c>
      <c r="I89" s="2" t="s">
        <v>2060</v>
      </c>
      <c r="L89" s="2" t="s">
        <v>1627</v>
      </c>
      <c r="M89" s="2" t="s">
        <v>2061</v>
      </c>
      <c r="N89" s="2" t="s">
        <v>2062</v>
      </c>
      <c r="P89" s="2" t="s">
        <v>2063</v>
      </c>
      <c r="R89" s="2" t="s">
        <v>1453</v>
      </c>
      <c r="S89" s="2">
        <v>4.0</v>
      </c>
      <c r="AN89" s="2" t="s">
        <v>1368</v>
      </c>
    </row>
    <row r="90" ht="15.75" customHeight="1">
      <c r="A90" s="2" t="s">
        <v>2064</v>
      </c>
      <c r="B90" s="2" t="s">
        <v>1361</v>
      </c>
      <c r="C90" s="2">
        <v>2017.0</v>
      </c>
      <c r="D90" s="2" t="s">
        <v>2065</v>
      </c>
      <c r="E90" s="2" t="s">
        <v>131</v>
      </c>
      <c r="F90" s="2" t="s">
        <v>2066</v>
      </c>
      <c r="I90" s="2" t="s">
        <v>134</v>
      </c>
      <c r="L90" s="2" t="s">
        <v>1658</v>
      </c>
      <c r="M90" s="2" t="s">
        <v>2067</v>
      </c>
      <c r="N90" s="2" t="s">
        <v>2068</v>
      </c>
      <c r="R90" s="2" t="s">
        <v>1453</v>
      </c>
      <c r="S90" s="2">
        <v>13.0</v>
      </c>
      <c r="AN90" s="2" t="s">
        <v>1368</v>
      </c>
    </row>
    <row r="91" ht="15.75" customHeight="1">
      <c r="A91" s="2" t="s">
        <v>2069</v>
      </c>
      <c r="B91" s="2" t="s">
        <v>1361</v>
      </c>
      <c r="C91" s="2">
        <v>2012.0</v>
      </c>
      <c r="D91" s="2" t="s">
        <v>2070</v>
      </c>
      <c r="E91" s="2" t="s">
        <v>2071</v>
      </c>
      <c r="F91" s="2" t="s">
        <v>2072</v>
      </c>
      <c r="I91" s="2" t="s">
        <v>2073</v>
      </c>
      <c r="L91" s="2" t="s">
        <v>1405</v>
      </c>
      <c r="M91" s="2" t="s">
        <v>2074</v>
      </c>
      <c r="N91" s="2" t="s">
        <v>2075</v>
      </c>
      <c r="P91" s="2" t="s">
        <v>2076</v>
      </c>
      <c r="R91" s="2" t="s">
        <v>1462</v>
      </c>
      <c r="S91" s="2">
        <v>28.0</v>
      </c>
      <c r="AN91" s="2" t="s">
        <v>1368</v>
      </c>
    </row>
    <row r="92" ht="15.75" customHeight="1">
      <c r="A92" s="2" t="s">
        <v>2077</v>
      </c>
      <c r="B92" s="2" t="s">
        <v>1361</v>
      </c>
      <c r="C92" s="2">
        <v>2008.0</v>
      </c>
      <c r="D92" s="2" t="s">
        <v>2078</v>
      </c>
      <c r="E92" s="2" t="s">
        <v>2079</v>
      </c>
      <c r="F92" s="2" t="s">
        <v>1510</v>
      </c>
      <c r="I92" s="2" t="s">
        <v>2080</v>
      </c>
      <c r="L92" s="2" t="s">
        <v>1458</v>
      </c>
      <c r="M92" s="2" t="s">
        <v>2081</v>
      </c>
      <c r="N92" s="2" t="s">
        <v>2082</v>
      </c>
      <c r="R92" s="2" t="s">
        <v>2083</v>
      </c>
      <c r="S92" s="2">
        <v>319.0</v>
      </c>
      <c r="AN92" s="2" t="s">
        <v>1621</v>
      </c>
    </row>
    <row r="93" ht="15.75" customHeight="1">
      <c r="A93" s="2" t="s">
        <v>2084</v>
      </c>
      <c r="B93" s="2" t="s">
        <v>1361</v>
      </c>
      <c r="C93" s="2">
        <v>1995.0</v>
      </c>
      <c r="D93" s="2" t="s">
        <v>2085</v>
      </c>
      <c r="E93" s="2" t="s">
        <v>2086</v>
      </c>
      <c r="F93" s="2" t="s">
        <v>2087</v>
      </c>
      <c r="I93" s="2" t="s">
        <v>2088</v>
      </c>
      <c r="L93" s="2" t="s">
        <v>2089</v>
      </c>
      <c r="M93" s="2" t="s">
        <v>2090</v>
      </c>
      <c r="N93" s="2" t="s">
        <v>2091</v>
      </c>
      <c r="P93" s="2" t="s">
        <v>2092</v>
      </c>
      <c r="R93" s="2" t="s">
        <v>1453</v>
      </c>
      <c r="S93" s="2">
        <v>110.0</v>
      </c>
      <c r="AN93" s="2" t="s">
        <v>1368</v>
      </c>
    </row>
    <row r="94" ht="15.75" customHeight="1">
      <c r="A94" s="2" t="s">
        <v>2093</v>
      </c>
      <c r="B94" s="2" t="s">
        <v>1361</v>
      </c>
      <c r="C94" s="2">
        <v>2013.0</v>
      </c>
      <c r="D94" s="2" t="s">
        <v>2094</v>
      </c>
      <c r="E94" s="2" t="s">
        <v>2095</v>
      </c>
      <c r="F94" s="2" t="s">
        <v>2096</v>
      </c>
      <c r="I94" s="2" t="s">
        <v>2097</v>
      </c>
      <c r="L94" s="2" t="s">
        <v>1429</v>
      </c>
      <c r="M94" s="2" t="s">
        <v>2098</v>
      </c>
      <c r="N94" s="2" t="s">
        <v>2099</v>
      </c>
      <c r="P94" s="2" t="s">
        <v>2100</v>
      </c>
      <c r="R94" s="2" t="s">
        <v>1600</v>
      </c>
      <c r="S94" s="2">
        <v>48.0</v>
      </c>
      <c r="AN94" s="2" t="s">
        <v>1368</v>
      </c>
    </row>
    <row r="95" ht="15.75" customHeight="1">
      <c r="A95" s="2" t="s">
        <v>2101</v>
      </c>
      <c r="B95" s="2" t="s">
        <v>1361</v>
      </c>
      <c r="C95" s="2">
        <v>2014.0</v>
      </c>
      <c r="D95" s="2" t="s">
        <v>2102</v>
      </c>
      <c r="E95" s="2" t="s">
        <v>2103</v>
      </c>
      <c r="F95" s="2" t="s">
        <v>2104</v>
      </c>
      <c r="I95" s="2" t="s">
        <v>2105</v>
      </c>
      <c r="L95" s="2" t="s">
        <v>1476</v>
      </c>
      <c r="M95" s="2" t="s">
        <v>2106</v>
      </c>
      <c r="N95" s="2" t="s">
        <v>2107</v>
      </c>
      <c r="P95" s="2" t="s">
        <v>2108</v>
      </c>
      <c r="R95" s="2" t="s">
        <v>1453</v>
      </c>
      <c r="S95" s="2">
        <v>5.0</v>
      </c>
      <c r="AN95" s="2" t="s">
        <v>1368</v>
      </c>
    </row>
    <row r="96" ht="15.75" customHeight="1">
      <c r="A96" s="2" t="s">
        <v>2109</v>
      </c>
      <c r="B96" s="2" t="s">
        <v>1361</v>
      </c>
      <c r="C96" s="2">
        <v>1999.0</v>
      </c>
      <c r="D96" s="2" t="s">
        <v>2110</v>
      </c>
      <c r="E96" s="2" t="s">
        <v>2111</v>
      </c>
      <c r="F96" s="2" t="s">
        <v>2112</v>
      </c>
      <c r="I96" s="2" t="s">
        <v>2113</v>
      </c>
      <c r="L96" s="2" t="s">
        <v>1434</v>
      </c>
      <c r="M96" s="2" t="s">
        <v>2114</v>
      </c>
      <c r="N96" s="2" t="s">
        <v>2115</v>
      </c>
      <c r="P96" s="2" t="s">
        <v>2116</v>
      </c>
      <c r="R96" s="2" t="s">
        <v>1453</v>
      </c>
      <c r="S96" s="2">
        <v>20.0</v>
      </c>
      <c r="AN96" s="2" t="s">
        <v>1368</v>
      </c>
    </row>
    <row r="97" ht="15.75" customHeight="1">
      <c r="A97" s="2" t="s">
        <v>2117</v>
      </c>
      <c r="B97" s="2" t="s">
        <v>1361</v>
      </c>
      <c r="C97" s="2">
        <v>2005.0</v>
      </c>
      <c r="D97" s="2" t="s">
        <v>2118</v>
      </c>
      <c r="E97" s="2" t="s">
        <v>1084</v>
      </c>
      <c r="F97" s="2" t="s">
        <v>2119</v>
      </c>
      <c r="I97" s="2" t="s">
        <v>1087</v>
      </c>
      <c r="J97" s="2" t="s">
        <v>2120</v>
      </c>
      <c r="L97" s="2" t="s">
        <v>1394</v>
      </c>
      <c r="M97" s="2" t="s">
        <v>2121</v>
      </c>
      <c r="N97" s="2" t="s">
        <v>2122</v>
      </c>
      <c r="P97" s="2" t="s">
        <v>2123</v>
      </c>
      <c r="R97" s="2" t="s">
        <v>2124</v>
      </c>
      <c r="S97" s="2">
        <v>25.0</v>
      </c>
      <c r="AN97" s="2" t="s">
        <v>1368</v>
      </c>
    </row>
    <row r="98" ht="15.75" customHeight="1">
      <c r="A98" s="2" t="s">
        <v>2125</v>
      </c>
      <c r="B98" s="2" t="s">
        <v>1361</v>
      </c>
      <c r="C98" s="2">
        <v>2013.0</v>
      </c>
      <c r="D98" s="2" t="s">
        <v>2126</v>
      </c>
      <c r="E98" s="2" t="s">
        <v>2127</v>
      </c>
      <c r="F98" s="2" t="s">
        <v>1510</v>
      </c>
      <c r="H98" s="2" t="s">
        <v>1546</v>
      </c>
      <c r="I98" s="2" t="s">
        <v>2128</v>
      </c>
      <c r="J98" s="2" t="s">
        <v>2129</v>
      </c>
      <c r="K98" s="2" t="s">
        <v>2130</v>
      </c>
      <c r="L98" s="2" t="s">
        <v>2131</v>
      </c>
      <c r="M98" s="2" t="s">
        <v>2132</v>
      </c>
      <c r="N98" s="2" t="s">
        <v>2133</v>
      </c>
      <c r="O98" s="2" t="s">
        <v>2134</v>
      </c>
      <c r="P98" s="2" t="s">
        <v>2135</v>
      </c>
      <c r="R98" s="2" t="s">
        <v>2136</v>
      </c>
      <c r="S98" s="2">
        <v>342.0</v>
      </c>
      <c r="U98" s="2" t="s">
        <v>1510</v>
      </c>
      <c r="AC98" s="2" t="s">
        <v>1540</v>
      </c>
      <c r="AH98" s="2" t="s">
        <v>1541</v>
      </c>
      <c r="AN98" s="2" t="s">
        <v>2137</v>
      </c>
    </row>
    <row r="99" ht="15.75" customHeight="1">
      <c r="A99" s="2" t="s">
        <v>2138</v>
      </c>
      <c r="B99" s="2" t="s">
        <v>1623</v>
      </c>
      <c r="C99" s="2">
        <v>2015.0</v>
      </c>
      <c r="D99" s="2" t="s">
        <v>2139</v>
      </c>
      <c r="E99" s="2" t="s">
        <v>2140</v>
      </c>
      <c r="J99" s="2" t="s">
        <v>2141</v>
      </c>
      <c r="L99" s="2" t="s">
        <v>1373</v>
      </c>
      <c r="M99" s="2" t="s">
        <v>2142</v>
      </c>
      <c r="N99" s="2" t="s">
        <v>2143</v>
      </c>
      <c r="P99" s="2" t="s">
        <v>2144</v>
      </c>
      <c r="AA99" s="2" t="s">
        <v>2145</v>
      </c>
      <c r="AB99" s="2" t="s">
        <v>2146</v>
      </c>
      <c r="AN99" s="2" t="s">
        <v>1872</v>
      </c>
    </row>
    <row r="100" ht="15.75" customHeight="1">
      <c r="A100" s="2" t="s">
        <v>2147</v>
      </c>
      <c r="B100" s="2" t="s">
        <v>1361</v>
      </c>
      <c r="C100" s="2">
        <v>2015.0</v>
      </c>
      <c r="D100" s="2" t="s">
        <v>2148</v>
      </c>
      <c r="E100" s="2" t="s">
        <v>2149</v>
      </c>
      <c r="F100" s="2" t="s">
        <v>2150</v>
      </c>
      <c r="H100" s="2" t="s">
        <v>2151</v>
      </c>
      <c r="I100" s="2" t="s">
        <v>333</v>
      </c>
      <c r="J100" s="2" t="s">
        <v>2152</v>
      </c>
      <c r="L100" s="2" t="s">
        <v>2153</v>
      </c>
      <c r="M100" s="2" t="s">
        <v>2154</v>
      </c>
      <c r="N100" s="2" t="s">
        <v>2155</v>
      </c>
      <c r="O100" s="2" t="s">
        <v>2156</v>
      </c>
      <c r="P100" s="2" t="s">
        <v>2157</v>
      </c>
      <c r="R100" s="2" t="s">
        <v>1462</v>
      </c>
      <c r="S100" s="2">
        <v>6.0</v>
      </c>
      <c r="U100" s="2" t="s">
        <v>2158</v>
      </c>
      <c r="AC100" s="2" t="s">
        <v>1540</v>
      </c>
      <c r="AH100" s="2" t="s">
        <v>1541</v>
      </c>
      <c r="AN100" s="2" t="s">
        <v>2159</v>
      </c>
    </row>
    <row r="101" ht="15.75" customHeight="1">
      <c r="A101" s="2" t="s">
        <v>2160</v>
      </c>
      <c r="B101" s="2" t="s">
        <v>1361</v>
      </c>
      <c r="C101" s="2">
        <v>2017.0</v>
      </c>
      <c r="D101" s="2" t="s">
        <v>2161</v>
      </c>
      <c r="E101" s="2" t="s">
        <v>140</v>
      </c>
      <c r="F101" s="2" t="s">
        <v>2162</v>
      </c>
      <c r="H101" s="2" t="s">
        <v>2163</v>
      </c>
      <c r="I101" s="2" t="s">
        <v>143</v>
      </c>
      <c r="J101" s="2" t="s">
        <v>2164</v>
      </c>
      <c r="K101" s="2" t="s">
        <v>2165</v>
      </c>
      <c r="L101" s="2" t="s">
        <v>1658</v>
      </c>
      <c r="M101" s="2" t="s">
        <v>2166</v>
      </c>
      <c r="N101" s="2" t="s">
        <v>2167</v>
      </c>
      <c r="R101" s="2" t="s">
        <v>2168</v>
      </c>
      <c r="S101" s="2">
        <v>4.0</v>
      </c>
      <c r="AN101" s="2" t="s">
        <v>2169</v>
      </c>
    </row>
    <row r="102" ht="15.75" customHeight="1">
      <c r="A102" s="2" t="s">
        <v>2170</v>
      </c>
      <c r="B102" s="2" t="s">
        <v>1361</v>
      </c>
      <c r="C102" s="2">
        <v>2005.0</v>
      </c>
      <c r="D102" s="2" t="s">
        <v>2171</v>
      </c>
      <c r="E102" s="2" t="s">
        <v>2172</v>
      </c>
      <c r="F102" s="2" t="s">
        <v>2020</v>
      </c>
      <c r="H102" s="2" t="s">
        <v>2173</v>
      </c>
      <c r="I102" s="2" t="s">
        <v>2174</v>
      </c>
      <c r="J102" s="2" t="s">
        <v>2175</v>
      </c>
      <c r="L102" s="2" t="s">
        <v>2176</v>
      </c>
      <c r="M102" s="2" t="s">
        <v>2177</v>
      </c>
      <c r="N102" s="2" t="s">
        <v>2178</v>
      </c>
      <c r="O102" s="2" t="s">
        <v>2179</v>
      </c>
      <c r="P102" s="2" t="s">
        <v>2180</v>
      </c>
      <c r="R102" s="2" t="s">
        <v>1506</v>
      </c>
      <c r="S102" s="2">
        <v>21.0</v>
      </c>
      <c r="U102" s="2" t="s">
        <v>2020</v>
      </c>
      <c r="V102" s="2" t="s">
        <v>2181</v>
      </c>
      <c r="AC102" s="2" t="s">
        <v>1540</v>
      </c>
      <c r="AH102" s="2" t="s">
        <v>1541</v>
      </c>
      <c r="AN102" s="2" t="s">
        <v>1872</v>
      </c>
    </row>
    <row r="103" ht="15.75" customHeight="1">
      <c r="A103" s="2" t="s">
        <v>2182</v>
      </c>
      <c r="B103" s="2" t="s">
        <v>1396</v>
      </c>
      <c r="C103" s="2">
        <v>2012.0</v>
      </c>
      <c r="D103" s="2" t="s">
        <v>2183</v>
      </c>
      <c r="E103" s="2" t="s">
        <v>2184</v>
      </c>
      <c r="G103" s="2" t="s">
        <v>2185</v>
      </c>
      <c r="K103" s="2" t="s">
        <v>2186</v>
      </c>
      <c r="L103" s="2" t="s">
        <v>1405</v>
      </c>
      <c r="M103" s="2" t="s">
        <v>1562</v>
      </c>
      <c r="N103" s="2" t="s">
        <v>1563</v>
      </c>
      <c r="Q103" s="2">
        <v>406.0</v>
      </c>
      <c r="AA103" s="2" t="s">
        <v>2187</v>
      </c>
      <c r="AN103" s="2" t="s">
        <v>2188</v>
      </c>
    </row>
    <row r="104" ht="15.75" customHeight="1">
      <c r="A104" s="2" t="s">
        <v>2189</v>
      </c>
      <c r="B104" s="2" t="s">
        <v>1361</v>
      </c>
      <c r="C104" s="2">
        <v>2015.0</v>
      </c>
      <c r="D104" s="2" t="s">
        <v>2190</v>
      </c>
      <c r="E104" s="2" t="s">
        <v>2191</v>
      </c>
      <c r="F104" s="2" t="s">
        <v>1760</v>
      </c>
      <c r="H104" s="2" t="s">
        <v>1761</v>
      </c>
      <c r="I104" s="2" t="s">
        <v>2192</v>
      </c>
      <c r="J104" s="2" t="s">
        <v>2193</v>
      </c>
      <c r="K104" s="2" t="s">
        <v>2194</v>
      </c>
      <c r="L104" s="2" t="s">
        <v>1373</v>
      </c>
      <c r="M104" s="2" t="s">
        <v>1385</v>
      </c>
      <c r="N104" s="2" t="s">
        <v>1386</v>
      </c>
      <c r="P104" s="2" t="s">
        <v>2195</v>
      </c>
      <c r="S104" s="2">
        <v>118.0</v>
      </c>
      <c r="AN104" s="2" t="s">
        <v>1368</v>
      </c>
    </row>
    <row r="105" ht="15.75" customHeight="1">
      <c r="A105" s="2" t="s">
        <v>2196</v>
      </c>
      <c r="B105" s="2" t="s">
        <v>1623</v>
      </c>
      <c r="C105" s="2">
        <v>2016.0</v>
      </c>
      <c r="D105" s="2" t="s">
        <v>2197</v>
      </c>
      <c r="E105" s="2" t="s">
        <v>2198</v>
      </c>
      <c r="J105" s="2" t="s">
        <v>2199</v>
      </c>
      <c r="K105" s="2" t="s">
        <v>2200</v>
      </c>
      <c r="L105" s="2" t="s">
        <v>1502</v>
      </c>
      <c r="M105" s="2" t="s">
        <v>1385</v>
      </c>
      <c r="N105" s="2" t="s">
        <v>1386</v>
      </c>
      <c r="AA105" s="2" t="s">
        <v>2201</v>
      </c>
      <c r="AN105" s="2" t="s">
        <v>1368</v>
      </c>
    </row>
    <row r="106" ht="15.75" customHeight="1">
      <c r="A106" s="2" t="s">
        <v>2202</v>
      </c>
      <c r="B106" s="2" t="s">
        <v>1361</v>
      </c>
      <c r="C106" s="2">
        <v>2013.0</v>
      </c>
      <c r="D106" s="2" t="s">
        <v>2203</v>
      </c>
      <c r="E106" s="2" t="s">
        <v>2204</v>
      </c>
      <c r="F106" s="2" t="s">
        <v>2205</v>
      </c>
      <c r="H106" s="2" t="s">
        <v>2206</v>
      </c>
      <c r="I106" s="2" t="s">
        <v>2207</v>
      </c>
      <c r="J106" s="2" t="s">
        <v>2208</v>
      </c>
      <c r="L106" s="2" t="s">
        <v>2209</v>
      </c>
      <c r="M106" s="2" t="s">
        <v>1385</v>
      </c>
      <c r="N106" s="2" t="s">
        <v>1386</v>
      </c>
      <c r="O106" s="2" t="s">
        <v>2210</v>
      </c>
      <c r="P106" s="2" t="s">
        <v>2211</v>
      </c>
      <c r="S106" s="2">
        <v>39.0</v>
      </c>
      <c r="U106" s="2" t="s">
        <v>2205</v>
      </c>
      <c r="V106" s="2" t="s">
        <v>2212</v>
      </c>
      <c r="AC106" s="2" t="s">
        <v>1540</v>
      </c>
      <c r="AH106" s="2" t="s">
        <v>1541</v>
      </c>
      <c r="AN106" s="2" t="s">
        <v>1885</v>
      </c>
    </row>
    <row r="107" ht="15.75" customHeight="1">
      <c r="A107" s="2" t="s">
        <v>2213</v>
      </c>
      <c r="B107" s="2" t="s">
        <v>1361</v>
      </c>
      <c r="C107" s="2">
        <v>2015.0</v>
      </c>
      <c r="D107" s="2" t="s">
        <v>2214</v>
      </c>
      <c r="E107" s="2" t="s">
        <v>2215</v>
      </c>
      <c r="F107" s="2" t="s">
        <v>2216</v>
      </c>
      <c r="H107" s="2" t="s">
        <v>2217</v>
      </c>
      <c r="I107" s="2" t="s">
        <v>2218</v>
      </c>
      <c r="J107" s="2" t="s">
        <v>2219</v>
      </c>
      <c r="L107" s="2" t="s">
        <v>2220</v>
      </c>
      <c r="M107" s="2" t="s">
        <v>1385</v>
      </c>
      <c r="N107" s="2" t="s">
        <v>1386</v>
      </c>
      <c r="O107" s="2" t="s">
        <v>2221</v>
      </c>
      <c r="P107" s="2" t="s">
        <v>2222</v>
      </c>
      <c r="S107" s="2">
        <v>58.0</v>
      </c>
      <c r="U107" s="2" t="s">
        <v>2216</v>
      </c>
      <c r="AC107" s="2" t="s">
        <v>1540</v>
      </c>
      <c r="AH107" s="2" t="s">
        <v>1541</v>
      </c>
      <c r="AN107" s="2" t="s">
        <v>1885</v>
      </c>
    </row>
    <row r="108" ht="15.75" customHeight="1">
      <c r="A108" s="2" t="s">
        <v>2223</v>
      </c>
      <c r="B108" s="2" t="s">
        <v>1361</v>
      </c>
      <c r="C108" s="2">
        <v>2008.0</v>
      </c>
      <c r="D108" s="2" t="s">
        <v>2224</v>
      </c>
      <c r="E108" s="2" t="s">
        <v>2225</v>
      </c>
      <c r="F108" s="2" t="s">
        <v>1510</v>
      </c>
      <c r="H108" s="2" t="s">
        <v>1546</v>
      </c>
      <c r="I108" s="2" t="s">
        <v>1023</v>
      </c>
      <c r="J108" s="2" t="s">
        <v>2226</v>
      </c>
      <c r="K108" s="2" t="s">
        <v>2227</v>
      </c>
      <c r="L108" s="2" t="s">
        <v>2228</v>
      </c>
      <c r="M108" s="2" t="s">
        <v>1385</v>
      </c>
      <c r="N108" s="2" t="s">
        <v>1386</v>
      </c>
      <c r="O108" s="2" t="s">
        <v>2229</v>
      </c>
      <c r="P108" s="2" t="s">
        <v>2230</v>
      </c>
      <c r="R108" s="2" t="s">
        <v>2231</v>
      </c>
      <c r="S108" s="2">
        <v>319.0</v>
      </c>
      <c r="U108" s="2" t="s">
        <v>1510</v>
      </c>
      <c r="AC108" s="2" t="s">
        <v>1540</v>
      </c>
      <c r="AH108" s="2" t="s">
        <v>1541</v>
      </c>
      <c r="AN108" s="2" t="s">
        <v>2159</v>
      </c>
    </row>
    <row r="109" ht="15.75" customHeight="1">
      <c r="A109" s="2" t="s">
        <v>2232</v>
      </c>
      <c r="B109" s="2" t="s">
        <v>1361</v>
      </c>
      <c r="C109" s="2">
        <v>2014.0</v>
      </c>
      <c r="D109" s="2" t="s">
        <v>2233</v>
      </c>
      <c r="E109" s="2" t="s">
        <v>512</v>
      </c>
      <c r="F109" s="2" t="s">
        <v>1688</v>
      </c>
      <c r="H109" s="2" t="s">
        <v>1689</v>
      </c>
      <c r="I109" s="2" t="s">
        <v>514</v>
      </c>
      <c r="J109" s="2" t="s">
        <v>2234</v>
      </c>
      <c r="K109" s="2" t="s">
        <v>2235</v>
      </c>
      <c r="L109" s="2" t="s">
        <v>1476</v>
      </c>
      <c r="M109" s="2" t="s">
        <v>1385</v>
      </c>
      <c r="N109" s="2" t="s">
        <v>1386</v>
      </c>
      <c r="P109" s="2" t="s">
        <v>2236</v>
      </c>
      <c r="R109" s="2" t="s">
        <v>2237</v>
      </c>
      <c r="S109" s="2">
        <v>111.0</v>
      </c>
      <c r="AN109" s="2" t="s">
        <v>2238</v>
      </c>
    </row>
    <row r="110" ht="15.75" customHeight="1">
      <c r="A110" s="2" t="s">
        <v>2239</v>
      </c>
      <c r="B110" s="2" t="s">
        <v>1361</v>
      </c>
      <c r="C110" s="2">
        <v>2010.0</v>
      </c>
      <c r="D110" s="2" t="s">
        <v>2240</v>
      </c>
      <c r="E110" s="2" t="s">
        <v>856</v>
      </c>
      <c r="F110" s="2" t="s">
        <v>1510</v>
      </c>
      <c r="H110" s="2" t="s">
        <v>1511</v>
      </c>
      <c r="I110" s="2" t="s">
        <v>858</v>
      </c>
      <c r="J110" s="2" t="s">
        <v>2241</v>
      </c>
      <c r="K110" s="2" t="s">
        <v>857</v>
      </c>
      <c r="L110" s="2" t="s">
        <v>1449</v>
      </c>
      <c r="M110" s="2" t="s">
        <v>1385</v>
      </c>
      <c r="N110" s="2" t="s">
        <v>1386</v>
      </c>
      <c r="P110" s="2" t="s">
        <v>2242</v>
      </c>
      <c r="R110" s="2" t="s">
        <v>2243</v>
      </c>
      <c r="S110" s="2">
        <v>328.0</v>
      </c>
      <c r="AN110" s="2" t="s">
        <v>2244</v>
      </c>
    </row>
    <row r="111" ht="15.75" customHeight="1">
      <c r="A111" s="2" t="s">
        <v>2245</v>
      </c>
      <c r="B111" s="2" t="s">
        <v>1361</v>
      </c>
      <c r="C111" s="2">
        <v>2015.0</v>
      </c>
      <c r="D111" s="2" t="s">
        <v>2246</v>
      </c>
      <c r="E111" s="2" t="s">
        <v>2247</v>
      </c>
      <c r="F111" s="2" t="s">
        <v>1789</v>
      </c>
      <c r="H111" s="2" t="s">
        <v>1790</v>
      </c>
      <c r="I111" s="2" t="s">
        <v>2248</v>
      </c>
      <c r="K111" s="2" t="s">
        <v>2249</v>
      </c>
      <c r="L111" s="2" t="s">
        <v>1373</v>
      </c>
      <c r="M111" s="2" t="s">
        <v>1385</v>
      </c>
      <c r="N111" s="2" t="s">
        <v>1386</v>
      </c>
      <c r="P111" s="2" t="s">
        <v>2250</v>
      </c>
      <c r="S111" s="2">
        <v>31.0</v>
      </c>
      <c r="AN111" s="2" t="s">
        <v>1368</v>
      </c>
    </row>
    <row r="112" ht="15.75" customHeight="1">
      <c r="A112" s="2" t="s">
        <v>2251</v>
      </c>
      <c r="B112" s="2" t="s">
        <v>1361</v>
      </c>
      <c r="C112" s="2">
        <v>2008.0</v>
      </c>
      <c r="D112" s="2" t="s">
        <v>2252</v>
      </c>
      <c r="E112" s="2" t="s">
        <v>2253</v>
      </c>
      <c r="F112" s="2" t="s">
        <v>2254</v>
      </c>
      <c r="H112" s="2" t="s">
        <v>2255</v>
      </c>
      <c r="I112" s="2" t="s">
        <v>2256</v>
      </c>
      <c r="J112" s="2" t="s">
        <v>2257</v>
      </c>
      <c r="L112" s="2" t="s">
        <v>2258</v>
      </c>
      <c r="M112" s="2" t="s">
        <v>1385</v>
      </c>
      <c r="N112" s="2" t="s">
        <v>1386</v>
      </c>
      <c r="P112" s="2" t="s">
        <v>2259</v>
      </c>
      <c r="R112" s="2" t="s">
        <v>1462</v>
      </c>
      <c r="S112" s="2">
        <v>29.0</v>
      </c>
      <c r="U112" s="2" t="s">
        <v>2254</v>
      </c>
      <c r="AN112" s="2" t="s">
        <v>1368</v>
      </c>
    </row>
    <row r="113" ht="15.75" customHeight="1">
      <c r="A113" s="2" t="s">
        <v>2260</v>
      </c>
      <c r="B113" s="2" t="s">
        <v>1781</v>
      </c>
      <c r="C113" s="2">
        <v>2015.0</v>
      </c>
      <c r="D113" s="2" t="s">
        <v>2261</v>
      </c>
      <c r="E113" s="2" t="s">
        <v>2262</v>
      </c>
      <c r="J113" s="2" t="s">
        <v>2263</v>
      </c>
      <c r="L113" s="2" t="s">
        <v>1373</v>
      </c>
      <c r="M113" s="2" t="s">
        <v>1385</v>
      </c>
      <c r="N113" s="2" t="s">
        <v>1386</v>
      </c>
      <c r="AN113" s="2" t="s">
        <v>1368</v>
      </c>
    </row>
    <row r="114" ht="15.75" customHeight="1">
      <c r="A114" s="2" t="s">
        <v>2264</v>
      </c>
      <c r="B114" s="2" t="s">
        <v>1361</v>
      </c>
      <c r="C114" s="2">
        <v>2016.0</v>
      </c>
      <c r="D114" s="2" t="s">
        <v>2265</v>
      </c>
      <c r="E114" s="2" t="s">
        <v>2266</v>
      </c>
      <c r="F114" s="2" t="s">
        <v>2267</v>
      </c>
      <c r="I114" s="2" t="s">
        <v>2268</v>
      </c>
      <c r="J114" s="2" t="s">
        <v>2269</v>
      </c>
      <c r="L114" s="2" t="s">
        <v>1502</v>
      </c>
      <c r="M114" s="2" t="s">
        <v>1385</v>
      </c>
      <c r="N114" s="2" t="s">
        <v>1386</v>
      </c>
      <c r="P114" s="2" t="s">
        <v>2270</v>
      </c>
      <c r="R114" s="2" t="s">
        <v>2271</v>
      </c>
      <c r="S114" s="2">
        <v>97.0</v>
      </c>
      <c r="AN114" s="2" t="s">
        <v>1368</v>
      </c>
    </row>
    <row r="115" ht="15.75" customHeight="1">
      <c r="A115" s="2" t="s">
        <v>2272</v>
      </c>
      <c r="B115" s="2" t="s">
        <v>2273</v>
      </c>
      <c r="C115" s="2">
        <v>2015.0</v>
      </c>
      <c r="D115" s="2" t="s">
        <v>2274</v>
      </c>
      <c r="E115" s="2" t="s">
        <v>2275</v>
      </c>
      <c r="L115" s="2" t="s">
        <v>1373</v>
      </c>
      <c r="M115" s="2" t="s">
        <v>1385</v>
      </c>
      <c r="N115" s="2" t="s">
        <v>1386</v>
      </c>
      <c r="AA115" s="2" t="s">
        <v>2276</v>
      </c>
      <c r="AE115" s="2" t="s">
        <v>2277</v>
      </c>
      <c r="AN115" s="2" t="s">
        <v>1368</v>
      </c>
    </row>
    <row r="116" ht="15.75" customHeight="1">
      <c r="A116" s="2" t="s">
        <v>2278</v>
      </c>
      <c r="B116" s="2" t="s">
        <v>1623</v>
      </c>
      <c r="C116" s="2">
        <v>2013.0</v>
      </c>
      <c r="D116" s="2" t="s">
        <v>2279</v>
      </c>
      <c r="E116" s="2" t="s">
        <v>2280</v>
      </c>
      <c r="L116" s="2" t="s">
        <v>1429</v>
      </c>
      <c r="M116" s="2" t="s">
        <v>1385</v>
      </c>
      <c r="N116" s="2" t="s">
        <v>1386</v>
      </c>
      <c r="AA116" s="2" t="s">
        <v>2281</v>
      </c>
      <c r="AB116" s="2" t="s">
        <v>1608</v>
      </c>
      <c r="AN116" s="2" t="s">
        <v>1368</v>
      </c>
    </row>
    <row r="117" ht="15.75" customHeight="1">
      <c r="A117" s="2" t="s">
        <v>2282</v>
      </c>
      <c r="B117" s="2" t="s">
        <v>1781</v>
      </c>
      <c r="C117" s="2">
        <v>2003.0</v>
      </c>
      <c r="D117" s="2" t="s">
        <v>2283</v>
      </c>
      <c r="E117" s="2" t="s">
        <v>2284</v>
      </c>
      <c r="J117" s="2" t="s">
        <v>2285</v>
      </c>
      <c r="L117" s="2" t="s">
        <v>1606</v>
      </c>
      <c r="M117" s="2" t="s">
        <v>1385</v>
      </c>
      <c r="N117" s="2" t="s">
        <v>1386</v>
      </c>
      <c r="AN117" s="2" t="s">
        <v>1368</v>
      </c>
    </row>
    <row r="118" ht="15.75" customHeight="1">
      <c r="A118" s="2" t="s">
        <v>2286</v>
      </c>
      <c r="B118" s="2" t="s">
        <v>1623</v>
      </c>
      <c r="C118" s="2">
        <v>2009.0</v>
      </c>
      <c r="D118" s="2" t="s">
        <v>2287</v>
      </c>
      <c r="E118" s="2" t="s">
        <v>2288</v>
      </c>
      <c r="J118" s="2" t="s">
        <v>2289</v>
      </c>
      <c r="L118" s="2" t="s">
        <v>2290</v>
      </c>
      <c r="M118" s="2" t="s">
        <v>1385</v>
      </c>
      <c r="N118" s="2" t="s">
        <v>1386</v>
      </c>
      <c r="AA118" s="2" t="s">
        <v>1653</v>
      </c>
      <c r="AB118" s="2" t="s">
        <v>2291</v>
      </c>
      <c r="AN118" s="2" t="s">
        <v>1368</v>
      </c>
    </row>
    <row r="119" ht="15.75" customHeight="1">
      <c r="A119" s="2" t="s">
        <v>2292</v>
      </c>
      <c r="B119" s="2" t="s">
        <v>1361</v>
      </c>
      <c r="C119" s="2">
        <v>2006.0</v>
      </c>
      <c r="D119" s="2" t="s">
        <v>2293</v>
      </c>
      <c r="E119" s="2" t="s">
        <v>2294</v>
      </c>
      <c r="F119" s="2" t="s">
        <v>2295</v>
      </c>
      <c r="H119" s="2" t="s">
        <v>2296</v>
      </c>
      <c r="I119" s="2" t="s">
        <v>2297</v>
      </c>
      <c r="J119" s="2" t="s">
        <v>2298</v>
      </c>
      <c r="K119" s="2" t="s">
        <v>2299</v>
      </c>
      <c r="L119" s="2" t="s">
        <v>2300</v>
      </c>
      <c r="M119" s="2" t="s">
        <v>1385</v>
      </c>
      <c r="N119" s="2" t="s">
        <v>1386</v>
      </c>
      <c r="P119" s="2" t="s">
        <v>2301</v>
      </c>
      <c r="R119" s="2" t="s">
        <v>1462</v>
      </c>
      <c r="S119" s="2">
        <v>42.0</v>
      </c>
      <c r="AN119" s="2" t="s">
        <v>1368</v>
      </c>
    </row>
    <row r="120" ht="15.75" customHeight="1">
      <c r="A120" s="2" t="s">
        <v>2302</v>
      </c>
      <c r="B120" s="2" t="s">
        <v>1361</v>
      </c>
      <c r="C120" s="2">
        <v>2000.0</v>
      </c>
      <c r="D120" s="2" t="s">
        <v>2303</v>
      </c>
      <c r="E120" s="2" t="s">
        <v>2304</v>
      </c>
      <c r="F120" s="2" t="s">
        <v>2305</v>
      </c>
      <c r="H120" s="2" t="s">
        <v>2306</v>
      </c>
      <c r="I120" s="2" t="s">
        <v>2307</v>
      </c>
      <c r="J120" s="2" t="s">
        <v>2308</v>
      </c>
      <c r="K120" s="2" t="s">
        <v>2309</v>
      </c>
      <c r="L120" s="2" t="s">
        <v>2310</v>
      </c>
      <c r="M120" s="2" t="s">
        <v>1385</v>
      </c>
      <c r="N120" s="2" t="s">
        <v>1386</v>
      </c>
      <c r="P120" s="2" t="s">
        <v>2311</v>
      </c>
      <c r="R120" s="2" t="s">
        <v>1453</v>
      </c>
      <c r="S120" s="2">
        <v>43.0</v>
      </c>
      <c r="AN120" s="2" t="s">
        <v>1368</v>
      </c>
    </row>
    <row r="121" ht="15.75" customHeight="1">
      <c r="A121" s="2" t="s">
        <v>2312</v>
      </c>
      <c r="B121" s="2" t="s">
        <v>1396</v>
      </c>
      <c r="C121" s="2">
        <v>2015.0</v>
      </c>
      <c r="D121" s="2" t="s">
        <v>2313</v>
      </c>
      <c r="E121" s="2" t="s">
        <v>2314</v>
      </c>
      <c r="J121" s="2" t="s">
        <v>2315</v>
      </c>
      <c r="K121" s="2" t="s">
        <v>2316</v>
      </c>
      <c r="L121" s="2" t="s">
        <v>1373</v>
      </c>
      <c r="M121" s="2" t="s">
        <v>1385</v>
      </c>
      <c r="N121" s="2" t="s">
        <v>1386</v>
      </c>
      <c r="AA121" s="2" t="s">
        <v>2317</v>
      </c>
      <c r="AN121" s="2" t="s">
        <v>1368</v>
      </c>
    </row>
    <row r="122" ht="15.75" customHeight="1">
      <c r="A122" s="2" t="s">
        <v>2318</v>
      </c>
      <c r="B122" s="2" t="s">
        <v>1361</v>
      </c>
      <c r="C122" s="2">
        <v>2010.0</v>
      </c>
      <c r="D122" s="2" t="s">
        <v>2319</v>
      </c>
      <c r="E122" s="2" t="s">
        <v>832</v>
      </c>
      <c r="F122" s="2" t="s">
        <v>2320</v>
      </c>
      <c r="H122" s="2" t="s">
        <v>2321</v>
      </c>
      <c r="I122" s="2" t="s">
        <v>835</v>
      </c>
      <c r="L122" s="2" t="s">
        <v>1449</v>
      </c>
      <c r="M122" s="2" t="s">
        <v>1385</v>
      </c>
      <c r="N122" s="2" t="s">
        <v>1386</v>
      </c>
      <c r="P122" s="2" t="s">
        <v>2322</v>
      </c>
      <c r="R122" s="2" t="s">
        <v>1600</v>
      </c>
      <c r="S122" s="2">
        <v>99.0</v>
      </c>
      <c r="AN122" s="2" t="s">
        <v>1368</v>
      </c>
    </row>
    <row r="123" ht="15.75" customHeight="1">
      <c r="A123" s="2" t="s">
        <v>2323</v>
      </c>
      <c r="B123" s="2" t="s">
        <v>1361</v>
      </c>
      <c r="C123" s="2">
        <v>1994.0</v>
      </c>
      <c r="D123" s="2" t="s">
        <v>2324</v>
      </c>
      <c r="E123" s="2" t="s">
        <v>2325</v>
      </c>
      <c r="F123" s="2" t="s">
        <v>1425</v>
      </c>
      <c r="I123" s="2" t="s">
        <v>2326</v>
      </c>
      <c r="L123" s="2" t="s">
        <v>2327</v>
      </c>
      <c r="M123" s="2" t="s">
        <v>1385</v>
      </c>
      <c r="N123" s="2" t="s">
        <v>1386</v>
      </c>
      <c r="P123" s="2" t="s">
        <v>2328</v>
      </c>
      <c r="R123" s="2" t="s">
        <v>1453</v>
      </c>
      <c r="S123" s="2">
        <v>27.0</v>
      </c>
      <c r="AN123" s="2" t="s">
        <v>1368</v>
      </c>
    </row>
    <row r="124" ht="15.75" customHeight="1">
      <c r="A124" s="2" t="s">
        <v>2329</v>
      </c>
      <c r="B124" s="2" t="s">
        <v>1361</v>
      </c>
      <c r="C124" s="2">
        <v>2009.0</v>
      </c>
      <c r="D124" s="2" t="s">
        <v>2330</v>
      </c>
      <c r="E124" s="2" t="s">
        <v>2331</v>
      </c>
      <c r="F124" s="2" t="s">
        <v>2332</v>
      </c>
      <c r="I124" s="2" t="s">
        <v>2333</v>
      </c>
      <c r="K124" s="2" t="s">
        <v>2334</v>
      </c>
      <c r="L124" s="2" t="s">
        <v>1364</v>
      </c>
      <c r="M124" s="2" t="s">
        <v>1385</v>
      </c>
      <c r="N124" s="2" t="s">
        <v>1386</v>
      </c>
      <c r="P124" s="2" t="s">
        <v>2335</v>
      </c>
      <c r="R124" s="2" t="s">
        <v>2336</v>
      </c>
      <c r="AN124" s="2" t="s">
        <v>1368</v>
      </c>
    </row>
    <row r="125" ht="15.75" customHeight="1">
      <c r="A125" s="2" t="s">
        <v>2337</v>
      </c>
      <c r="B125" s="2" t="s">
        <v>1361</v>
      </c>
      <c r="C125" s="2">
        <v>2010.0</v>
      </c>
      <c r="D125" s="2" t="s">
        <v>2338</v>
      </c>
      <c r="E125" s="2" t="s">
        <v>2339</v>
      </c>
      <c r="F125" s="2" t="s">
        <v>2340</v>
      </c>
      <c r="H125" s="2" t="s">
        <v>2341</v>
      </c>
      <c r="I125" s="2" t="s">
        <v>2342</v>
      </c>
      <c r="K125" s="2" t="s">
        <v>2343</v>
      </c>
      <c r="L125" s="2" t="s">
        <v>1449</v>
      </c>
      <c r="M125" s="2" t="s">
        <v>1385</v>
      </c>
      <c r="N125" s="2" t="s">
        <v>1386</v>
      </c>
      <c r="AN125" s="2" t="s">
        <v>1368</v>
      </c>
    </row>
    <row r="126" ht="15.75" customHeight="1">
      <c r="A126" s="2" t="s">
        <v>2344</v>
      </c>
      <c r="B126" s="2" t="s">
        <v>1361</v>
      </c>
      <c r="C126" s="2">
        <v>2009.0</v>
      </c>
      <c r="D126" s="2" t="s">
        <v>2345</v>
      </c>
      <c r="E126" s="2" t="s">
        <v>954</v>
      </c>
      <c r="F126" s="2" t="s">
        <v>1466</v>
      </c>
      <c r="H126" s="2" t="s">
        <v>2346</v>
      </c>
      <c r="I126" s="2" t="s">
        <v>956</v>
      </c>
      <c r="K126" s="2" t="s">
        <v>955</v>
      </c>
      <c r="L126" s="2" t="s">
        <v>1364</v>
      </c>
      <c r="M126" s="2" t="s">
        <v>1385</v>
      </c>
      <c r="N126" s="2" t="s">
        <v>1386</v>
      </c>
      <c r="AN126" s="2" t="s">
        <v>1368</v>
      </c>
    </row>
    <row r="127" ht="15.75" customHeight="1">
      <c r="A127" s="2" t="s">
        <v>2347</v>
      </c>
      <c r="B127" s="2" t="s">
        <v>1361</v>
      </c>
      <c r="C127" s="2">
        <v>2012.0</v>
      </c>
      <c r="D127" s="2" t="s">
        <v>2348</v>
      </c>
      <c r="E127" s="2" t="s">
        <v>2349</v>
      </c>
      <c r="F127" s="2" t="s">
        <v>2350</v>
      </c>
      <c r="H127" s="2" t="s">
        <v>2351</v>
      </c>
      <c r="I127" s="2" t="s">
        <v>2352</v>
      </c>
      <c r="K127" s="2" t="s">
        <v>2353</v>
      </c>
      <c r="L127" s="2" t="s">
        <v>1405</v>
      </c>
      <c r="M127" s="2" t="s">
        <v>1385</v>
      </c>
      <c r="N127" s="2" t="s">
        <v>1386</v>
      </c>
      <c r="P127" s="2" t="s">
        <v>2354</v>
      </c>
      <c r="R127" s="2" t="s">
        <v>1462</v>
      </c>
      <c r="S127" s="2">
        <v>15.0</v>
      </c>
      <c r="AN127" s="2" t="s">
        <v>1368</v>
      </c>
    </row>
    <row r="128" ht="15.75" customHeight="1">
      <c r="A128" s="2" t="s">
        <v>2355</v>
      </c>
      <c r="B128" s="2" t="s">
        <v>1361</v>
      </c>
      <c r="C128" s="2">
        <v>2012.0</v>
      </c>
      <c r="D128" s="2" t="s">
        <v>2356</v>
      </c>
      <c r="E128" s="2" t="s">
        <v>2357</v>
      </c>
      <c r="F128" s="2" t="s">
        <v>2358</v>
      </c>
      <c r="H128" s="2" t="s">
        <v>2359</v>
      </c>
      <c r="I128" s="2" t="s">
        <v>2360</v>
      </c>
      <c r="K128" s="2" t="s">
        <v>2361</v>
      </c>
      <c r="L128" s="2" t="s">
        <v>1405</v>
      </c>
      <c r="M128" s="2" t="s">
        <v>1385</v>
      </c>
      <c r="N128" s="2" t="s">
        <v>1386</v>
      </c>
      <c r="AN128" s="2" t="s">
        <v>1368</v>
      </c>
    </row>
    <row r="129" ht="15.75" customHeight="1">
      <c r="A129" s="2" t="s">
        <v>2362</v>
      </c>
      <c r="B129" s="2" t="s">
        <v>1361</v>
      </c>
      <c r="C129" s="2">
        <v>2015.0</v>
      </c>
      <c r="D129" s="2" t="s">
        <v>2363</v>
      </c>
      <c r="E129" s="2" t="s">
        <v>2364</v>
      </c>
      <c r="F129" s="2" t="s">
        <v>2365</v>
      </c>
      <c r="H129" s="2" t="s">
        <v>1614</v>
      </c>
      <c r="I129" s="2" t="s">
        <v>403</v>
      </c>
      <c r="K129" s="2" t="s">
        <v>2366</v>
      </c>
      <c r="L129" s="2" t="s">
        <v>1373</v>
      </c>
      <c r="M129" s="2" t="s">
        <v>1385</v>
      </c>
      <c r="N129" s="2" t="s">
        <v>1386</v>
      </c>
      <c r="AN129" s="2" t="s">
        <v>1368</v>
      </c>
    </row>
    <row r="130" ht="15.75" customHeight="1">
      <c r="A130" s="2" t="s">
        <v>2367</v>
      </c>
      <c r="B130" s="2" t="s">
        <v>1361</v>
      </c>
      <c r="C130" s="2">
        <v>2014.0</v>
      </c>
      <c r="D130" s="2" t="s">
        <v>2368</v>
      </c>
      <c r="E130" s="2" t="s">
        <v>535</v>
      </c>
      <c r="F130" s="2" t="s">
        <v>2162</v>
      </c>
      <c r="H130" s="2" t="s">
        <v>2163</v>
      </c>
      <c r="I130" s="2" t="s">
        <v>537</v>
      </c>
      <c r="K130" s="2" t="s">
        <v>536</v>
      </c>
      <c r="L130" s="2" t="s">
        <v>1476</v>
      </c>
      <c r="M130" s="2" t="s">
        <v>1385</v>
      </c>
      <c r="N130" s="2" t="s">
        <v>1386</v>
      </c>
      <c r="AN130" s="2" t="s">
        <v>1368</v>
      </c>
    </row>
    <row r="131" ht="15.75" customHeight="1">
      <c r="A131" s="2" t="s">
        <v>2369</v>
      </c>
      <c r="B131" s="2" t="s">
        <v>1396</v>
      </c>
      <c r="C131" s="2">
        <v>2004.0</v>
      </c>
      <c r="D131" s="2" t="s">
        <v>2370</v>
      </c>
      <c r="E131" s="2" t="s">
        <v>2371</v>
      </c>
      <c r="G131" s="2" t="s">
        <v>2372</v>
      </c>
      <c r="L131" s="2" t="s">
        <v>2373</v>
      </c>
      <c r="M131" s="2" t="s">
        <v>1385</v>
      </c>
      <c r="N131" s="2" t="s">
        <v>1386</v>
      </c>
      <c r="S131" s="2">
        <v>6.0</v>
      </c>
      <c r="AA131" s="2" t="s">
        <v>2374</v>
      </c>
      <c r="AN131" s="2" t="s">
        <v>1368</v>
      </c>
    </row>
    <row r="132" ht="15.75" customHeight="1">
      <c r="A132" s="2" t="s">
        <v>2375</v>
      </c>
      <c r="B132" s="2" t="s">
        <v>1396</v>
      </c>
      <c r="C132" s="2">
        <v>2007.0</v>
      </c>
      <c r="D132" s="2" t="s">
        <v>2376</v>
      </c>
      <c r="E132" s="2" t="s">
        <v>2377</v>
      </c>
      <c r="G132" s="2" t="s">
        <v>2378</v>
      </c>
      <c r="K132" s="2" t="s">
        <v>2379</v>
      </c>
      <c r="L132" s="2" t="s">
        <v>2380</v>
      </c>
      <c r="M132" s="2" t="s">
        <v>1385</v>
      </c>
      <c r="N132" s="2" t="s">
        <v>1386</v>
      </c>
      <c r="AN132" s="2" t="s">
        <v>1368</v>
      </c>
    </row>
    <row r="133" ht="15.75" customHeight="1">
      <c r="A133" s="2" t="s">
        <v>2381</v>
      </c>
      <c r="B133" s="2" t="s">
        <v>1361</v>
      </c>
      <c r="C133" s="2">
        <v>1978.0</v>
      </c>
      <c r="D133" s="2" t="s">
        <v>2382</v>
      </c>
      <c r="E133" s="2" t="s">
        <v>2383</v>
      </c>
      <c r="F133" s="2" t="s">
        <v>1510</v>
      </c>
      <c r="H133" s="2" t="s">
        <v>1546</v>
      </c>
      <c r="I133" s="2" t="s">
        <v>2384</v>
      </c>
      <c r="L133" s="2" t="s">
        <v>2385</v>
      </c>
      <c r="M133" s="2" t="s">
        <v>1385</v>
      </c>
      <c r="N133" s="2" t="s">
        <v>1386</v>
      </c>
      <c r="P133" s="2" t="s">
        <v>2386</v>
      </c>
      <c r="R133" s="2" t="s">
        <v>2387</v>
      </c>
      <c r="S133" s="2">
        <v>202.0</v>
      </c>
      <c r="AC133" s="2" t="s">
        <v>1540</v>
      </c>
      <c r="AN133" s="2" t="s">
        <v>1368</v>
      </c>
    </row>
    <row r="134" ht="15.75" customHeight="1">
      <c r="A134" s="2" t="s">
        <v>2388</v>
      </c>
      <c r="B134" s="2" t="s">
        <v>1361</v>
      </c>
      <c r="C134" s="2">
        <v>2012.0</v>
      </c>
      <c r="D134" s="2" t="s">
        <v>2389</v>
      </c>
      <c r="E134" s="2" t="s">
        <v>2390</v>
      </c>
      <c r="F134" s="2" t="s">
        <v>2391</v>
      </c>
      <c r="H134" s="2" t="s">
        <v>2392</v>
      </c>
      <c r="I134" s="2" t="s">
        <v>2393</v>
      </c>
      <c r="K134" s="2" t="s">
        <v>2394</v>
      </c>
      <c r="L134" s="2" t="s">
        <v>2395</v>
      </c>
      <c r="M134" s="2" t="s">
        <v>1385</v>
      </c>
      <c r="N134" s="2" t="s">
        <v>1386</v>
      </c>
      <c r="P134" s="2" t="s">
        <v>2396</v>
      </c>
      <c r="R134" s="2" t="s">
        <v>1462</v>
      </c>
      <c r="S134" s="2">
        <v>87.0</v>
      </c>
      <c r="AN134" s="2" t="s">
        <v>1368</v>
      </c>
    </row>
    <row r="135" ht="15.75" customHeight="1">
      <c r="A135" s="2" t="s">
        <v>2397</v>
      </c>
      <c r="B135" s="2" t="s">
        <v>1361</v>
      </c>
      <c r="C135" s="2">
        <v>2010.0</v>
      </c>
      <c r="D135" s="2" t="s">
        <v>2398</v>
      </c>
      <c r="E135" s="2" t="s">
        <v>2399</v>
      </c>
      <c r="F135" s="2" t="s">
        <v>2400</v>
      </c>
      <c r="H135" s="2" t="s">
        <v>2401</v>
      </c>
      <c r="I135" s="2" t="s">
        <v>2402</v>
      </c>
      <c r="L135" s="2" t="s">
        <v>1449</v>
      </c>
      <c r="M135" s="2" t="s">
        <v>1385</v>
      </c>
      <c r="N135" s="2" t="s">
        <v>1386</v>
      </c>
      <c r="P135" s="2" t="s">
        <v>2403</v>
      </c>
      <c r="R135" s="2" t="s">
        <v>1506</v>
      </c>
      <c r="S135" s="2">
        <v>30.0</v>
      </c>
      <c r="AN135" s="2" t="s">
        <v>1368</v>
      </c>
    </row>
    <row r="136" ht="15.75" customHeight="1">
      <c r="A136" s="2" t="s">
        <v>2404</v>
      </c>
      <c r="B136" s="2" t="s">
        <v>1766</v>
      </c>
      <c r="C136" s="2">
        <v>2016.0</v>
      </c>
      <c r="D136" s="2" t="s">
        <v>2405</v>
      </c>
      <c r="E136" s="2" t="s">
        <v>2406</v>
      </c>
      <c r="F136" s="2" t="s">
        <v>2407</v>
      </c>
      <c r="L136" s="2" t="s">
        <v>1502</v>
      </c>
      <c r="M136" s="2" t="s">
        <v>1385</v>
      </c>
      <c r="N136" s="2" t="s">
        <v>1386</v>
      </c>
      <c r="P136" s="2" t="s">
        <v>2408</v>
      </c>
      <c r="AA136" s="2" t="s">
        <v>2409</v>
      </c>
      <c r="AB136" s="2" t="s">
        <v>2410</v>
      </c>
      <c r="AN136" s="2" t="s">
        <v>1368</v>
      </c>
      <c r="AP136" s="2" t="s">
        <v>2411</v>
      </c>
    </row>
    <row r="137" ht="15.75" customHeight="1">
      <c r="A137" s="2" t="s">
        <v>2412</v>
      </c>
      <c r="B137" s="2" t="s">
        <v>1361</v>
      </c>
      <c r="C137" s="2">
        <v>2014.0</v>
      </c>
      <c r="D137" s="2" t="s">
        <v>2413</v>
      </c>
      <c r="E137" s="2" t="s">
        <v>2414</v>
      </c>
      <c r="F137" s="2" t="s">
        <v>2415</v>
      </c>
      <c r="H137" s="2" t="s">
        <v>2416</v>
      </c>
      <c r="I137" s="2" t="s">
        <v>2417</v>
      </c>
      <c r="K137" s="2" t="s">
        <v>2418</v>
      </c>
      <c r="L137" s="2" t="s">
        <v>1476</v>
      </c>
      <c r="M137" s="2" t="s">
        <v>1385</v>
      </c>
      <c r="N137" s="2" t="s">
        <v>1386</v>
      </c>
      <c r="AN137" s="2" t="s">
        <v>1368</v>
      </c>
    </row>
    <row r="138" ht="15.75" customHeight="1">
      <c r="A138" s="2" t="s">
        <v>2419</v>
      </c>
      <c r="B138" s="2" t="s">
        <v>1361</v>
      </c>
      <c r="C138" s="2">
        <v>1968.0</v>
      </c>
      <c r="D138" s="2" t="s">
        <v>2420</v>
      </c>
      <c r="E138" s="2" t="s">
        <v>2421</v>
      </c>
      <c r="F138" s="2" t="s">
        <v>1510</v>
      </c>
      <c r="H138" s="2" t="s">
        <v>1511</v>
      </c>
      <c r="I138" s="2" t="s">
        <v>2422</v>
      </c>
      <c r="K138" s="2" t="s">
        <v>2423</v>
      </c>
      <c r="L138" s="2" t="s">
        <v>2424</v>
      </c>
      <c r="M138" s="2" t="s">
        <v>1385</v>
      </c>
      <c r="N138" s="2" t="s">
        <v>1386</v>
      </c>
      <c r="P138" s="2" t="s">
        <v>2425</v>
      </c>
      <c r="AN138" s="2" t="s">
        <v>1368</v>
      </c>
    </row>
    <row r="139" ht="15.75" customHeight="1">
      <c r="A139" s="2" t="s">
        <v>2426</v>
      </c>
      <c r="B139" s="2" t="s">
        <v>1396</v>
      </c>
      <c r="C139" s="2">
        <v>2000.0</v>
      </c>
      <c r="D139" s="2" t="s">
        <v>2427</v>
      </c>
      <c r="E139" s="2" t="s">
        <v>2428</v>
      </c>
      <c r="L139" s="2" t="s">
        <v>2429</v>
      </c>
      <c r="M139" s="2" t="s">
        <v>1385</v>
      </c>
      <c r="N139" s="2" t="s">
        <v>1386</v>
      </c>
      <c r="AA139" s="2" t="s">
        <v>2430</v>
      </c>
      <c r="AB139" s="2" t="s">
        <v>2431</v>
      </c>
      <c r="AN139" s="2" t="s">
        <v>1368</v>
      </c>
    </row>
    <row r="140" ht="15.75" customHeight="1">
      <c r="A140" s="2" t="s">
        <v>2432</v>
      </c>
      <c r="B140" s="2" t="s">
        <v>1361</v>
      </c>
      <c r="C140" s="2">
        <v>2017.0</v>
      </c>
      <c r="D140" s="2" t="s">
        <v>2190</v>
      </c>
      <c r="E140" s="2" t="s">
        <v>2433</v>
      </c>
      <c r="F140" s="2" t="s">
        <v>1863</v>
      </c>
      <c r="H140" s="2" t="s">
        <v>2434</v>
      </c>
      <c r="I140" s="2" t="s">
        <v>2435</v>
      </c>
      <c r="K140" s="2" t="s">
        <v>2436</v>
      </c>
      <c r="L140" s="2" t="s">
        <v>1658</v>
      </c>
      <c r="M140" s="2" t="s">
        <v>1385</v>
      </c>
      <c r="N140" s="2" t="s">
        <v>1386</v>
      </c>
      <c r="P140" s="2" t="s">
        <v>2437</v>
      </c>
      <c r="S140" s="2">
        <v>93.0</v>
      </c>
      <c r="AN140" s="2" t="s">
        <v>1368</v>
      </c>
    </row>
    <row r="141" ht="15.75" customHeight="1">
      <c r="A141" s="2" t="s">
        <v>2438</v>
      </c>
      <c r="B141" s="2" t="s">
        <v>1396</v>
      </c>
      <c r="C141" s="2">
        <v>2013.0</v>
      </c>
      <c r="D141" s="2" t="s">
        <v>2439</v>
      </c>
      <c r="E141" s="2" t="s">
        <v>2440</v>
      </c>
      <c r="L141" s="2" t="s">
        <v>1429</v>
      </c>
      <c r="M141" s="2" t="s">
        <v>1385</v>
      </c>
      <c r="N141" s="2" t="s">
        <v>1386</v>
      </c>
      <c r="AA141" s="2" t="s">
        <v>2441</v>
      </c>
      <c r="AN141" s="2" t="s">
        <v>1368</v>
      </c>
    </row>
    <row r="142" ht="15.75" customHeight="1">
      <c r="A142" s="2" t="s">
        <v>2442</v>
      </c>
      <c r="B142" s="2" t="s">
        <v>1396</v>
      </c>
      <c r="C142" s="2">
        <v>2003.0</v>
      </c>
      <c r="D142" s="2" t="s">
        <v>2443</v>
      </c>
      <c r="E142" s="2" t="s">
        <v>2444</v>
      </c>
      <c r="G142" s="2" t="s">
        <v>2445</v>
      </c>
      <c r="K142" s="2" t="s">
        <v>2446</v>
      </c>
      <c r="L142" s="2" t="s">
        <v>1606</v>
      </c>
      <c r="M142" s="2" t="s">
        <v>1385</v>
      </c>
      <c r="N142" s="2" t="s">
        <v>1386</v>
      </c>
      <c r="Q142" s="2">
        <v>740.0</v>
      </c>
      <c r="AA142" s="2" t="s">
        <v>2447</v>
      </c>
      <c r="AN142" s="2" t="s">
        <v>1368</v>
      </c>
    </row>
    <row r="143" ht="15.75" customHeight="1">
      <c r="A143" s="2" t="s">
        <v>2448</v>
      </c>
      <c r="B143" s="2" t="s">
        <v>1361</v>
      </c>
      <c r="C143" s="2">
        <v>2011.0</v>
      </c>
      <c r="D143" s="2" t="s">
        <v>2449</v>
      </c>
      <c r="E143" s="2" t="s">
        <v>2450</v>
      </c>
      <c r="F143" s="2" t="s">
        <v>2451</v>
      </c>
      <c r="H143" s="2" t="s">
        <v>2452</v>
      </c>
      <c r="I143" s="2" t="s">
        <v>2453</v>
      </c>
      <c r="K143" s="2" t="s">
        <v>2454</v>
      </c>
      <c r="L143" s="2" t="s">
        <v>1627</v>
      </c>
      <c r="M143" s="2" t="s">
        <v>1385</v>
      </c>
      <c r="N143" s="2" t="s">
        <v>1386</v>
      </c>
      <c r="AN143" s="2" t="s">
        <v>1368</v>
      </c>
    </row>
    <row r="144" ht="15.75" customHeight="1">
      <c r="A144" s="2" t="s">
        <v>2455</v>
      </c>
      <c r="B144" s="2" t="s">
        <v>1361</v>
      </c>
      <c r="C144" s="2">
        <v>1981.0</v>
      </c>
      <c r="D144" s="2" t="s">
        <v>2456</v>
      </c>
      <c r="E144" s="2" t="s">
        <v>2457</v>
      </c>
      <c r="F144" s="2" t="s">
        <v>2458</v>
      </c>
      <c r="H144" s="2" t="s">
        <v>2459</v>
      </c>
      <c r="I144" s="2" t="s">
        <v>2460</v>
      </c>
      <c r="K144" s="2" t="s">
        <v>2461</v>
      </c>
      <c r="L144" s="2" t="s">
        <v>2462</v>
      </c>
      <c r="M144" s="2" t="s">
        <v>1385</v>
      </c>
      <c r="N144" s="2" t="s">
        <v>1386</v>
      </c>
      <c r="P144" s="2" t="s">
        <v>2463</v>
      </c>
      <c r="R144" s="2" t="s">
        <v>2271</v>
      </c>
      <c r="S144" s="2">
        <v>6.0</v>
      </c>
      <c r="AN144" s="2" t="s">
        <v>1368</v>
      </c>
    </row>
    <row r="145" ht="15.75" customHeight="1">
      <c r="A145" s="2" t="s">
        <v>2464</v>
      </c>
      <c r="B145" s="2" t="s">
        <v>1396</v>
      </c>
      <c r="C145" s="2">
        <v>2015.0</v>
      </c>
      <c r="D145" s="2" t="s">
        <v>2465</v>
      </c>
      <c r="E145" s="2" t="s">
        <v>2466</v>
      </c>
      <c r="L145" s="2" t="s">
        <v>1373</v>
      </c>
      <c r="M145" s="2" t="s">
        <v>1385</v>
      </c>
      <c r="N145" s="2" t="s">
        <v>1386</v>
      </c>
      <c r="S145" s="2">
        <v>142.0</v>
      </c>
      <c r="AA145" s="2" t="s">
        <v>2467</v>
      </c>
      <c r="AN145" s="2" t="s">
        <v>1368</v>
      </c>
    </row>
    <row r="146" ht="15.75" customHeight="1">
      <c r="A146" s="2" t="s">
        <v>2468</v>
      </c>
      <c r="B146" s="2" t="s">
        <v>1396</v>
      </c>
      <c r="C146" s="2">
        <v>2012.0</v>
      </c>
      <c r="D146" s="2" t="s">
        <v>2469</v>
      </c>
      <c r="E146" s="2" t="s">
        <v>2470</v>
      </c>
      <c r="G146" s="2" t="s">
        <v>2471</v>
      </c>
      <c r="K146" s="2" t="s">
        <v>2472</v>
      </c>
      <c r="L146" s="2" t="s">
        <v>1405</v>
      </c>
      <c r="M146" s="2" t="s">
        <v>1385</v>
      </c>
      <c r="N146" s="2" t="s">
        <v>1386</v>
      </c>
      <c r="AN146" s="2" t="s">
        <v>1368</v>
      </c>
    </row>
    <row r="147" ht="15.75" customHeight="1">
      <c r="A147" s="2" t="s">
        <v>2473</v>
      </c>
      <c r="B147" s="2" t="s">
        <v>1396</v>
      </c>
      <c r="C147" s="2">
        <v>2014.0</v>
      </c>
      <c r="D147" s="2" t="s">
        <v>2474</v>
      </c>
      <c r="E147" s="2" t="s">
        <v>2475</v>
      </c>
      <c r="L147" s="2" t="s">
        <v>1476</v>
      </c>
      <c r="M147" s="2" t="s">
        <v>1385</v>
      </c>
      <c r="N147" s="2" t="s">
        <v>1386</v>
      </c>
      <c r="AA147" s="2" t="s">
        <v>2476</v>
      </c>
      <c r="AN147" s="2" t="s">
        <v>1368</v>
      </c>
    </row>
    <row r="148" ht="15.75" customHeight="1">
      <c r="A148" s="2" t="s">
        <v>2477</v>
      </c>
      <c r="B148" s="2" t="s">
        <v>1361</v>
      </c>
      <c r="C148" s="2">
        <v>2016.0</v>
      </c>
      <c r="D148" s="2" t="s">
        <v>2478</v>
      </c>
      <c r="E148" s="2" t="s">
        <v>2479</v>
      </c>
      <c r="F148" s="2" t="s">
        <v>2480</v>
      </c>
      <c r="H148" s="2" t="s">
        <v>2481</v>
      </c>
      <c r="I148" s="2" t="s">
        <v>159</v>
      </c>
      <c r="K148" s="2" t="s">
        <v>2482</v>
      </c>
      <c r="L148" s="2" t="s">
        <v>1502</v>
      </c>
      <c r="M148" s="2" t="s">
        <v>1385</v>
      </c>
      <c r="N148" s="2" t="s">
        <v>1386</v>
      </c>
      <c r="AN148" s="2" t="s">
        <v>1368</v>
      </c>
    </row>
    <row r="149" ht="15.75" customHeight="1">
      <c r="A149" s="2" t="s">
        <v>2483</v>
      </c>
      <c r="B149" s="2" t="s">
        <v>1396</v>
      </c>
      <c r="C149" s="2">
        <v>2009.0</v>
      </c>
      <c r="D149" s="2" t="s">
        <v>2484</v>
      </c>
      <c r="E149" s="2" t="s">
        <v>2485</v>
      </c>
      <c r="G149" s="2" t="s">
        <v>2486</v>
      </c>
      <c r="L149" s="2" t="s">
        <v>1364</v>
      </c>
      <c r="M149" s="2" t="s">
        <v>1385</v>
      </c>
      <c r="N149" s="2" t="s">
        <v>1386</v>
      </c>
      <c r="AA149" s="2" t="s">
        <v>2487</v>
      </c>
      <c r="AN149" s="2" t="s">
        <v>1368</v>
      </c>
    </row>
    <row r="150" ht="15.75" customHeight="1">
      <c r="A150" s="2" t="s">
        <v>2488</v>
      </c>
      <c r="B150" s="2" t="s">
        <v>1766</v>
      </c>
      <c r="C150" s="2">
        <v>1996.0</v>
      </c>
      <c r="D150" s="2" t="s">
        <v>2489</v>
      </c>
      <c r="E150" s="2" t="s">
        <v>2490</v>
      </c>
      <c r="F150" s="2" t="s">
        <v>2491</v>
      </c>
      <c r="L150" s="2" t="s">
        <v>2492</v>
      </c>
      <c r="M150" s="2" t="s">
        <v>1385</v>
      </c>
      <c r="N150" s="2" t="s">
        <v>1386</v>
      </c>
      <c r="P150" s="2" t="s">
        <v>2493</v>
      </c>
      <c r="AA150" s="2" t="s">
        <v>1771</v>
      </c>
      <c r="AN150" s="2" t="s">
        <v>1368</v>
      </c>
    </row>
    <row r="151" ht="15.75" customHeight="1">
      <c r="A151" s="2" t="s">
        <v>2494</v>
      </c>
      <c r="B151" s="2" t="s">
        <v>1781</v>
      </c>
      <c r="C151" s="2">
        <v>2011.0</v>
      </c>
      <c r="D151" s="2" t="s">
        <v>2495</v>
      </c>
      <c r="E151" s="2" t="s">
        <v>2496</v>
      </c>
      <c r="K151" s="2" t="s">
        <v>2497</v>
      </c>
      <c r="L151" s="2" t="s">
        <v>1627</v>
      </c>
      <c r="M151" s="2" t="s">
        <v>1385</v>
      </c>
      <c r="N151" s="2" t="s">
        <v>1386</v>
      </c>
      <c r="AN151" s="2" t="s">
        <v>1368</v>
      </c>
    </row>
    <row r="152" ht="15.75" customHeight="1">
      <c r="A152" s="2" t="s">
        <v>2498</v>
      </c>
      <c r="B152" s="2" t="s">
        <v>1396</v>
      </c>
      <c r="C152" s="2">
        <v>2005.0</v>
      </c>
      <c r="D152" s="2" t="s">
        <v>2499</v>
      </c>
      <c r="E152" s="2" t="s">
        <v>2500</v>
      </c>
      <c r="L152" s="2" t="s">
        <v>1394</v>
      </c>
      <c r="M152" s="2" t="s">
        <v>1385</v>
      </c>
      <c r="N152" s="2" t="s">
        <v>1386</v>
      </c>
      <c r="AA152" s="2" t="s">
        <v>2501</v>
      </c>
      <c r="AB152" s="2" t="s">
        <v>1629</v>
      </c>
      <c r="AN152" s="2" t="s">
        <v>1368</v>
      </c>
    </row>
    <row r="153" ht="15.75" customHeight="1">
      <c r="A153" s="2" t="s">
        <v>2502</v>
      </c>
      <c r="B153" s="2" t="s">
        <v>1781</v>
      </c>
      <c r="C153" s="2">
        <v>2010.0</v>
      </c>
      <c r="D153" s="2" t="s">
        <v>2503</v>
      </c>
      <c r="E153" s="2" t="s">
        <v>2504</v>
      </c>
      <c r="K153" s="2" t="s">
        <v>2505</v>
      </c>
      <c r="L153" s="2" t="s">
        <v>1449</v>
      </c>
      <c r="M153" s="2" t="s">
        <v>1385</v>
      </c>
      <c r="N153" s="2" t="s">
        <v>1386</v>
      </c>
      <c r="AN153" s="2" t="s">
        <v>1368</v>
      </c>
    </row>
    <row r="154" ht="15.75" customHeight="1">
      <c r="A154" s="2" t="s">
        <v>2506</v>
      </c>
      <c r="B154" s="2" t="s">
        <v>1396</v>
      </c>
      <c r="C154" s="2">
        <v>2008.0</v>
      </c>
      <c r="D154" s="2" t="s">
        <v>2507</v>
      </c>
      <c r="E154" s="2" t="s">
        <v>2508</v>
      </c>
      <c r="G154" s="2" t="s">
        <v>2509</v>
      </c>
      <c r="K154" s="2" t="s">
        <v>2510</v>
      </c>
      <c r="L154" s="2" t="s">
        <v>1458</v>
      </c>
      <c r="M154" s="2" t="s">
        <v>1385</v>
      </c>
      <c r="N154" s="2" t="s">
        <v>1386</v>
      </c>
      <c r="AN154" s="2" t="s">
        <v>1368</v>
      </c>
    </row>
    <row r="155" ht="15.75" customHeight="1">
      <c r="A155" s="2" t="s">
        <v>2511</v>
      </c>
      <c r="B155" s="2" t="s">
        <v>1396</v>
      </c>
      <c r="C155" s="2">
        <v>2008.0</v>
      </c>
      <c r="D155" s="2" t="s">
        <v>2512</v>
      </c>
      <c r="E155" s="2" t="s">
        <v>2513</v>
      </c>
      <c r="L155" s="2" t="s">
        <v>1458</v>
      </c>
      <c r="M155" s="2" t="s">
        <v>1385</v>
      </c>
      <c r="N155" s="2" t="s">
        <v>1386</v>
      </c>
      <c r="AA155" s="2" t="s">
        <v>2514</v>
      </c>
      <c r="AN155" s="2" t="s">
        <v>1368</v>
      </c>
    </row>
    <row r="156" ht="15.75" customHeight="1">
      <c r="A156" s="2" t="s">
        <v>2515</v>
      </c>
      <c r="B156" s="2" t="s">
        <v>1361</v>
      </c>
      <c r="C156" s="2">
        <v>2004.0</v>
      </c>
      <c r="D156" s="2" t="s">
        <v>2516</v>
      </c>
      <c r="E156" s="2" t="s">
        <v>2517</v>
      </c>
      <c r="F156" s="2" t="s">
        <v>2518</v>
      </c>
      <c r="H156" s="2" t="s">
        <v>2519</v>
      </c>
      <c r="I156" s="2" t="s">
        <v>2520</v>
      </c>
      <c r="K156" s="2" t="s">
        <v>2521</v>
      </c>
      <c r="L156" s="2" t="s">
        <v>2373</v>
      </c>
      <c r="M156" s="2" t="s">
        <v>1385</v>
      </c>
      <c r="N156" s="2" t="s">
        <v>1386</v>
      </c>
      <c r="AN156" s="2" t="s">
        <v>1368</v>
      </c>
    </row>
    <row r="157" ht="15.75" customHeight="1">
      <c r="A157" s="2" t="s">
        <v>2522</v>
      </c>
      <c r="B157" s="2" t="s">
        <v>1361</v>
      </c>
      <c r="C157" s="2">
        <v>1996.0</v>
      </c>
      <c r="D157" s="2" t="s">
        <v>2523</v>
      </c>
      <c r="E157" s="2" t="s">
        <v>2524</v>
      </c>
      <c r="F157" s="2" t="s">
        <v>2525</v>
      </c>
      <c r="H157" s="2" t="s">
        <v>2526</v>
      </c>
      <c r="I157" s="2" t="s">
        <v>2527</v>
      </c>
      <c r="K157" s="2" t="s">
        <v>2528</v>
      </c>
      <c r="L157" s="2" t="s">
        <v>2492</v>
      </c>
      <c r="M157" s="2" t="s">
        <v>1385</v>
      </c>
      <c r="N157" s="2" t="s">
        <v>1386</v>
      </c>
      <c r="P157" s="2" t="s">
        <v>2529</v>
      </c>
      <c r="R157" s="2" t="s">
        <v>1462</v>
      </c>
      <c r="S157" s="2">
        <v>6.0</v>
      </c>
      <c r="AN157" s="2" t="s">
        <v>1368</v>
      </c>
    </row>
    <row r="158" ht="15.75" customHeight="1">
      <c r="A158" s="2" t="s">
        <v>2530</v>
      </c>
      <c r="B158" s="2" t="s">
        <v>1361</v>
      </c>
      <c r="C158" s="2">
        <v>2002.0</v>
      </c>
      <c r="D158" s="2" t="s">
        <v>2531</v>
      </c>
      <c r="E158" s="2" t="s">
        <v>2532</v>
      </c>
      <c r="F158" s="2" t="s">
        <v>2533</v>
      </c>
      <c r="H158" s="2" t="s">
        <v>2534</v>
      </c>
      <c r="I158" s="2" t="s">
        <v>2535</v>
      </c>
      <c r="K158" s="2" t="s">
        <v>2536</v>
      </c>
      <c r="L158" s="2" t="s">
        <v>1493</v>
      </c>
      <c r="M158" s="2" t="s">
        <v>1385</v>
      </c>
      <c r="N158" s="2" t="s">
        <v>1386</v>
      </c>
      <c r="P158" s="2" t="s">
        <v>2537</v>
      </c>
      <c r="R158" s="2" t="s">
        <v>1453</v>
      </c>
      <c r="S158" s="2">
        <v>77.0</v>
      </c>
      <c r="AN158" s="2" t="s">
        <v>1368</v>
      </c>
    </row>
    <row r="159" ht="15.75" customHeight="1">
      <c r="A159" s="2" t="s">
        <v>2538</v>
      </c>
      <c r="B159" s="2" t="s">
        <v>1361</v>
      </c>
      <c r="C159" s="2">
        <v>2015.0</v>
      </c>
      <c r="D159" s="2" t="s">
        <v>2539</v>
      </c>
      <c r="E159" s="2" t="s">
        <v>2540</v>
      </c>
      <c r="F159" s="2" t="s">
        <v>2541</v>
      </c>
      <c r="H159" s="2" t="s">
        <v>2542</v>
      </c>
      <c r="I159" s="2" t="s">
        <v>2543</v>
      </c>
      <c r="K159" s="2" t="s">
        <v>2544</v>
      </c>
      <c r="L159" s="2" t="s">
        <v>1373</v>
      </c>
      <c r="M159" s="2" t="s">
        <v>1385</v>
      </c>
      <c r="N159" s="2" t="s">
        <v>1386</v>
      </c>
      <c r="P159" s="2" t="s">
        <v>2545</v>
      </c>
      <c r="R159" s="2" t="s">
        <v>1480</v>
      </c>
      <c r="S159" s="2">
        <v>23.0</v>
      </c>
      <c r="AN159" s="2" t="s">
        <v>1368</v>
      </c>
    </row>
    <row r="160" ht="15.75" customHeight="1">
      <c r="A160" s="2" t="s">
        <v>2546</v>
      </c>
      <c r="B160" s="2" t="s">
        <v>1361</v>
      </c>
      <c r="C160" s="2">
        <v>2015.0</v>
      </c>
      <c r="D160" s="2" t="s">
        <v>2547</v>
      </c>
      <c r="E160" s="2" t="s">
        <v>2548</v>
      </c>
      <c r="F160" s="2" t="s">
        <v>2549</v>
      </c>
      <c r="H160" s="2" t="s">
        <v>2550</v>
      </c>
      <c r="I160" s="2" t="s">
        <v>2551</v>
      </c>
      <c r="K160" s="2" t="s">
        <v>2552</v>
      </c>
      <c r="L160" s="2" t="s">
        <v>1373</v>
      </c>
      <c r="M160" s="2" t="s">
        <v>1385</v>
      </c>
      <c r="N160" s="2" t="s">
        <v>1386</v>
      </c>
      <c r="P160" s="2" t="s">
        <v>2553</v>
      </c>
      <c r="R160" s="2" t="s">
        <v>1462</v>
      </c>
      <c r="S160" s="2">
        <v>20.0</v>
      </c>
      <c r="AN160" s="2" t="s">
        <v>1368</v>
      </c>
    </row>
    <row r="161" ht="15.75" customHeight="1">
      <c r="A161" s="2" t="s">
        <v>2554</v>
      </c>
      <c r="B161" s="2" t="s">
        <v>1396</v>
      </c>
      <c r="C161" s="2">
        <v>2012.0</v>
      </c>
      <c r="D161" s="2" t="s">
        <v>2555</v>
      </c>
      <c r="E161" s="2" t="s">
        <v>690</v>
      </c>
      <c r="G161" s="2" t="s">
        <v>2556</v>
      </c>
      <c r="K161" s="2" t="s">
        <v>2557</v>
      </c>
      <c r="L161" s="2" t="s">
        <v>1405</v>
      </c>
      <c r="M161" s="2" t="s">
        <v>1385</v>
      </c>
      <c r="N161" s="2" t="s">
        <v>1386</v>
      </c>
      <c r="AN161" s="2" t="s">
        <v>1368</v>
      </c>
    </row>
    <row r="162" ht="15.75" customHeight="1">
      <c r="A162" s="2" t="s">
        <v>2558</v>
      </c>
      <c r="B162" s="2" t="s">
        <v>1361</v>
      </c>
      <c r="C162" s="2">
        <v>2012.0</v>
      </c>
      <c r="D162" s="2" t="s">
        <v>2559</v>
      </c>
      <c r="E162" s="2" t="s">
        <v>2560</v>
      </c>
      <c r="F162" s="2" t="s">
        <v>1688</v>
      </c>
      <c r="H162" s="2" t="s">
        <v>1689</v>
      </c>
      <c r="I162" s="2" t="s">
        <v>2561</v>
      </c>
      <c r="J162" s="2" t="s">
        <v>2562</v>
      </c>
      <c r="K162" s="2" t="s">
        <v>2563</v>
      </c>
      <c r="L162" s="2" t="s">
        <v>1405</v>
      </c>
      <c r="M162" s="2" t="s">
        <v>1385</v>
      </c>
      <c r="N162" s="2" t="s">
        <v>1386</v>
      </c>
      <c r="P162" s="2" t="s">
        <v>2564</v>
      </c>
      <c r="R162" s="2" t="s">
        <v>2565</v>
      </c>
      <c r="S162" s="2">
        <v>109.0</v>
      </c>
      <c r="AN162" s="2" t="s">
        <v>1368</v>
      </c>
    </row>
    <row r="163" ht="15.75" customHeight="1">
      <c r="A163" s="2" t="s">
        <v>2566</v>
      </c>
      <c r="B163" s="2" t="s">
        <v>1361</v>
      </c>
      <c r="C163" s="2">
        <v>2009.0</v>
      </c>
      <c r="D163" s="2" t="s">
        <v>2567</v>
      </c>
      <c r="E163" s="2" t="s">
        <v>2568</v>
      </c>
      <c r="F163" s="2" t="s">
        <v>2340</v>
      </c>
      <c r="H163" s="2" t="s">
        <v>2341</v>
      </c>
      <c r="I163" s="2" t="s">
        <v>2569</v>
      </c>
      <c r="K163" s="2" t="s">
        <v>2570</v>
      </c>
      <c r="L163" s="2" t="s">
        <v>1364</v>
      </c>
      <c r="M163" s="2" t="s">
        <v>1385</v>
      </c>
      <c r="N163" s="2" t="s">
        <v>1386</v>
      </c>
      <c r="AN163" s="2" t="s">
        <v>1368</v>
      </c>
    </row>
    <row r="164" ht="15.75" customHeight="1">
      <c r="A164" s="2" t="s">
        <v>2571</v>
      </c>
      <c r="B164" s="2" t="s">
        <v>1361</v>
      </c>
      <c r="C164" s="2">
        <v>2012.0</v>
      </c>
      <c r="D164" s="2" t="s">
        <v>2572</v>
      </c>
      <c r="E164" s="2" t="s">
        <v>2573</v>
      </c>
      <c r="F164" s="2" t="s">
        <v>1863</v>
      </c>
      <c r="H164" s="2" t="s">
        <v>1864</v>
      </c>
      <c r="I164" s="2" t="s">
        <v>2574</v>
      </c>
      <c r="K164" s="2" t="s">
        <v>2575</v>
      </c>
      <c r="L164" s="2" t="s">
        <v>1405</v>
      </c>
      <c r="M164" s="2" t="s">
        <v>1385</v>
      </c>
      <c r="N164" s="2" t="s">
        <v>1386</v>
      </c>
      <c r="AN164" s="2" t="s">
        <v>1368</v>
      </c>
    </row>
    <row r="165" ht="15.75" customHeight="1">
      <c r="A165" s="2" t="s">
        <v>2576</v>
      </c>
      <c r="B165" s="2" t="s">
        <v>1361</v>
      </c>
      <c r="C165" s="2">
        <v>2009.0</v>
      </c>
      <c r="D165" s="2" t="s">
        <v>2577</v>
      </c>
      <c r="E165" s="2" t="s">
        <v>2578</v>
      </c>
      <c r="F165" s="2" t="s">
        <v>2579</v>
      </c>
      <c r="H165" s="2" t="s">
        <v>2580</v>
      </c>
      <c r="I165" s="2" t="s">
        <v>2581</v>
      </c>
      <c r="L165" s="2" t="s">
        <v>1364</v>
      </c>
      <c r="M165" s="2" t="s">
        <v>1385</v>
      </c>
      <c r="N165" s="2" t="s">
        <v>1386</v>
      </c>
      <c r="R165" s="2" t="s">
        <v>1462</v>
      </c>
      <c r="S165" s="2">
        <v>9.0</v>
      </c>
      <c r="AN165" s="2" t="s">
        <v>1368</v>
      </c>
    </row>
    <row r="166" ht="15.75" customHeight="1">
      <c r="A166" s="2" t="s">
        <v>2582</v>
      </c>
      <c r="B166" s="2" t="s">
        <v>1361</v>
      </c>
      <c r="C166" s="2">
        <v>2003.0</v>
      </c>
      <c r="D166" s="2" t="s">
        <v>2583</v>
      </c>
      <c r="E166" s="2" t="s">
        <v>2584</v>
      </c>
      <c r="F166" s="2" t="s">
        <v>2036</v>
      </c>
      <c r="H166" s="2" t="s">
        <v>2585</v>
      </c>
      <c r="I166" s="2" t="s">
        <v>2586</v>
      </c>
      <c r="K166" s="2" t="s">
        <v>2587</v>
      </c>
      <c r="L166" s="2" t="s">
        <v>1606</v>
      </c>
      <c r="M166" s="2" t="s">
        <v>1385</v>
      </c>
      <c r="N166" s="2" t="s">
        <v>1386</v>
      </c>
      <c r="AN166" s="2" t="s">
        <v>1368</v>
      </c>
    </row>
    <row r="167" ht="15.75" customHeight="1">
      <c r="A167" s="2" t="s">
        <v>2588</v>
      </c>
      <c r="B167" s="2" t="s">
        <v>1361</v>
      </c>
      <c r="C167" s="2">
        <v>2010.0</v>
      </c>
      <c r="D167" s="2" t="s">
        <v>2567</v>
      </c>
      <c r="E167" s="2" t="s">
        <v>2589</v>
      </c>
      <c r="F167" s="2" t="s">
        <v>2590</v>
      </c>
      <c r="H167" s="2" t="s">
        <v>2591</v>
      </c>
      <c r="I167" s="2" t="s">
        <v>2592</v>
      </c>
      <c r="K167" s="2" t="s">
        <v>2593</v>
      </c>
      <c r="L167" s="2" t="s">
        <v>1449</v>
      </c>
      <c r="M167" s="2" t="s">
        <v>1385</v>
      </c>
      <c r="N167" s="2" t="s">
        <v>1386</v>
      </c>
      <c r="AN167" s="2" t="s">
        <v>1368</v>
      </c>
    </row>
    <row r="168" ht="15.75" customHeight="1">
      <c r="A168" s="2" t="s">
        <v>2594</v>
      </c>
      <c r="B168" s="2" t="s">
        <v>1361</v>
      </c>
      <c r="C168" s="2">
        <v>2009.0</v>
      </c>
      <c r="D168" s="2" t="s">
        <v>2567</v>
      </c>
      <c r="E168" s="2" t="s">
        <v>2595</v>
      </c>
      <c r="F168" s="2" t="s">
        <v>1863</v>
      </c>
      <c r="H168" s="2" t="s">
        <v>1864</v>
      </c>
      <c r="I168" s="2" t="s">
        <v>2596</v>
      </c>
      <c r="K168" s="2" t="s">
        <v>2597</v>
      </c>
      <c r="L168" s="2" t="s">
        <v>1364</v>
      </c>
      <c r="M168" s="2" t="s">
        <v>1385</v>
      </c>
      <c r="N168" s="2" t="s">
        <v>1386</v>
      </c>
      <c r="AN168" s="2" t="s">
        <v>1368</v>
      </c>
    </row>
    <row r="169" ht="15.75" customHeight="1">
      <c r="A169" s="2" t="s">
        <v>2598</v>
      </c>
      <c r="B169" s="2" t="s">
        <v>1361</v>
      </c>
      <c r="C169" s="2">
        <v>2007.0</v>
      </c>
      <c r="D169" s="2" t="s">
        <v>2599</v>
      </c>
      <c r="E169" s="2" t="s">
        <v>2600</v>
      </c>
      <c r="F169" s="2" t="s">
        <v>2601</v>
      </c>
      <c r="H169" s="2" t="s">
        <v>2602</v>
      </c>
      <c r="I169" s="2" t="s">
        <v>2603</v>
      </c>
      <c r="K169" s="2" t="s">
        <v>2604</v>
      </c>
      <c r="L169" s="2" t="s">
        <v>2380</v>
      </c>
      <c r="M169" s="2" t="s">
        <v>1385</v>
      </c>
      <c r="N169" s="2" t="s">
        <v>1386</v>
      </c>
      <c r="AN169" s="2" t="s">
        <v>1368</v>
      </c>
    </row>
    <row r="170" ht="15.75" customHeight="1">
      <c r="A170" s="2" t="s">
        <v>2605</v>
      </c>
      <c r="B170" s="2" t="s">
        <v>1623</v>
      </c>
      <c r="C170" s="2">
        <v>1991.0</v>
      </c>
      <c r="D170" s="2" t="s">
        <v>2085</v>
      </c>
      <c r="E170" s="2" t="s">
        <v>2606</v>
      </c>
      <c r="L170" s="2" t="s">
        <v>2607</v>
      </c>
      <c r="M170" s="2" t="s">
        <v>1385</v>
      </c>
      <c r="N170" s="2" t="s">
        <v>1386</v>
      </c>
      <c r="AA170" s="2" t="s">
        <v>1653</v>
      </c>
      <c r="AN170" s="2" t="s">
        <v>1368</v>
      </c>
    </row>
    <row r="171" ht="15.75" customHeight="1">
      <c r="A171" s="2" t="s">
        <v>2608</v>
      </c>
      <c r="B171" s="2" t="s">
        <v>1361</v>
      </c>
      <c r="C171" s="2">
        <v>2012.0</v>
      </c>
      <c r="D171" s="2" t="s">
        <v>2609</v>
      </c>
      <c r="E171" s="2" t="s">
        <v>2610</v>
      </c>
      <c r="F171" s="2" t="s">
        <v>2205</v>
      </c>
      <c r="H171" s="2" t="s">
        <v>2206</v>
      </c>
      <c r="I171" s="2" t="s">
        <v>2611</v>
      </c>
      <c r="L171" s="2" t="s">
        <v>2612</v>
      </c>
      <c r="M171" s="2" t="s">
        <v>1385</v>
      </c>
      <c r="N171" s="2" t="s">
        <v>1386</v>
      </c>
      <c r="P171" s="2" t="s">
        <v>2613</v>
      </c>
      <c r="R171" s="2" t="s">
        <v>1600</v>
      </c>
      <c r="S171" s="2">
        <v>36.0</v>
      </c>
      <c r="AN171" s="2" t="s">
        <v>1368</v>
      </c>
    </row>
    <row r="172" ht="15.75" customHeight="1">
      <c r="A172" s="2" t="s">
        <v>2614</v>
      </c>
      <c r="B172" s="2" t="s">
        <v>2615</v>
      </c>
      <c r="C172" s="2">
        <v>2017.0</v>
      </c>
      <c r="D172" s="2" t="s">
        <v>2616</v>
      </c>
      <c r="E172" s="2" t="s">
        <v>2617</v>
      </c>
      <c r="J172" s="2" t="s">
        <v>2618</v>
      </c>
      <c r="L172" s="2" t="s">
        <v>1658</v>
      </c>
      <c r="M172" s="2" t="s">
        <v>2619</v>
      </c>
      <c r="N172" s="2" t="s">
        <v>2620</v>
      </c>
      <c r="AN172" s="2" t="s">
        <v>1368</v>
      </c>
    </row>
    <row r="173" ht="15.75" customHeight="1">
      <c r="A173" s="2" t="s">
        <v>2621</v>
      </c>
      <c r="B173" s="2" t="s">
        <v>1361</v>
      </c>
      <c r="C173" s="2">
        <v>2006.0</v>
      </c>
      <c r="D173" s="2" t="s">
        <v>2622</v>
      </c>
      <c r="E173" s="2" t="s">
        <v>2623</v>
      </c>
      <c r="F173" s="2" t="s">
        <v>2624</v>
      </c>
      <c r="I173" s="2" t="s">
        <v>2625</v>
      </c>
      <c r="L173" s="2" t="s">
        <v>1727</v>
      </c>
      <c r="M173" s="2" t="s">
        <v>2626</v>
      </c>
      <c r="N173" s="2" t="s">
        <v>2627</v>
      </c>
      <c r="P173" s="2" t="s">
        <v>2628</v>
      </c>
      <c r="S173" s="2" t="s">
        <v>2629</v>
      </c>
      <c r="AN173" s="2" t="s">
        <v>1368</v>
      </c>
    </row>
    <row r="174" ht="15.75" customHeight="1">
      <c r="A174" s="2" t="s">
        <v>2630</v>
      </c>
      <c r="B174" s="2" t="s">
        <v>1361</v>
      </c>
      <c r="C174" s="2">
        <v>2002.0</v>
      </c>
      <c r="D174" s="2" t="s">
        <v>2631</v>
      </c>
      <c r="E174" s="2" t="s">
        <v>2632</v>
      </c>
      <c r="F174" s="2" t="s">
        <v>2633</v>
      </c>
      <c r="I174" s="2" t="s">
        <v>1188</v>
      </c>
      <c r="L174" s="2" t="s">
        <v>1493</v>
      </c>
      <c r="M174" s="2" t="s">
        <v>2634</v>
      </c>
      <c r="N174" s="2" t="s">
        <v>2635</v>
      </c>
      <c r="P174" s="2" t="s">
        <v>2636</v>
      </c>
      <c r="R174" s="2" t="s">
        <v>1453</v>
      </c>
      <c r="S174" s="2" t="s">
        <v>2637</v>
      </c>
      <c r="AN174" s="2" t="s">
        <v>1368</v>
      </c>
    </row>
    <row r="175" ht="15.75" customHeight="1">
      <c r="A175" s="2" t="s">
        <v>2638</v>
      </c>
      <c r="B175" s="2" t="s">
        <v>1361</v>
      </c>
      <c r="C175" s="2">
        <v>2013.0</v>
      </c>
      <c r="D175" s="2" t="s">
        <v>2639</v>
      </c>
      <c r="E175" s="2" t="s">
        <v>2640</v>
      </c>
      <c r="F175" s="2" t="s">
        <v>2641</v>
      </c>
      <c r="I175" s="2" t="s">
        <v>2642</v>
      </c>
      <c r="L175" s="2" t="s">
        <v>1429</v>
      </c>
      <c r="M175" s="2" t="s">
        <v>2643</v>
      </c>
      <c r="N175" s="2" t="s">
        <v>2644</v>
      </c>
      <c r="P175" s="2" t="s">
        <v>2645</v>
      </c>
      <c r="R175" s="2" t="s">
        <v>1453</v>
      </c>
      <c r="S175" s="2" t="s">
        <v>2646</v>
      </c>
      <c r="AN175" s="2" t="s">
        <v>1368</v>
      </c>
    </row>
    <row r="176" ht="15.75" customHeight="1">
      <c r="A176" s="2" t="s">
        <v>2647</v>
      </c>
      <c r="B176" s="2" t="s">
        <v>1361</v>
      </c>
      <c r="C176" s="2">
        <v>2014.0</v>
      </c>
      <c r="D176" s="2" t="s">
        <v>2648</v>
      </c>
      <c r="E176" s="2" t="s">
        <v>2649</v>
      </c>
      <c r="F176" s="2" t="s">
        <v>2650</v>
      </c>
      <c r="L176" s="2" t="s">
        <v>2651</v>
      </c>
      <c r="M176" s="2" t="s">
        <v>2652</v>
      </c>
      <c r="N176" s="2" t="s">
        <v>2653</v>
      </c>
      <c r="P176" s="2" t="s">
        <v>2654</v>
      </c>
      <c r="S176" s="2" t="s">
        <v>1506</v>
      </c>
      <c r="AN176" s="2" t="s">
        <v>1368</v>
      </c>
    </row>
    <row r="177" ht="15.75" customHeight="1">
      <c r="A177" s="2" t="s">
        <v>2655</v>
      </c>
      <c r="B177" s="2" t="s">
        <v>1361</v>
      </c>
      <c r="C177" s="2">
        <v>2001.0</v>
      </c>
      <c r="D177" s="2" t="s">
        <v>2656</v>
      </c>
      <c r="E177" s="2" t="s">
        <v>2657</v>
      </c>
      <c r="F177" s="2" t="s">
        <v>2658</v>
      </c>
      <c r="L177" s="2" t="s">
        <v>1414</v>
      </c>
      <c r="M177" s="2" t="s">
        <v>2659</v>
      </c>
      <c r="N177" s="2" t="s">
        <v>2660</v>
      </c>
      <c r="P177" s="2" t="s">
        <v>2661</v>
      </c>
      <c r="S177" s="2" t="s">
        <v>2042</v>
      </c>
      <c r="AN177" s="2" t="s">
        <v>1368</v>
      </c>
    </row>
    <row r="178" ht="15.75" customHeight="1">
      <c r="A178" s="2" t="s">
        <v>2662</v>
      </c>
      <c r="B178" s="2" t="s">
        <v>1361</v>
      </c>
      <c r="C178" s="2">
        <v>1990.0</v>
      </c>
      <c r="D178" s="2" t="s">
        <v>2663</v>
      </c>
      <c r="E178" s="2" t="s">
        <v>2664</v>
      </c>
      <c r="F178" s="2" t="s">
        <v>2665</v>
      </c>
      <c r="H178" s="2" t="s">
        <v>2666</v>
      </c>
      <c r="I178" s="2" t="s">
        <v>2667</v>
      </c>
      <c r="L178" s="2" t="s">
        <v>2668</v>
      </c>
      <c r="M178" s="2" t="s">
        <v>2669</v>
      </c>
      <c r="N178" s="2" t="s">
        <v>2670</v>
      </c>
      <c r="P178" s="2" t="s">
        <v>2671</v>
      </c>
      <c r="R178" s="2" t="s">
        <v>1462</v>
      </c>
      <c r="S178" s="2" t="s">
        <v>2672</v>
      </c>
      <c r="AN178" s="2" t="s">
        <v>1368</v>
      </c>
    </row>
    <row r="179" ht="15.75" customHeight="1">
      <c r="A179" s="2" t="s">
        <v>2673</v>
      </c>
      <c r="B179" s="2" t="s">
        <v>1361</v>
      </c>
      <c r="C179" s="2">
        <v>2007.0</v>
      </c>
      <c r="D179" s="2" t="s">
        <v>2674</v>
      </c>
      <c r="E179" s="2" t="s">
        <v>2675</v>
      </c>
      <c r="F179" s="2" t="s">
        <v>2676</v>
      </c>
      <c r="I179" s="2" t="s">
        <v>2677</v>
      </c>
      <c r="L179" s="2" t="s">
        <v>2380</v>
      </c>
      <c r="M179" s="2" t="s">
        <v>2678</v>
      </c>
      <c r="N179" s="2" t="s">
        <v>2679</v>
      </c>
      <c r="P179" s="2" t="s">
        <v>2680</v>
      </c>
      <c r="R179" s="2" t="s">
        <v>1600</v>
      </c>
      <c r="S179" s="2" t="s">
        <v>2681</v>
      </c>
      <c r="AN179" s="2" t="s">
        <v>1368</v>
      </c>
    </row>
    <row r="180" ht="15.75" customHeight="1">
      <c r="A180" s="2" t="s">
        <v>2682</v>
      </c>
      <c r="B180" s="2" t="s">
        <v>1361</v>
      </c>
      <c r="C180" s="2">
        <v>2004.0</v>
      </c>
      <c r="D180" s="2" t="s">
        <v>2683</v>
      </c>
      <c r="E180" s="2" t="s">
        <v>2684</v>
      </c>
      <c r="F180" s="2" t="s">
        <v>2685</v>
      </c>
      <c r="L180" s="2" t="s">
        <v>2373</v>
      </c>
      <c r="M180" s="2" t="s">
        <v>2686</v>
      </c>
      <c r="N180" s="2" t="s">
        <v>2687</v>
      </c>
      <c r="AN180" s="2" t="s">
        <v>1368</v>
      </c>
    </row>
    <row r="181" ht="15.75" customHeight="1">
      <c r="A181" s="2" t="s">
        <v>2688</v>
      </c>
      <c r="B181" s="2" t="s">
        <v>1361</v>
      </c>
      <c r="C181" s="2">
        <v>2012.0</v>
      </c>
      <c r="D181" s="2" t="s">
        <v>2689</v>
      </c>
      <c r="E181" s="2" t="s">
        <v>2690</v>
      </c>
      <c r="F181" s="2" t="s">
        <v>2691</v>
      </c>
      <c r="K181" s="2" t="s">
        <v>2692</v>
      </c>
      <c r="L181" s="2" t="s">
        <v>1405</v>
      </c>
      <c r="M181" s="2" t="s">
        <v>2693</v>
      </c>
      <c r="N181" s="2" t="s">
        <v>2694</v>
      </c>
      <c r="AN181" s="2" t="s">
        <v>1368</v>
      </c>
    </row>
    <row r="182" ht="15.75" customHeight="1">
      <c r="A182" s="2" t="s">
        <v>2695</v>
      </c>
      <c r="B182" s="2" t="s">
        <v>1361</v>
      </c>
      <c r="C182" s="2">
        <v>1989.0</v>
      </c>
      <c r="D182" s="2" t="s">
        <v>2696</v>
      </c>
      <c r="E182" s="2" t="s">
        <v>2697</v>
      </c>
      <c r="F182" s="2" t="s">
        <v>2698</v>
      </c>
      <c r="I182" s="2" t="s">
        <v>2699</v>
      </c>
      <c r="K182" s="2" t="s">
        <v>2700</v>
      </c>
      <c r="L182" s="2" t="s">
        <v>2701</v>
      </c>
      <c r="M182" s="2" t="s">
        <v>2702</v>
      </c>
      <c r="N182" s="2" t="s">
        <v>2703</v>
      </c>
      <c r="P182" s="2" t="s">
        <v>2704</v>
      </c>
      <c r="R182" s="2" t="s">
        <v>1600</v>
      </c>
      <c r="S182" s="2" t="s">
        <v>2705</v>
      </c>
      <c r="AN182" s="2" t="s">
        <v>1368</v>
      </c>
    </row>
    <row r="183" ht="15.75" customHeight="1">
      <c r="A183" s="2" t="s">
        <v>2706</v>
      </c>
      <c r="B183" s="2" t="s">
        <v>1361</v>
      </c>
      <c r="C183" s="2">
        <v>2013.0</v>
      </c>
      <c r="D183" s="2" t="s">
        <v>2707</v>
      </c>
      <c r="E183" s="2" t="s">
        <v>2708</v>
      </c>
      <c r="F183" s="2" t="s">
        <v>2709</v>
      </c>
      <c r="I183" s="2" t="s">
        <v>2710</v>
      </c>
      <c r="L183" s="2" t="s">
        <v>1429</v>
      </c>
      <c r="M183" s="2" t="s">
        <v>2711</v>
      </c>
      <c r="N183" s="2" t="s">
        <v>2712</v>
      </c>
      <c r="P183" s="2" t="s">
        <v>2713</v>
      </c>
      <c r="S183" s="2" t="s">
        <v>2714</v>
      </c>
      <c r="AN183" s="2" t="s">
        <v>1368</v>
      </c>
    </row>
    <row r="184" ht="15.75" customHeight="1">
      <c r="A184" s="2" t="s">
        <v>2715</v>
      </c>
      <c r="B184" s="2" t="s">
        <v>1361</v>
      </c>
      <c r="C184" s="2">
        <v>2015.0</v>
      </c>
      <c r="D184" s="2" t="s">
        <v>2716</v>
      </c>
      <c r="E184" s="2" t="s">
        <v>2717</v>
      </c>
      <c r="F184" s="2" t="s">
        <v>2205</v>
      </c>
      <c r="I184" s="2" t="s">
        <v>2718</v>
      </c>
      <c r="L184" s="2" t="s">
        <v>1373</v>
      </c>
      <c r="M184" s="2" t="s">
        <v>2719</v>
      </c>
      <c r="N184" s="2" t="s">
        <v>2720</v>
      </c>
      <c r="P184" s="2" t="s">
        <v>2721</v>
      </c>
      <c r="S184" s="2" t="s">
        <v>2722</v>
      </c>
      <c r="AN184" s="2" t="s">
        <v>1368</v>
      </c>
    </row>
    <row r="185" ht="15.75" customHeight="1">
      <c r="A185" s="2" t="s">
        <v>2723</v>
      </c>
      <c r="B185" s="2" t="s">
        <v>1361</v>
      </c>
      <c r="C185" s="2">
        <v>2001.0</v>
      </c>
      <c r="D185" s="2" t="s">
        <v>2724</v>
      </c>
      <c r="E185" s="2" t="s">
        <v>2725</v>
      </c>
      <c r="F185" s="2" t="s">
        <v>2726</v>
      </c>
      <c r="I185" s="2" t="s">
        <v>2727</v>
      </c>
      <c r="L185" s="2" t="s">
        <v>1414</v>
      </c>
      <c r="M185" s="2" t="s">
        <v>2728</v>
      </c>
      <c r="N185" s="2" t="s">
        <v>2729</v>
      </c>
      <c r="P185" s="2" t="s">
        <v>1376</v>
      </c>
      <c r="R185" s="2" t="s">
        <v>1600</v>
      </c>
      <c r="S185" s="2" t="s">
        <v>2730</v>
      </c>
      <c r="AN185" s="2" t="s">
        <v>1368</v>
      </c>
    </row>
    <row r="186" ht="15.75" customHeight="1">
      <c r="A186" s="2" t="s">
        <v>2731</v>
      </c>
      <c r="B186" s="2" t="s">
        <v>1361</v>
      </c>
      <c r="C186" s="2">
        <v>1993.0</v>
      </c>
      <c r="D186" s="2" t="s">
        <v>2732</v>
      </c>
      <c r="E186" s="2" t="s">
        <v>2733</v>
      </c>
      <c r="F186" s="2" t="s">
        <v>2734</v>
      </c>
      <c r="L186" s="2" t="s">
        <v>2735</v>
      </c>
      <c r="M186" s="2" t="s">
        <v>2736</v>
      </c>
      <c r="N186" s="2" t="s">
        <v>2737</v>
      </c>
      <c r="P186" s="2" t="s">
        <v>2738</v>
      </c>
      <c r="S186" s="2" t="s">
        <v>2739</v>
      </c>
      <c r="AC186" s="2" t="s">
        <v>1540</v>
      </c>
      <c r="AN186" s="2" t="s">
        <v>1885</v>
      </c>
    </row>
    <row r="187" ht="15.75" customHeight="1">
      <c r="A187" s="2" t="s">
        <v>2740</v>
      </c>
      <c r="B187" s="2" t="s">
        <v>1361</v>
      </c>
      <c r="C187" s="2">
        <v>2012.0</v>
      </c>
      <c r="D187" s="2" t="s">
        <v>2741</v>
      </c>
      <c r="E187" s="2" t="s">
        <v>2742</v>
      </c>
      <c r="F187" s="2" t="s">
        <v>2743</v>
      </c>
      <c r="I187" s="2" t="s">
        <v>2744</v>
      </c>
      <c r="L187" s="2" t="s">
        <v>1405</v>
      </c>
      <c r="M187" s="2" t="s">
        <v>2745</v>
      </c>
      <c r="N187" s="2" t="s">
        <v>2746</v>
      </c>
      <c r="P187" s="2" t="s">
        <v>2747</v>
      </c>
      <c r="S187" s="2" t="s">
        <v>2565</v>
      </c>
      <c r="AN187" s="2" t="s">
        <v>1368</v>
      </c>
    </row>
    <row r="188" ht="15.75" customHeight="1">
      <c r="A188" s="2" t="s">
        <v>2748</v>
      </c>
      <c r="B188" s="2" t="s">
        <v>1361</v>
      </c>
      <c r="C188" s="2">
        <v>1976.0</v>
      </c>
      <c r="D188" s="2" t="s">
        <v>2749</v>
      </c>
      <c r="E188" s="2" t="s">
        <v>2750</v>
      </c>
      <c r="F188" s="2" t="s">
        <v>1425</v>
      </c>
      <c r="I188" s="2" t="s">
        <v>2751</v>
      </c>
      <c r="L188" s="2" t="s">
        <v>2752</v>
      </c>
      <c r="M188" s="2" t="s">
        <v>2753</v>
      </c>
      <c r="N188" s="2" t="s">
        <v>2754</v>
      </c>
      <c r="P188" s="2" t="s">
        <v>2755</v>
      </c>
      <c r="R188" s="2" t="s">
        <v>1600</v>
      </c>
      <c r="S188" s="2" t="s">
        <v>1600</v>
      </c>
      <c r="AN188" s="2" t="s">
        <v>1368</v>
      </c>
    </row>
    <row r="189" ht="15.75" customHeight="1">
      <c r="A189" s="2" t="s">
        <v>2756</v>
      </c>
      <c r="B189" s="2" t="s">
        <v>1361</v>
      </c>
      <c r="C189" s="2">
        <v>2015.0</v>
      </c>
      <c r="D189" s="2" t="s">
        <v>2757</v>
      </c>
      <c r="E189" s="2" t="s">
        <v>2758</v>
      </c>
      <c r="F189" s="2" t="s">
        <v>1633</v>
      </c>
      <c r="I189" s="2" t="s">
        <v>2759</v>
      </c>
      <c r="L189" s="2" t="s">
        <v>1373</v>
      </c>
      <c r="M189" s="2" t="s">
        <v>2760</v>
      </c>
      <c r="N189" s="2" t="s">
        <v>2761</v>
      </c>
      <c r="P189" s="2" t="s">
        <v>2762</v>
      </c>
      <c r="R189" s="2" t="s">
        <v>1462</v>
      </c>
      <c r="S189" s="2" t="s">
        <v>2681</v>
      </c>
      <c r="AN189" s="2" t="s">
        <v>1368</v>
      </c>
    </row>
    <row r="190" ht="15.75" customHeight="1">
      <c r="A190" s="2" t="s">
        <v>2763</v>
      </c>
      <c r="B190" s="2" t="s">
        <v>1361</v>
      </c>
      <c r="C190" s="2">
        <v>2004.0</v>
      </c>
      <c r="D190" s="2" t="s">
        <v>2764</v>
      </c>
      <c r="E190" s="2" t="s">
        <v>2765</v>
      </c>
      <c r="F190" s="2" t="s">
        <v>2766</v>
      </c>
      <c r="I190" s="2" t="s">
        <v>2767</v>
      </c>
      <c r="L190" s="2" t="s">
        <v>2373</v>
      </c>
      <c r="M190" s="2" t="s">
        <v>2768</v>
      </c>
      <c r="N190" s="2" t="s">
        <v>2769</v>
      </c>
      <c r="P190" s="2" t="s">
        <v>2770</v>
      </c>
      <c r="R190" s="2" t="s">
        <v>1937</v>
      </c>
      <c r="S190" s="2" t="s">
        <v>2714</v>
      </c>
      <c r="AN190" s="2" t="s">
        <v>1368</v>
      </c>
    </row>
    <row r="191" ht="15.75" customHeight="1">
      <c r="A191" s="2" t="s">
        <v>2771</v>
      </c>
      <c r="B191" s="2" t="s">
        <v>1361</v>
      </c>
      <c r="C191" s="2">
        <v>2008.0</v>
      </c>
      <c r="D191" s="2" t="s">
        <v>2772</v>
      </c>
      <c r="E191" s="2" t="s">
        <v>2773</v>
      </c>
      <c r="F191" s="2" t="s">
        <v>1447</v>
      </c>
      <c r="I191" s="2" t="s">
        <v>2774</v>
      </c>
      <c r="L191" s="2" t="s">
        <v>1458</v>
      </c>
      <c r="M191" s="2" t="s">
        <v>2775</v>
      </c>
      <c r="N191" s="2" t="s">
        <v>2776</v>
      </c>
      <c r="P191" s="2" t="s">
        <v>2777</v>
      </c>
      <c r="R191" s="2" t="s">
        <v>1506</v>
      </c>
      <c r="S191" s="2" t="s">
        <v>2778</v>
      </c>
      <c r="AN191" s="2" t="s">
        <v>1368</v>
      </c>
    </row>
    <row r="192" ht="15.75" customHeight="1">
      <c r="A192" s="2" t="s">
        <v>2779</v>
      </c>
      <c r="B192" s="2" t="s">
        <v>1361</v>
      </c>
      <c r="C192" s="2">
        <v>2003.0</v>
      </c>
      <c r="D192" s="2" t="s">
        <v>2772</v>
      </c>
      <c r="E192" s="2" t="s">
        <v>2780</v>
      </c>
      <c r="F192" s="2" t="s">
        <v>2781</v>
      </c>
      <c r="I192" s="2" t="s">
        <v>2782</v>
      </c>
      <c r="L192" s="2" t="s">
        <v>1606</v>
      </c>
      <c r="M192" s="2" t="s">
        <v>2783</v>
      </c>
      <c r="N192" s="2" t="s">
        <v>2784</v>
      </c>
      <c r="P192" s="2" t="s">
        <v>2785</v>
      </c>
      <c r="R192" s="2" t="s">
        <v>1462</v>
      </c>
      <c r="S192" s="2" t="s">
        <v>2739</v>
      </c>
      <c r="AN192" s="2" t="s">
        <v>1368</v>
      </c>
    </row>
    <row r="193" ht="15.75" customHeight="1">
      <c r="A193" s="2" t="s">
        <v>2786</v>
      </c>
      <c r="B193" s="2" t="s">
        <v>1361</v>
      </c>
      <c r="C193" s="2">
        <v>1996.0</v>
      </c>
      <c r="D193" s="2" t="s">
        <v>2787</v>
      </c>
      <c r="E193" s="2" t="s">
        <v>2788</v>
      </c>
      <c r="L193" s="2" t="s">
        <v>2492</v>
      </c>
      <c r="M193" s="2" t="s">
        <v>2789</v>
      </c>
      <c r="N193" s="2" t="s">
        <v>2790</v>
      </c>
      <c r="AN193" s="2" t="s">
        <v>1368</v>
      </c>
    </row>
    <row r="194" ht="15.75" customHeight="1">
      <c r="A194" s="2" t="s">
        <v>2791</v>
      </c>
      <c r="B194" s="2" t="s">
        <v>1361</v>
      </c>
      <c r="C194" s="2">
        <v>2007.0</v>
      </c>
      <c r="D194" s="2" t="s">
        <v>2792</v>
      </c>
      <c r="E194" s="2" t="s">
        <v>2793</v>
      </c>
      <c r="F194" s="2" t="s">
        <v>2794</v>
      </c>
      <c r="I194" s="2" t="s">
        <v>2795</v>
      </c>
      <c r="L194" s="2" t="s">
        <v>2380</v>
      </c>
      <c r="M194" s="2" t="s">
        <v>2796</v>
      </c>
      <c r="N194" s="2" t="s">
        <v>2797</v>
      </c>
      <c r="P194" s="2" t="s">
        <v>2798</v>
      </c>
      <c r="R194" s="2" t="s">
        <v>1620</v>
      </c>
      <c r="S194" s="2" t="s">
        <v>2799</v>
      </c>
      <c r="AN194" s="2" t="s">
        <v>1368</v>
      </c>
    </row>
    <row r="195" ht="15.75" customHeight="1">
      <c r="A195" s="2" t="s">
        <v>2800</v>
      </c>
      <c r="B195" s="2" t="s">
        <v>1361</v>
      </c>
      <c r="C195" s="2">
        <v>2013.0</v>
      </c>
      <c r="D195" s="2" t="s">
        <v>2801</v>
      </c>
      <c r="E195" s="2" t="s">
        <v>2802</v>
      </c>
      <c r="F195" s="2" t="s">
        <v>1425</v>
      </c>
      <c r="I195" s="2" t="s">
        <v>2803</v>
      </c>
      <c r="L195" s="2" t="s">
        <v>1429</v>
      </c>
      <c r="M195" s="2" t="s">
        <v>2804</v>
      </c>
      <c r="N195" s="2" t="s">
        <v>2805</v>
      </c>
      <c r="P195" s="2" t="s">
        <v>2806</v>
      </c>
      <c r="R195" s="2" t="s">
        <v>1600</v>
      </c>
      <c r="S195" s="2" t="s">
        <v>2807</v>
      </c>
      <c r="AN195" s="2" t="s">
        <v>1368</v>
      </c>
    </row>
    <row r="196" ht="15.75" customHeight="1">
      <c r="A196" s="2" t="s">
        <v>2808</v>
      </c>
      <c r="B196" s="2" t="s">
        <v>1361</v>
      </c>
      <c r="C196" s="2">
        <v>2003.0</v>
      </c>
      <c r="D196" s="2" t="s">
        <v>2809</v>
      </c>
      <c r="E196" s="2" t="s">
        <v>2810</v>
      </c>
      <c r="F196" s="2" t="s">
        <v>2811</v>
      </c>
      <c r="I196" s="2" t="s">
        <v>2812</v>
      </c>
      <c r="L196" s="2" t="s">
        <v>1606</v>
      </c>
      <c r="M196" s="2" t="s">
        <v>2813</v>
      </c>
      <c r="N196" s="2" t="s">
        <v>2814</v>
      </c>
      <c r="P196" s="2" t="s">
        <v>2815</v>
      </c>
      <c r="R196" s="2" t="s">
        <v>1453</v>
      </c>
      <c r="S196" s="2" t="s">
        <v>2816</v>
      </c>
      <c r="AN196" s="2" t="s">
        <v>1368</v>
      </c>
    </row>
    <row r="197" ht="15.75" customHeight="1">
      <c r="A197" s="2" t="s">
        <v>2817</v>
      </c>
      <c r="B197" s="2" t="s">
        <v>1361</v>
      </c>
      <c r="C197" s="2">
        <v>2011.0</v>
      </c>
      <c r="D197" s="2" t="s">
        <v>2818</v>
      </c>
      <c r="E197" s="2" t="s">
        <v>2819</v>
      </c>
      <c r="F197" s="2" t="s">
        <v>1715</v>
      </c>
      <c r="I197" s="2" t="s">
        <v>2820</v>
      </c>
      <c r="L197" s="2" t="s">
        <v>1627</v>
      </c>
      <c r="M197" s="2" t="s">
        <v>2821</v>
      </c>
      <c r="N197" s="2" t="s">
        <v>2822</v>
      </c>
      <c r="P197" s="2" t="s">
        <v>2823</v>
      </c>
      <c r="R197" s="2" t="s">
        <v>1453</v>
      </c>
      <c r="S197" s="2" t="s">
        <v>2824</v>
      </c>
      <c r="AN197" s="2" t="s">
        <v>1368</v>
      </c>
    </row>
    <row r="198" ht="15.75" customHeight="1">
      <c r="A198" s="2" t="s">
        <v>2825</v>
      </c>
      <c r="B198" s="2" t="s">
        <v>1361</v>
      </c>
      <c r="C198" s="2">
        <v>2007.0</v>
      </c>
      <c r="D198" s="2" t="s">
        <v>2826</v>
      </c>
      <c r="E198" s="2" t="s">
        <v>2827</v>
      </c>
      <c r="F198" s="2" t="s">
        <v>2828</v>
      </c>
      <c r="I198" s="2" t="s">
        <v>2829</v>
      </c>
      <c r="L198" s="2" t="s">
        <v>2380</v>
      </c>
      <c r="M198" s="2" t="s">
        <v>2830</v>
      </c>
      <c r="N198" s="2" t="s">
        <v>2831</v>
      </c>
      <c r="P198" s="2" t="s">
        <v>2832</v>
      </c>
      <c r="S198" s="2" t="s">
        <v>1480</v>
      </c>
      <c r="AN198" s="2" t="s">
        <v>1368</v>
      </c>
    </row>
    <row r="199" ht="15.75" customHeight="1">
      <c r="A199" s="2" t="s">
        <v>2833</v>
      </c>
      <c r="B199" s="2" t="s">
        <v>1361</v>
      </c>
      <c r="C199" s="2">
        <v>2010.0</v>
      </c>
      <c r="D199" s="2" t="s">
        <v>2834</v>
      </c>
      <c r="E199" s="2" t="s">
        <v>2835</v>
      </c>
      <c r="F199" s="2" t="s">
        <v>2836</v>
      </c>
      <c r="L199" s="2" t="s">
        <v>1449</v>
      </c>
      <c r="M199" s="2" t="s">
        <v>2837</v>
      </c>
      <c r="N199" s="2" t="s">
        <v>2838</v>
      </c>
      <c r="P199" s="2" t="s">
        <v>2839</v>
      </c>
      <c r="S199" s="2" t="s">
        <v>2840</v>
      </c>
      <c r="AN199" s="2" t="s">
        <v>1368</v>
      </c>
    </row>
    <row r="200" ht="15.75" customHeight="1">
      <c r="A200" s="2" t="s">
        <v>2841</v>
      </c>
      <c r="B200" s="2" t="s">
        <v>1361</v>
      </c>
      <c r="C200" s="2">
        <v>2005.0</v>
      </c>
      <c r="D200" s="2" t="s">
        <v>2842</v>
      </c>
      <c r="E200" s="2" t="s">
        <v>2843</v>
      </c>
      <c r="F200" s="2" t="s">
        <v>1510</v>
      </c>
      <c r="H200" s="2" t="s">
        <v>1546</v>
      </c>
      <c r="I200" s="2" t="s">
        <v>1094</v>
      </c>
      <c r="J200" s="2" t="s">
        <v>2844</v>
      </c>
      <c r="K200" s="2" t="s">
        <v>2845</v>
      </c>
      <c r="L200" s="2" t="s">
        <v>2846</v>
      </c>
      <c r="M200" s="2" t="s">
        <v>2847</v>
      </c>
      <c r="N200" s="2" t="s">
        <v>2848</v>
      </c>
      <c r="O200" s="2" t="s">
        <v>2229</v>
      </c>
      <c r="P200" s="2" t="s">
        <v>2849</v>
      </c>
      <c r="R200" s="2" t="s">
        <v>2850</v>
      </c>
      <c r="S200" s="2" t="s">
        <v>2851</v>
      </c>
      <c r="U200" s="2" t="s">
        <v>1510</v>
      </c>
      <c r="AC200" s="2" t="s">
        <v>1540</v>
      </c>
      <c r="AH200" s="2" t="s">
        <v>1541</v>
      </c>
      <c r="AN200" s="2" t="s">
        <v>2852</v>
      </c>
    </row>
    <row r="201" ht="15.75" customHeight="1">
      <c r="A201" s="2" t="s">
        <v>2853</v>
      </c>
      <c r="B201" s="2" t="s">
        <v>1361</v>
      </c>
      <c r="C201" s="2">
        <v>2016.0</v>
      </c>
      <c r="D201" s="2" t="s">
        <v>2854</v>
      </c>
      <c r="E201" s="2" t="s">
        <v>2855</v>
      </c>
      <c r="F201" s="2" t="s">
        <v>1380</v>
      </c>
      <c r="H201" s="2" t="s">
        <v>2856</v>
      </c>
      <c r="I201" s="2" t="s">
        <v>2857</v>
      </c>
      <c r="J201" s="2" t="s">
        <v>2858</v>
      </c>
      <c r="L201" s="2" t="s">
        <v>2859</v>
      </c>
      <c r="M201" s="2" t="s">
        <v>2860</v>
      </c>
      <c r="N201" s="2" t="s">
        <v>2861</v>
      </c>
      <c r="O201" s="2" t="s">
        <v>2862</v>
      </c>
      <c r="P201" s="2" t="s">
        <v>2863</v>
      </c>
      <c r="R201" s="2" t="s">
        <v>2864</v>
      </c>
      <c r="S201" s="2" t="s">
        <v>2865</v>
      </c>
      <c r="U201" s="2" t="s">
        <v>1380</v>
      </c>
      <c r="V201" s="2" t="s">
        <v>2866</v>
      </c>
      <c r="AC201" s="2" t="s">
        <v>1540</v>
      </c>
      <c r="AH201" s="2" t="s">
        <v>1541</v>
      </c>
      <c r="AN201" s="2" t="s">
        <v>2159</v>
      </c>
    </row>
    <row r="202" ht="15.75" customHeight="1">
      <c r="A202" s="2" t="s">
        <v>2867</v>
      </c>
      <c r="B202" s="2" t="s">
        <v>1361</v>
      </c>
      <c r="C202" s="2">
        <v>2005.0</v>
      </c>
      <c r="D202" s="2" t="s">
        <v>2868</v>
      </c>
      <c r="E202" s="2" t="s">
        <v>2869</v>
      </c>
      <c r="F202" s="2" t="s">
        <v>1863</v>
      </c>
      <c r="H202" s="2" t="s">
        <v>1864</v>
      </c>
      <c r="I202" s="2" t="s">
        <v>2870</v>
      </c>
      <c r="J202" s="2" t="s">
        <v>2871</v>
      </c>
      <c r="L202" s="2" t="s">
        <v>2872</v>
      </c>
      <c r="M202" s="2" t="s">
        <v>2873</v>
      </c>
      <c r="N202" s="2" t="s">
        <v>2874</v>
      </c>
      <c r="O202" s="2" t="s">
        <v>2875</v>
      </c>
      <c r="P202" s="2" t="s">
        <v>2876</v>
      </c>
      <c r="R202" s="2" t="s">
        <v>1453</v>
      </c>
      <c r="S202" s="2" t="s">
        <v>2877</v>
      </c>
      <c r="U202" s="2" t="s">
        <v>1863</v>
      </c>
      <c r="AC202" s="2" t="s">
        <v>1540</v>
      </c>
      <c r="AH202" s="2" t="s">
        <v>1541</v>
      </c>
      <c r="AN202" s="2" t="s">
        <v>1872</v>
      </c>
    </row>
    <row r="203" ht="15.75" customHeight="1">
      <c r="A203" s="2" t="s">
        <v>2878</v>
      </c>
      <c r="B203" s="2" t="s">
        <v>1361</v>
      </c>
      <c r="C203" s="2">
        <v>2018.0</v>
      </c>
      <c r="D203" s="2" t="s">
        <v>2879</v>
      </c>
      <c r="E203" s="2" t="s">
        <v>2880</v>
      </c>
      <c r="F203" s="2" t="s">
        <v>1707</v>
      </c>
      <c r="H203" s="2" t="s">
        <v>1708</v>
      </c>
      <c r="I203" s="2" t="s">
        <v>2881</v>
      </c>
      <c r="J203" s="2" t="s">
        <v>2882</v>
      </c>
      <c r="L203" s="2" t="s">
        <v>2883</v>
      </c>
      <c r="M203" s="2" t="s">
        <v>2884</v>
      </c>
      <c r="N203" s="2" t="s">
        <v>2885</v>
      </c>
      <c r="O203" s="2" t="s">
        <v>2886</v>
      </c>
      <c r="P203" s="2" t="s">
        <v>2887</v>
      </c>
      <c r="R203" s="2" t="s">
        <v>2237</v>
      </c>
      <c r="S203" s="2" t="s">
        <v>1453</v>
      </c>
      <c r="U203" s="2" t="s">
        <v>2888</v>
      </c>
      <c r="AC203" s="2" t="s">
        <v>1540</v>
      </c>
      <c r="AH203" s="2" t="s">
        <v>1541</v>
      </c>
      <c r="AN203" s="2" t="s">
        <v>2889</v>
      </c>
    </row>
    <row r="204" ht="15.75" customHeight="1">
      <c r="A204" s="2" t="s">
        <v>2890</v>
      </c>
      <c r="B204" s="2" t="s">
        <v>1361</v>
      </c>
      <c r="C204" s="2">
        <v>2010.0</v>
      </c>
      <c r="D204" s="2" t="s">
        <v>2891</v>
      </c>
      <c r="E204" s="2" t="s">
        <v>818</v>
      </c>
      <c r="F204" s="2" t="s">
        <v>1688</v>
      </c>
      <c r="H204" s="2" t="s">
        <v>2892</v>
      </c>
      <c r="I204" s="2" t="s">
        <v>820</v>
      </c>
      <c r="J204" s="2" t="s">
        <v>2893</v>
      </c>
      <c r="K204" s="2" t="s">
        <v>819</v>
      </c>
      <c r="L204" s="2" t="s">
        <v>2894</v>
      </c>
      <c r="M204" s="2" t="s">
        <v>2895</v>
      </c>
      <c r="N204" s="2" t="s">
        <v>2896</v>
      </c>
      <c r="O204" s="2" t="s">
        <v>2897</v>
      </c>
      <c r="P204" s="2" t="s">
        <v>2898</v>
      </c>
      <c r="R204" s="2" t="s">
        <v>2899</v>
      </c>
      <c r="S204" s="2" t="s">
        <v>2900</v>
      </c>
      <c r="U204" s="2" t="s">
        <v>2901</v>
      </c>
      <c r="AC204" s="2" t="s">
        <v>1540</v>
      </c>
      <c r="AH204" s="2" t="s">
        <v>1541</v>
      </c>
      <c r="AN204" s="2" t="s">
        <v>1885</v>
      </c>
    </row>
    <row r="205" ht="15.75" customHeight="1">
      <c r="A205" s="2" t="s">
        <v>2902</v>
      </c>
      <c r="B205" s="2" t="s">
        <v>1361</v>
      </c>
      <c r="C205" s="2">
        <v>2018.0</v>
      </c>
      <c r="D205" s="2" t="s">
        <v>2903</v>
      </c>
      <c r="E205" s="2" t="s">
        <v>2904</v>
      </c>
      <c r="F205" s="2" t="s">
        <v>2905</v>
      </c>
      <c r="H205" s="2" t="s">
        <v>2906</v>
      </c>
      <c r="I205" s="2" t="s">
        <v>2907</v>
      </c>
      <c r="J205" s="2" t="s">
        <v>2908</v>
      </c>
      <c r="L205" s="2" t="s">
        <v>2909</v>
      </c>
      <c r="M205" s="2" t="s">
        <v>2910</v>
      </c>
      <c r="N205" s="2" t="s">
        <v>2911</v>
      </c>
      <c r="O205" s="2" t="s">
        <v>2912</v>
      </c>
      <c r="P205" s="2" t="s">
        <v>2913</v>
      </c>
      <c r="R205" s="2" t="s">
        <v>1443</v>
      </c>
      <c r="S205" s="2" t="s">
        <v>1462</v>
      </c>
      <c r="U205" s="2" t="s">
        <v>2914</v>
      </c>
      <c r="AC205" s="2" t="s">
        <v>1540</v>
      </c>
      <c r="AH205" s="2" t="s">
        <v>1541</v>
      </c>
      <c r="AN205" s="2" t="s">
        <v>2915</v>
      </c>
    </row>
    <row r="206" ht="15.75" customHeight="1">
      <c r="A206" s="2" t="s">
        <v>2916</v>
      </c>
      <c r="B206" s="2" t="s">
        <v>1623</v>
      </c>
      <c r="C206" s="2">
        <v>2016.0</v>
      </c>
      <c r="D206" s="2" t="s">
        <v>2917</v>
      </c>
      <c r="E206" s="2" t="s">
        <v>2918</v>
      </c>
      <c r="L206" s="2" t="s">
        <v>1502</v>
      </c>
      <c r="M206" s="2" t="s">
        <v>1562</v>
      </c>
      <c r="N206" s="2" t="s">
        <v>1563</v>
      </c>
      <c r="P206" s="2" t="s">
        <v>2919</v>
      </c>
      <c r="AA206" s="2" t="s">
        <v>2920</v>
      </c>
      <c r="AB206" s="2" t="s">
        <v>2921</v>
      </c>
      <c r="AN206" s="2" t="s">
        <v>2188</v>
      </c>
    </row>
    <row r="207" ht="15.75" customHeight="1">
      <c r="A207" s="2" t="s">
        <v>2922</v>
      </c>
      <c r="B207" s="2" t="s">
        <v>1361</v>
      </c>
      <c r="C207" s="2">
        <v>2014.0</v>
      </c>
      <c r="D207" s="2" t="s">
        <v>2923</v>
      </c>
      <c r="E207" s="2" t="s">
        <v>2924</v>
      </c>
      <c r="F207" s="2" t="s">
        <v>2549</v>
      </c>
      <c r="H207" s="2" t="s">
        <v>2925</v>
      </c>
      <c r="I207" s="2" t="s">
        <v>2926</v>
      </c>
      <c r="K207" s="2" t="s">
        <v>2927</v>
      </c>
      <c r="L207" s="2" t="s">
        <v>1476</v>
      </c>
      <c r="M207" s="2" t="s">
        <v>1385</v>
      </c>
      <c r="N207" s="2" t="s">
        <v>1386</v>
      </c>
      <c r="R207" s="2" t="s">
        <v>1453</v>
      </c>
      <c r="S207" s="2" t="s">
        <v>2928</v>
      </c>
      <c r="AN207" s="2" t="s">
        <v>1368</v>
      </c>
    </row>
    <row r="208" ht="15.75" customHeight="1">
      <c r="A208" s="2" t="s">
        <v>2929</v>
      </c>
      <c r="B208" s="2" t="s">
        <v>1361</v>
      </c>
      <c r="C208" s="2">
        <v>2016.0</v>
      </c>
      <c r="D208" s="2" t="s">
        <v>2930</v>
      </c>
      <c r="E208" s="2" t="s">
        <v>2931</v>
      </c>
      <c r="F208" s="2" t="s">
        <v>2932</v>
      </c>
      <c r="H208" s="2" t="s">
        <v>2933</v>
      </c>
      <c r="I208" s="2" t="s">
        <v>2934</v>
      </c>
      <c r="J208" s="2" t="s">
        <v>2935</v>
      </c>
      <c r="K208" s="2" t="s">
        <v>2936</v>
      </c>
      <c r="L208" s="2" t="s">
        <v>1502</v>
      </c>
      <c r="M208" s="2" t="s">
        <v>1385</v>
      </c>
      <c r="N208" s="2" t="s">
        <v>1386</v>
      </c>
      <c r="P208" s="2" t="s">
        <v>2937</v>
      </c>
      <c r="R208" s="2" t="s">
        <v>1453</v>
      </c>
      <c r="S208" s="2" t="s">
        <v>2739</v>
      </c>
      <c r="AN208" s="2" t="s">
        <v>1368</v>
      </c>
    </row>
    <row r="209" ht="15.75" customHeight="1">
      <c r="A209" s="2" t="s">
        <v>2938</v>
      </c>
      <c r="B209" s="2" t="s">
        <v>1361</v>
      </c>
      <c r="C209" s="2">
        <v>2015.0</v>
      </c>
      <c r="D209" s="2" t="s">
        <v>2939</v>
      </c>
      <c r="E209" s="2" t="s">
        <v>2940</v>
      </c>
      <c r="F209" s="2" t="s">
        <v>1510</v>
      </c>
      <c r="H209" s="2" t="s">
        <v>1546</v>
      </c>
      <c r="I209" s="2" t="s">
        <v>326</v>
      </c>
      <c r="J209" s="2" t="s">
        <v>2941</v>
      </c>
      <c r="K209" s="2" t="s">
        <v>2942</v>
      </c>
      <c r="L209" s="2" t="s">
        <v>2943</v>
      </c>
      <c r="M209" s="2" t="s">
        <v>1385</v>
      </c>
      <c r="N209" s="2" t="s">
        <v>1386</v>
      </c>
      <c r="O209" s="2" t="s">
        <v>2944</v>
      </c>
      <c r="P209" s="2" t="s">
        <v>2945</v>
      </c>
      <c r="R209" s="2" t="s">
        <v>2946</v>
      </c>
      <c r="S209" s="2" t="s">
        <v>2947</v>
      </c>
      <c r="U209" s="2" t="s">
        <v>1510</v>
      </c>
      <c r="AC209" s="2" t="s">
        <v>1540</v>
      </c>
      <c r="AH209" s="2" t="s">
        <v>1541</v>
      </c>
      <c r="AN209" s="2" t="s">
        <v>2852</v>
      </c>
    </row>
    <row r="210" ht="15.75" customHeight="1">
      <c r="A210" s="2" t="s">
        <v>2948</v>
      </c>
      <c r="B210" s="2" t="s">
        <v>1361</v>
      </c>
      <c r="C210" s="2">
        <v>2002.0</v>
      </c>
      <c r="D210" s="2" t="s">
        <v>2949</v>
      </c>
      <c r="E210" s="2" t="s">
        <v>2950</v>
      </c>
      <c r="F210" s="2" t="s">
        <v>2036</v>
      </c>
      <c r="H210" s="2" t="s">
        <v>2585</v>
      </c>
      <c r="I210" s="2" t="s">
        <v>1207</v>
      </c>
      <c r="K210" s="2" t="s">
        <v>2951</v>
      </c>
      <c r="L210" s="2" t="s">
        <v>1493</v>
      </c>
      <c r="M210" s="2" t="s">
        <v>1385</v>
      </c>
      <c r="N210" s="2" t="s">
        <v>1386</v>
      </c>
      <c r="P210" s="2" t="s">
        <v>2952</v>
      </c>
      <c r="R210" s="2" t="s">
        <v>1453</v>
      </c>
      <c r="S210" s="2" t="s">
        <v>2953</v>
      </c>
      <c r="AN210" s="2" t="s">
        <v>2169</v>
      </c>
    </row>
    <row r="211" ht="15.75" customHeight="1">
      <c r="A211" s="2" t="s">
        <v>2954</v>
      </c>
      <c r="B211" s="2" t="s">
        <v>1361</v>
      </c>
      <c r="C211" s="2">
        <v>2017.0</v>
      </c>
      <c r="D211" s="2" t="s">
        <v>2955</v>
      </c>
      <c r="E211" s="2" t="s">
        <v>85</v>
      </c>
      <c r="F211" s="2" t="s">
        <v>1613</v>
      </c>
      <c r="H211" s="2" t="s">
        <v>1614</v>
      </c>
      <c r="I211" s="2" t="s">
        <v>88</v>
      </c>
      <c r="L211" s="2" t="s">
        <v>2956</v>
      </c>
      <c r="M211" s="2" t="s">
        <v>1385</v>
      </c>
      <c r="N211" s="2" t="s">
        <v>1386</v>
      </c>
      <c r="P211" s="2" t="s">
        <v>2957</v>
      </c>
      <c r="R211" s="2" t="s">
        <v>1443</v>
      </c>
      <c r="S211" s="2" t="s">
        <v>1600</v>
      </c>
      <c r="AN211" s="2" t="s">
        <v>2169</v>
      </c>
    </row>
    <row r="212" ht="15.75" customHeight="1">
      <c r="A212" s="2" t="s">
        <v>2958</v>
      </c>
      <c r="B212" s="2" t="s">
        <v>1361</v>
      </c>
      <c r="C212" s="2">
        <v>2011.0</v>
      </c>
      <c r="D212" s="2" t="s">
        <v>2959</v>
      </c>
      <c r="E212" s="2" t="s">
        <v>2960</v>
      </c>
      <c r="F212" s="2" t="s">
        <v>1380</v>
      </c>
      <c r="H212" s="2" t="s">
        <v>2961</v>
      </c>
      <c r="I212" s="2" t="s">
        <v>2962</v>
      </c>
      <c r="K212" s="2" t="s">
        <v>2963</v>
      </c>
      <c r="L212" s="2" t="s">
        <v>1627</v>
      </c>
      <c r="M212" s="2" t="s">
        <v>1385</v>
      </c>
      <c r="N212" s="2" t="s">
        <v>1386</v>
      </c>
      <c r="P212" s="2" t="s">
        <v>2964</v>
      </c>
      <c r="R212" s="2" t="s">
        <v>2965</v>
      </c>
      <c r="S212" s="2" t="s">
        <v>2966</v>
      </c>
      <c r="AN212" s="2" t="s">
        <v>2967</v>
      </c>
    </row>
    <row r="213" ht="15.75" customHeight="1">
      <c r="A213" s="2" t="s">
        <v>2968</v>
      </c>
      <c r="B213" s="2" t="s">
        <v>1361</v>
      </c>
      <c r="C213" s="2">
        <v>2015.0</v>
      </c>
      <c r="D213" s="2" t="s">
        <v>2969</v>
      </c>
      <c r="E213" s="2" t="s">
        <v>2970</v>
      </c>
      <c r="F213" s="2" t="s">
        <v>2971</v>
      </c>
      <c r="I213" s="2" t="s">
        <v>2972</v>
      </c>
      <c r="L213" s="2" t="s">
        <v>1373</v>
      </c>
      <c r="M213" s="2" t="s">
        <v>1385</v>
      </c>
      <c r="N213" s="2" t="s">
        <v>1386</v>
      </c>
      <c r="P213" s="2" t="s">
        <v>2973</v>
      </c>
      <c r="R213" s="2" t="s">
        <v>2974</v>
      </c>
      <c r="S213" s="2" t="s">
        <v>2975</v>
      </c>
      <c r="AN213" s="2" t="s">
        <v>2238</v>
      </c>
    </row>
    <row r="214" ht="15.75" customHeight="1">
      <c r="A214" s="2" t="s">
        <v>2976</v>
      </c>
      <c r="B214" s="2" t="s">
        <v>1396</v>
      </c>
      <c r="C214" s="2">
        <v>2014.0</v>
      </c>
      <c r="D214" s="2" t="s">
        <v>2977</v>
      </c>
      <c r="E214" s="2" t="s">
        <v>2978</v>
      </c>
      <c r="G214" s="2" t="s">
        <v>2979</v>
      </c>
      <c r="J214" s="2" t="s">
        <v>2980</v>
      </c>
      <c r="L214" s="2" t="s">
        <v>1476</v>
      </c>
      <c r="M214" s="2" t="s">
        <v>1385</v>
      </c>
      <c r="N214" s="2" t="s">
        <v>1386</v>
      </c>
      <c r="AA214" s="2" t="s">
        <v>2977</v>
      </c>
      <c r="AB214" s="2" t="s">
        <v>2146</v>
      </c>
      <c r="AN214" s="2" t="s">
        <v>1368</v>
      </c>
    </row>
    <row r="215" ht="15.75" customHeight="1">
      <c r="A215" s="2" t="s">
        <v>2981</v>
      </c>
      <c r="B215" s="2" t="s">
        <v>1396</v>
      </c>
      <c r="C215" s="2">
        <v>2017.0</v>
      </c>
      <c r="D215" s="2" t="s">
        <v>2982</v>
      </c>
      <c r="E215" s="2" t="s">
        <v>2983</v>
      </c>
      <c r="J215" s="2" t="s">
        <v>2984</v>
      </c>
      <c r="L215" s="2" t="s">
        <v>1658</v>
      </c>
      <c r="M215" s="2" t="s">
        <v>1385</v>
      </c>
      <c r="N215" s="2" t="s">
        <v>1386</v>
      </c>
      <c r="AN215" s="2" t="s">
        <v>1368</v>
      </c>
    </row>
    <row r="216" ht="15.75" customHeight="1">
      <c r="A216" s="2" t="s">
        <v>2985</v>
      </c>
      <c r="B216" s="2" t="s">
        <v>2986</v>
      </c>
      <c r="C216" s="2">
        <v>2017.0</v>
      </c>
      <c r="D216" s="2" t="s">
        <v>2987</v>
      </c>
      <c r="E216" s="2" t="s">
        <v>2988</v>
      </c>
      <c r="J216" s="2" t="s">
        <v>2989</v>
      </c>
      <c r="L216" s="2" t="s">
        <v>1658</v>
      </c>
      <c r="M216" s="2" t="s">
        <v>1385</v>
      </c>
      <c r="N216" s="2" t="s">
        <v>1386</v>
      </c>
      <c r="AN216" s="2" t="s">
        <v>1368</v>
      </c>
    </row>
    <row r="217" ht="15.75" customHeight="1">
      <c r="A217" s="2" t="s">
        <v>2990</v>
      </c>
      <c r="B217" s="2" t="s">
        <v>1396</v>
      </c>
      <c r="C217" s="2">
        <v>2006.0</v>
      </c>
      <c r="D217" s="2" t="s">
        <v>2991</v>
      </c>
      <c r="E217" s="2" t="s">
        <v>2992</v>
      </c>
      <c r="L217" s="2" t="s">
        <v>1727</v>
      </c>
      <c r="M217" s="2" t="s">
        <v>1385</v>
      </c>
      <c r="N217" s="2" t="s">
        <v>1386</v>
      </c>
      <c r="AA217" s="2" t="s">
        <v>2993</v>
      </c>
      <c r="AN217" s="2" t="s">
        <v>1368</v>
      </c>
    </row>
    <row r="218" ht="15.75" customHeight="1">
      <c r="A218" s="2" t="s">
        <v>2994</v>
      </c>
      <c r="B218" s="2" t="s">
        <v>1396</v>
      </c>
      <c r="C218" s="2">
        <v>2017.0</v>
      </c>
      <c r="D218" s="2" t="s">
        <v>2995</v>
      </c>
      <c r="E218" s="2" t="s">
        <v>2996</v>
      </c>
      <c r="J218" s="2" t="s">
        <v>2997</v>
      </c>
      <c r="L218" s="2" t="s">
        <v>1658</v>
      </c>
      <c r="M218" s="2" t="s">
        <v>1385</v>
      </c>
      <c r="N218" s="2" t="s">
        <v>1386</v>
      </c>
      <c r="AN218" s="2" t="s">
        <v>1368</v>
      </c>
    </row>
    <row r="219" ht="15.75" customHeight="1">
      <c r="A219" s="2" t="s">
        <v>2998</v>
      </c>
      <c r="B219" s="2" t="s">
        <v>1361</v>
      </c>
      <c r="C219" s="2">
        <v>2012.0</v>
      </c>
      <c r="D219" s="2" t="s">
        <v>2999</v>
      </c>
      <c r="E219" s="2" t="s">
        <v>3000</v>
      </c>
      <c r="L219" s="2" t="s">
        <v>1405</v>
      </c>
      <c r="M219" s="2" t="s">
        <v>1385</v>
      </c>
      <c r="N219" s="2" t="s">
        <v>1386</v>
      </c>
      <c r="AN219" s="2" t="s">
        <v>1368</v>
      </c>
    </row>
    <row r="220" ht="15.75" customHeight="1">
      <c r="A220" s="2" t="s">
        <v>3001</v>
      </c>
      <c r="B220" s="2" t="s">
        <v>1396</v>
      </c>
      <c r="C220" s="2">
        <v>1981.0</v>
      </c>
      <c r="D220" s="2" t="s">
        <v>3002</v>
      </c>
      <c r="E220" s="2" t="s">
        <v>3003</v>
      </c>
      <c r="L220" s="2" t="s">
        <v>2462</v>
      </c>
      <c r="M220" s="2" t="s">
        <v>1385</v>
      </c>
      <c r="N220" s="2" t="s">
        <v>1386</v>
      </c>
      <c r="AA220" s="2" t="s">
        <v>3004</v>
      </c>
      <c r="AB220" s="2" t="s">
        <v>3005</v>
      </c>
      <c r="AN220" s="2" t="s">
        <v>1368</v>
      </c>
    </row>
    <row r="221" ht="15.75" customHeight="1">
      <c r="A221" s="2" t="s">
        <v>3006</v>
      </c>
      <c r="B221" s="2" t="s">
        <v>2273</v>
      </c>
      <c r="C221" s="2">
        <v>2008.0</v>
      </c>
      <c r="D221" s="2" t="s">
        <v>3007</v>
      </c>
      <c r="E221" s="2" t="s">
        <v>3008</v>
      </c>
      <c r="L221" s="2" t="s">
        <v>1458</v>
      </c>
      <c r="M221" s="2" t="s">
        <v>1385</v>
      </c>
      <c r="N221" s="2" t="s">
        <v>1386</v>
      </c>
      <c r="AA221" s="2" t="s">
        <v>3009</v>
      </c>
      <c r="AB221" s="2" t="s">
        <v>3010</v>
      </c>
      <c r="AN221" s="2" t="s">
        <v>1368</v>
      </c>
    </row>
    <row r="222" ht="15.75" customHeight="1">
      <c r="A222" s="2" t="s">
        <v>3011</v>
      </c>
      <c r="B222" s="2" t="s">
        <v>3012</v>
      </c>
      <c r="C222" s="2">
        <v>2009.0</v>
      </c>
      <c r="D222" s="2" t="s">
        <v>3013</v>
      </c>
      <c r="E222" s="2" t="s">
        <v>3014</v>
      </c>
      <c r="F222" s="2" t="s">
        <v>3015</v>
      </c>
      <c r="J222" s="2" t="s">
        <v>3016</v>
      </c>
      <c r="L222" s="2" t="s">
        <v>3017</v>
      </c>
      <c r="M222" s="2" t="s">
        <v>1385</v>
      </c>
      <c r="N222" s="2" t="s">
        <v>1386</v>
      </c>
      <c r="O222" s="2" t="s">
        <v>3018</v>
      </c>
      <c r="AN222" s="2" t="s">
        <v>1368</v>
      </c>
    </row>
    <row r="223" ht="15.75" customHeight="1">
      <c r="A223" s="2" t="s">
        <v>3019</v>
      </c>
      <c r="B223" s="2" t="s">
        <v>1623</v>
      </c>
      <c r="C223" s="2">
        <v>2007.0</v>
      </c>
      <c r="D223" s="2" t="s">
        <v>2920</v>
      </c>
      <c r="E223" s="2" t="s">
        <v>3020</v>
      </c>
      <c r="L223" s="2" t="s">
        <v>2380</v>
      </c>
      <c r="M223" s="2" t="s">
        <v>1385</v>
      </c>
      <c r="N223" s="2" t="s">
        <v>1386</v>
      </c>
      <c r="P223" s="2" t="s">
        <v>3021</v>
      </c>
      <c r="AA223" s="2" t="s">
        <v>2920</v>
      </c>
      <c r="AB223" s="2" t="s">
        <v>3022</v>
      </c>
      <c r="AN223" s="2" t="s">
        <v>1368</v>
      </c>
    </row>
    <row r="224" ht="15.75" customHeight="1">
      <c r="A224" s="2" t="s">
        <v>3023</v>
      </c>
      <c r="B224" s="2" t="s">
        <v>3012</v>
      </c>
      <c r="C224" s="2">
        <v>2018.0</v>
      </c>
      <c r="D224" s="2" t="s">
        <v>3024</v>
      </c>
      <c r="E224" s="2" t="s">
        <v>3025</v>
      </c>
      <c r="J224" s="2" t="s">
        <v>3026</v>
      </c>
      <c r="L224" s="2" t="s">
        <v>1420</v>
      </c>
      <c r="M224" s="2" t="s">
        <v>1385</v>
      </c>
      <c r="N224" s="2" t="s">
        <v>1386</v>
      </c>
      <c r="AN224" s="2" t="s">
        <v>1368</v>
      </c>
    </row>
    <row r="225" ht="15.75" customHeight="1">
      <c r="A225" s="2" t="s">
        <v>3027</v>
      </c>
      <c r="B225" s="2" t="s">
        <v>1361</v>
      </c>
      <c r="C225" s="2">
        <v>2013.0</v>
      </c>
      <c r="D225" s="2" t="s">
        <v>3028</v>
      </c>
      <c r="E225" s="2" t="s">
        <v>3029</v>
      </c>
      <c r="F225" s="2" t="s">
        <v>2254</v>
      </c>
      <c r="H225" s="2" t="s">
        <v>3030</v>
      </c>
      <c r="I225" s="2" t="s">
        <v>3031</v>
      </c>
      <c r="J225" s="2" t="s">
        <v>3032</v>
      </c>
      <c r="K225" s="2" t="s">
        <v>3033</v>
      </c>
      <c r="L225" s="2" t="s">
        <v>3034</v>
      </c>
      <c r="M225" s="2" t="s">
        <v>1385</v>
      </c>
      <c r="N225" s="2" t="s">
        <v>1386</v>
      </c>
      <c r="O225" s="2" t="s">
        <v>3035</v>
      </c>
      <c r="P225" s="2" t="s">
        <v>3036</v>
      </c>
      <c r="R225" s="2" t="s">
        <v>2237</v>
      </c>
      <c r="S225" s="2" t="s">
        <v>3037</v>
      </c>
      <c r="U225" s="2" t="s">
        <v>2254</v>
      </c>
      <c r="AC225" s="2" t="s">
        <v>1540</v>
      </c>
      <c r="AH225" s="2" t="s">
        <v>1541</v>
      </c>
      <c r="AN225" s="2" t="s">
        <v>1368</v>
      </c>
    </row>
    <row r="226" ht="15.75" customHeight="1">
      <c r="A226" s="2" t="s">
        <v>3038</v>
      </c>
      <c r="B226" s="2" t="s">
        <v>1396</v>
      </c>
      <c r="C226" s="2">
        <v>2007.0</v>
      </c>
      <c r="D226" s="2" t="s">
        <v>3039</v>
      </c>
      <c r="E226" s="2" t="s">
        <v>3040</v>
      </c>
      <c r="K226" s="2" t="s">
        <v>3041</v>
      </c>
      <c r="L226" s="2" t="s">
        <v>2380</v>
      </c>
      <c r="M226" s="2" t="s">
        <v>1385</v>
      </c>
      <c r="N226" s="2" t="s">
        <v>1386</v>
      </c>
      <c r="AA226" s="2" t="s">
        <v>3042</v>
      </c>
      <c r="AB226" s="2" t="s">
        <v>3043</v>
      </c>
      <c r="AN226" s="2" t="s">
        <v>1368</v>
      </c>
    </row>
    <row r="227" ht="15.75" customHeight="1">
      <c r="A227" s="2" t="s">
        <v>3044</v>
      </c>
      <c r="B227" s="2" t="s">
        <v>1361</v>
      </c>
      <c r="C227" s="2">
        <v>2014.0</v>
      </c>
      <c r="D227" s="2" t="s">
        <v>3045</v>
      </c>
      <c r="E227" s="2" t="s">
        <v>3046</v>
      </c>
      <c r="F227" s="2" t="s">
        <v>3047</v>
      </c>
      <c r="H227" s="2" t="s">
        <v>3048</v>
      </c>
      <c r="I227" s="2" t="s">
        <v>3049</v>
      </c>
      <c r="J227" s="2" t="s">
        <v>3050</v>
      </c>
      <c r="L227" s="2" t="s">
        <v>1476</v>
      </c>
      <c r="M227" s="2" t="s">
        <v>1385</v>
      </c>
      <c r="N227" s="2" t="s">
        <v>1386</v>
      </c>
      <c r="R227" s="2" t="s">
        <v>3051</v>
      </c>
      <c r="W227" s="2" t="s">
        <v>3052</v>
      </c>
      <c r="AN227" s="2" t="s">
        <v>1368</v>
      </c>
    </row>
    <row r="228" ht="15.75" customHeight="1">
      <c r="A228" s="2" t="s">
        <v>3053</v>
      </c>
      <c r="B228" s="2" t="s">
        <v>1781</v>
      </c>
      <c r="C228" s="2">
        <v>2011.0</v>
      </c>
      <c r="D228" s="2" t="s">
        <v>2920</v>
      </c>
      <c r="E228" s="2" t="s">
        <v>3054</v>
      </c>
      <c r="J228" s="2" t="s">
        <v>3055</v>
      </c>
      <c r="L228" s="2" t="s">
        <v>1627</v>
      </c>
      <c r="M228" s="2" t="s">
        <v>1385</v>
      </c>
      <c r="N228" s="2" t="s">
        <v>1386</v>
      </c>
      <c r="AN228" s="2" t="s">
        <v>1368</v>
      </c>
    </row>
    <row r="229" ht="15.75" customHeight="1">
      <c r="A229" s="2" t="s">
        <v>3056</v>
      </c>
      <c r="B229" s="2" t="s">
        <v>1361</v>
      </c>
      <c r="C229" s="2">
        <v>2011.0</v>
      </c>
      <c r="D229" s="2" t="s">
        <v>3057</v>
      </c>
      <c r="E229" s="2" t="s">
        <v>3058</v>
      </c>
      <c r="F229" s="2" t="s">
        <v>3059</v>
      </c>
      <c r="H229" s="2" t="s">
        <v>3060</v>
      </c>
      <c r="I229" s="2" t="s">
        <v>3061</v>
      </c>
      <c r="J229" s="2" t="s">
        <v>3062</v>
      </c>
      <c r="K229" s="2" t="s">
        <v>3063</v>
      </c>
      <c r="L229" s="2" t="s">
        <v>3064</v>
      </c>
      <c r="M229" s="2" t="s">
        <v>1385</v>
      </c>
      <c r="N229" s="2" t="s">
        <v>1386</v>
      </c>
      <c r="P229" s="2" t="s">
        <v>3065</v>
      </c>
      <c r="R229" s="2" t="s">
        <v>1937</v>
      </c>
      <c r="S229" s="2" t="s">
        <v>2629</v>
      </c>
      <c r="AN229" s="2" t="s">
        <v>1368</v>
      </c>
    </row>
    <row r="230" ht="15.75" customHeight="1">
      <c r="A230" s="2" t="s">
        <v>3066</v>
      </c>
      <c r="B230" s="2" t="s">
        <v>1781</v>
      </c>
      <c r="C230" s="2">
        <v>2016.0</v>
      </c>
      <c r="D230" s="2" t="s">
        <v>2920</v>
      </c>
      <c r="E230" s="2" t="s">
        <v>3067</v>
      </c>
      <c r="L230" s="2" t="s">
        <v>1502</v>
      </c>
      <c r="M230" s="2" t="s">
        <v>1385</v>
      </c>
      <c r="N230" s="2" t="s">
        <v>1386</v>
      </c>
      <c r="AN230" s="2" t="s">
        <v>1368</v>
      </c>
    </row>
    <row r="231" ht="15.75" customHeight="1">
      <c r="A231" s="2" t="s">
        <v>3068</v>
      </c>
      <c r="B231" s="2" t="s">
        <v>1781</v>
      </c>
      <c r="C231" s="2">
        <v>2014.0</v>
      </c>
      <c r="D231" s="2" t="s">
        <v>2920</v>
      </c>
      <c r="E231" s="2" t="s">
        <v>3069</v>
      </c>
      <c r="L231" s="2" t="s">
        <v>1476</v>
      </c>
      <c r="M231" s="2" t="s">
        <v>1385</v>
      </c>
      <c r="N231" s="2" t="s">
        <v>1386</v>
      </c>
      <c r="AN231" s="2" t="s">
        <v>1368</v>
      </c>
    </row>
    <row r="232" ht="15.75" customHeight="1">
      <c r="A232" s="2" t="s">
        <v>3070</v>
      </c>
      <c r="B232" s="2" t="s">
        <v>1396</v>
      </c>
      <c r="C232" s="2">
        <v>2018.0</v>
      </c>
      <c r="D232" s="2" t="s">
        <v>2995</v>
      </c>
      <c r="E232" s="2" t="s">
        <v>3071</v>
      </c>
      <c r="J232" s="2" t="s">
        <v>3072</v>
      </c>
      <c r="L232" s="2" t="s">
        <v>1420</v>
      </c>
      <c r="M232" s="2" t="s">
        <v>1385</v>
      </c>
      <c r="N232" s="2" t="s">
        <v>1386</v>
      </c>
      <c r="O232" s="2" t="s">
        <v>3073</v>
      </c>
      <c r="AN232" s="2" t="s">
        <v>1368</v>
      </c>
    </row>
    <row r="233" ht="15.75" customHeight="1">
      <c r="A233" s="2" t="s">
        <v>3074</v>
      </c>
      <c r="B233" s="2" t="s">
        <v>1361</v>
      </c>
      <c r="C233" s="2">
        <v>2017.0</v>
      </c>
      <c r="D233" s="2" t="s">
        <v>3075</v>
      </c>
      <c r="E233" s="2" t="s">
        <v>3076</v>
      </c>
      <c r="J233" s="2" t="s">
        <v>3077</v>
      </c>
      <c r="K233" s="2" t="s">
        <v>3078</v>
      </c>
      <c r="L233" s="2" t="s">
        <v>1658</v>
      </c>
      <c r="M233" s="2" t="s">
        <v>1385</v>
      </c>
      <c r="N233" s="2" t="s">
        <v>1386</v>
      </c>
      <c r="AN233" s="2" t="s">
        <v>1368</v>
      </c>
    </row>
    <row r="234" ht="15.75" customHeight="1">
      <c r="A234" s="2" t="s">
        <v>3079</v>
      </c>
      <c r="B234" s="2" t="s">
        <v>1766</v>
      </c>
      <c r="C234" s="2">
        <v>2006.0</v>
      </c>
      <c r="D234" s="2" t="s">
        <v>3080</v>
      </c>
      <c r="E234" s="2" t="s">
        <v>3081</v>
      </c>
      <c r="F234" s="2" t="s">
        <v>3082</v>
      </c>
      <c r="G234" s="2" t="s">
        <v>3083</v>
      </c>
      <c r="J234" s="2" t="s">
        <v>3084</v>
      </c>
      <c r="K234" s="2" t="s">
        <v>3085</v>
      </c>
      <c r="L234" s="2" t="s">
        <v>1727</v>
      </c>
      <c r="M234" s="2" t="s">
        <v>1385</v>
      </c>
      <c r="N234" s="2" t="s">
        <v>1386</v>
      </c>
      <c r="P234" s="2" t="s">
        <v>3086</v>
      </c>
      <c r="AA234" s="2" t="s">
        <v>3087</v>
      </c>
      <c r="AB234" s="2" t="s">
        <v>3088</v>
      </c>
      <c r="AJ234" s="2" t="s">
        <v>3089</v>
      </c>
      <c r="AN234" s="2" t="s">
        <v>1368</v>
      </c>
      <c r="AP234" s="2" t="s">
        <v>3090</v>
      </c>
    </row>
    <row r="235" ht="15.75" customHeight="1">
      <c r="A235" s="2" t="s">
        <v>3091</v>
      </c>
      <c r="B235" s="2" t="s">
        <v>1361</v>
      </c>
      <c r="C235" s="2">
        <v>2015.0</v>
      </c>
      <c r="D235" s="2" t="s">
        <v>3092</v>
      </c>
      <c r="E235" s="2" t="s">
        <v>3093</v>
      </c>
      <c r="F235" s="2" t="s">
        <v>2650</v>
      </c>
      <c r="H235" s="2" t="s">
        <v>3094</v>
      </c>
      <c r="I235" s="2" t="s">
        <v>3095</v>
      </c>
      <c r="J235" s="2" t="s">
        <v>3096</v>
      </c>
      <c r="K235" s="2" t="s">
        <v>3097</v>
      </c>
      <c r="L235" s="2" t="s">
        <v>1373</v>
      </c>
      <c r="M235" s="2" t="s">
        <v>1385</v>
      </c>
      <c r="N235" s="2" t="s">
        <v>1386</v>
      </c>
      <c r="P235" s="2" t="s">
        <v>3098</v>
      </c>
      <c r="R235" s="2" t="s">
        <v>2271</v>
      </c>
      <c r="S235" s="2" t="s">
        <v>1480</v>
      </c>
      <c r="AN235" s="2" t="s">
        <v>1368</v>
      </c>
    </row>
    <row r="236" ht="15.75" customHeight="1">
      <c r="A236" s="2" t="s">
        <v>3099</v>
      </c>
      <c r="B236" s="2" t="s">
        <v>1361</v>
      </c>
      <c r="C236" s="2">
        <v>2011.0</v>
      </c>
      <c r="D236" s="2" t="s">
        <v>3100</v>
      </c>
      <c r="E236" s="2" t="s">
        <v>3101</v>
      </c>
      <c r="F236" s="2" t="s">
        <v>3102</v>
      </c>
      <c r="H236" s="2" t="s">
        <v>3103</v>
      </c>
      <c r="I236" s="2" t="s">
        <v>3104</v>
      </c>
      <c r="J236" s="2" t="s">
        <v>3105</v>
      </c>
      <c r="K236" s="2" t="s">
        <v>3106</v>
      </c>
      <c r="L236" s="2" t="s">
        <v>3107</v>
      </c>
      <c r="M236" s="2" t="s">
        <v>1385</v>
      </c>
      <c r="N236" s="2" t="s">
        <v>1386</v>
      </c>
      <c r="P236" s="2" t="s">
        <v>3108</v>
      </c>
      <c r="R236" s="2" t="s">
        <v>1480</v>
      </c>
      <c r="S236" s="2" t="s">
        <v>1600</v>
      </c>
      <c r="AN236" s="2" t="s">
        <v>1368</v>
      </c>
    </row>
    <row r="237" ht="15.75" customHeight="1">
      <c r="A237" s="2" t="s">
        <v>3109</v>
      </c>
      <c r="B237" s="2" t="s">
        <v>1361</v>
      </c>
      <c r="C237" s="2">
        <v>1999.0</v>
      </c>
      <c r="D237" s="2" t="s">
        <v>3110</v>
      </c>
      <c r="E237" s="2" t="s">
        <v>3111</v>
      </c>
      <c r="F237" s="2" t="s">
        <v>3112</v>
      </c>
      <c r="H237" s="2" t="s">
        <v>3113</v>
      </c>
      <c r="I237" s="2" t="s">
        <v>3114</v>
      </c>
      <c r="K237" s="2" t="s">
        <v>3115</v>
      </c>
      <c r="L237" s="2" t="s">
        <v>1434</v>
      </c>
      <c r="M237" s="2" t="s">
        <v>1385</v>
      </c>
      <c r="N237" s="2" t="s">
        <v>1386</v>
      </c>
      <c r="AN237" s="2" t="s">
        <v>1368</v>
      </c>
    </row>
    <row r="238" ht="15.75" customHeight="1">
      <c r="A238" s="2" t="s">
        <v>3116</v>
      </c>
      <c r="B238" s="2" t="s">
        <v>1361</v>
      </c>
      <c r="C238" s="2">
        <v>2014.0</v>
      </c>
      <c r="D238" s="2" t="s">
        <v>3117</v>
      </c>
      <c r="E238" s="2" t="s">
        <v>3118</v>
      </c>
      <c r="F238" s="2" t="s">
        <v>1484</v>
      </c>
      <c r="H238" s="2" t="s">
        <v>3119</v>
      </c>
      <c r="I238" s="2" t="s">
        <v>3120</v>
      </c>
      <c r="K238" s="2" t="s">
        <v>3121</v>
      </c>
      <c r="L238" s="2" t="s">
        <v>1476</v>
      </c>
      <c r="M238" s="2" t="s">
        <v>1385</v>
      </c>
      <c r="N238" s="2" t="s">
        <v>1386</v>
      </c>
      <c r="P238" s="2" t="s">
        <v>3122</v>
      </c>
      <c r="S238" s="2" t="s">
        <v>3123</v>
      </c>
      <c r="AN238" s="2" t="s">
        <v>1368</v>
      </c>
    </row>
    <row r="239" ht="15.75" customHeight="1">
      <c r="A239" s="2" t="s">
        <v>3124</v>
      </c>
      <c r="B239" s="2" t="s">
        <v>1361</v>
      </c>
      <c r="C239" s="2">
        <v>2014.0</v>
      </c>
      <c r="D239" s="2" t="s">
        <v>3125</v>
      </c>
      <c r="E239" s="2" t="s">
        <v>3126</v>
      </c>
      <c r="F239" s="2" t="s">
        <v>1789</v>
      </c>
      <c r="H239" s="2" t="s">
        <v>1790</v>
      </c>
      <c r="I239" s="2" t="s">
        <v>3127</v>
      </c>
      <c r="K239" s="2" t="s">
        <v>3128</v>
      </c>
      <c r="L239" s="2" t="s">
        <v>1476</v>
      </c>
      <c r="M239" s="2" t="s">
        <v>1385</v>
      </c>
      <c r="N239" s="2" t="s">
        <v>1386</v>
      </c>
      <c r="AN239" s="2" t="s">
        <v>1368</v>
      </c>
    </row>
    <row r="240" ht="15.75" customHeight="1">
      <c r="A240" s="2" t="s">
        <v>3129</v>
      </c>
      <c r="B240" s="2" t="s">
        <v>1361</v>
      </c>
      <c r="C240" s="2">
        <v>2016.0</v>
      </c>
      <c r="D240" s="2" t="s">
        <v>3130</v>
      </c>
      <c r="E240" s="2" t="s">
        <v>3131</v>
      </c>
      <c r="F240" s="2" t="s">
        <v>2350</v>
      </c>
      <c r="H240" s="2" t="s">
        <v>3132</v>
      </c>
      <c r="I240" s="2" t="s">
        <v>3133</v>
      </c>
      <c r="K240" s="2" t="s">
        <v>3134</v>
      </c>
      <c r="L240" s="2" t="s">
        <v>1502</v>
      </c>
      <c r="M240" s="2" t="s">
        <v>1385</v>
      </c>
      <c r="N240" s="2" t="s">
        <v>1386</v>
      </c>
      <c r="P240" s="2" t="s">
        <v>3135</v>
      </c>
      <c r="S240" s="2" t="s">
        <v>3136</v>
      </c>
      <c r="AN240" s="2" t="s">
        <v>1368</v>
      </c>
    </row>
    <row r="241" ht="15.75" customHeight="1">
      <c r="A241" s="2" t="s">
        <v>3137</v>
      </c>
      <c r="B241" s="2" t="s">
        <v>1396</v>
      </c>
      <c r="C241" s="2">
        <v>2016.0</v>
      </c>
      <c r="D241" s="2" t="s">
        <v>3138</v>
      </c>
      <c r="E241" s="2" t="s">
        <v>3139</v>
      </c>
      <c r="G241" s="2" t="s">
        <v>3140</v>
      </c>
      <c r="K241" s="2" t="s">
        <v>3141</v>
      </c>
      <c r="L241" s="2" t="s">
        <v>1502</v>
      </c>
      <c r="M241" s="2" t="s">
        <v>1385</v>
      </c>
      <c r="N241" s="2" t="s">
        <v>1386</v>
      </c>
      <c r="Q241" s="2" t="s">
        <v>3142</v>
      </c>
      <c r="S241" s="2" t="s">
        <v>3143</v>
      </c>
      <c r="X241" s="2" t="s">
        <v>3144</v>
      </c>
      <c r="AN241" s="2" t="s">
        <v>1368</v>
      </c>
    </row>
    <row r="242" ht="15.75" customHeight="1">
      <c r="A242" s="2" t="s">
        <v>3145</v>
      </c>
      <c r="B242" s="2" t="s">
        <v>1361</v>
      </c>
      <c r="C242" s="2">
        <v>2003.0</v>
      </c>
      <c r="D242" s="2" t="s">
        <v>3146</v>
      </c>
      <c r="E242" s="2" t="s">
        <v>3147</v>
      </c>
      <c r="F242" s="2" t="s">
        <v>3148</v>
      </c>
      <c r="I242" s="2" t="s">
        <v>3149</v>
      </c>
      <c r="L242" s="2" t="s">
        <v>1606</v>
      </c>
      <c r="M242" s="2" t="s">
        <v>1385</v>
      </c>
      <c r="N242" s="2" t="s">
        <v>1386</v>
      </c>
      <c r="P242" s="2" t="s">
        <v>3150</v>
      </c>
      <c r="R242" s="2" t="s">
        <v>1462</v>
      </c>
      <c r="S242" s="2" t="s">
        <v>2953</v>
      </c>
      <c r="AN242" s="2" t="s">
        <v>1368</v>
      </c>
    </row>
    <row r="243" ht="15.75" customHeight="1">
      <c r="A243" s="2" t="s">
        <v>3151</v>
      </c>
      <c r="B243" s="2" t="s">
        <v>1361</v>
      </c>
      <c r="C243" s="2">
        <v>2016.0</v>
      </c>
      <c r="D243" s="2" t="s">
        <v>3152</v>
      </c>
      <c r="E243" s="2" t="s">
        <v>3153</v>
      </c>
      <c r="F243" s="2" t="s">
        <v>3154</v>
      </c>
      <c r="H243" s="2" t="s">
        <v>3155</v>
      </c>
      <c r="I243" s="2" t="s">
        <v>3156</v>
      </c>
      <c r="L243" s="2" t="s">
        <v>1502</v>
      </c>
      <c r="M243" s="2" t="s">
        <v>1385</v>
      </c>
      <c r="N243" s="2" t="s">
        <v>1386</v>
      </c>
      <c r="P243" s="2" t="s">
        <v>3157</v>
      </c>
      <c r="R243" s="2" t="s">
        <v>3158</v>
      </c>
      <c r="S243" s="2" t="s">
        <v>3159</v>
      </c>
      <c r="AN243" s="2" t="s">
        <v>1368</v>
      </c>
    </row>
    <row r="244" ht="15.75" customHeight="1">
      <c r="A244" s="2" t="s">
        <v>3160</v>
      </c>
      <c r="B244" s="2" t="s">
        <v>1361</v>
      </c>
      <c r="C244" s="2">
        <v>2005.0</v>
      </c>
      <c r="D244" s="2" t="s">
        <v>3161</v>
      </c>
      <c r="E244" s="2" t="s">
        <v>3162</v>
      </c>
      <c r="F244" s="2" t="s">
        <v>3163</v>
      </c>
      <c r="H244" s="2" t="s">
        <v>3164</v>
      </c>
      <c r="I244" s="2" t="s">
        <v>3165</v>
      </c>
      <c r="K244" s="2" t="s">
        <v>3166</v>
      </c>
      <c r="L244" s="2" t="s">
        <v>1394</v>
      </c>
      <c r="M244" s="2" t="s">
        <v>1385</v>
      </c>
      <c r="N244" s="2" t="s">
        <v>1386</v>
      </c>
      <c r="P244" s="2" t="s">
        <v>3167</v>
      </c>
      <c r="R244" s="2" t="s">
        <v>1462</v>
      </c>
      <c r="S244" s="2" t="s">
        <v>2271</v>
      </c>
      <c r="AN244" s="2" t="s">
        <v>1368</v>
      </c>
    </row>
    <row r="245" ht="15.75" customHeight="1">
      <c r="A245" s="2" t="s">
        <v>3168</v>
      </c>
      <c r="B245" s="2" t="s">
        <v>1361</v>
      </c>
      <c r="C245" s="2">
        <v>2016.0</v>
      </c>
      <c r="D245" s="2" t="s">
        <v>3169</v>
      </c>
      <c r="E245" s="2" t="s">
        <v>3170</v>
      </c>
      <c r="F245" s="2" t="s">
        <v>1760</v>
      </c>
      <c r="H245" s="2" t="s">
        <v>1761</v>
      </c>
      <c r="I245" s="2" t="s">
        <v>3171</v>
      </c>
      <c r="K245" s="2" t="s">
        <v>3172</v>
      </c>
      <c r="L245" s="2" t="s">
        <v>1502</v>
      </c>
      <c r="M245" s="2" t="s">
        <v>1385</v>
      </c>
      <c r="N245" s="2" t="s">
        <v>1386</v>
      </c>
      <c r="AN245" s="2" t="s">
        <v>1368</v>
      </c>
    </row>
    <row r="246" ht="15.75" customHeight="1">
      <c r="A246" s="2" t="s">
        <v>3173</v>
      </c>
      <c r="B246" s="2" t="s">
        <v>1361</v>
      </c>
      <c r="C246" s="2">
        <v>2017.0</v>
      </c>
      <c r="D246" s="2" t="s">
        <v>3174</v>
      </c>
      <c r="E246" s="2" t="s">
        <v>3175</v>
      </c>
      <c r="F246" s="2" t="s">
        <v>2162</v>
      </c>
      <c r="H246" s="2" t="s">
        <v>2163</v>
      </c>
      <c r="I246" s="2" t="s">
        <v>3176</v>
      </c>
      <c r="K246" s="2" t="s">
        <v>3177</v>
      </c>
      <c r="L246" s="2" t="s">
        <v>1658</v>
      </c>
      <c r="M246" s="2" t="s">
        <v>1385</v>
      </c>
      <c r="N246" s="2" t="s">
        <v>1386</v>
      </c>
      <c r="P246" s="2" t="s">
        <v>3178</v>
      </c>
      <c r="S246" s="2" t="s">
        <v>1506</v>
      </c>
      <c r="AN246" s="2" t="s">
        <v>1368</v>
      </c>
    </row>
    <row r="247" ht="15.75" customHeight="1">
      <c r="A247" s="2" t="s">
        <v>3179</v>
      </c>
      <c r="B247" s="2" t="s">
        <v>1361</v>
      </c>
      <c r="C247" s="2">
        <v>2010.0</v>
      </c>
      <c r="D247" s="2" t="s">
        <v>3180</v>
      </c>
      <c r="E247" s="2" t="s">
        <v>3181</v>
      </c>
      <c r="F247" s="2" t="s">
        <v>3182</v>
      </c>
      <c r="H247" s="2" t="s">
        <v>3183</v>
      </c>
      <c r="I247" s="2" t="s">
        <v>3184</v>
      </c>
      <c r="K247" s="2" t="s">
        <v>3185</v>
      </c>
      <c r="L247" s="2" t="s">
        <v>1449</v>
      </c>
      <c r="M247" s="2" t="s">
        <v>1385</v>
      </c>
      <c r="N247" s="2" t="s">
        <v>1386</v>
      </c>
      <c r="AN247" s="2" t="s">
        <v>1368</v>
      </c>
    </row>
    <row r="248" ht="15.75" customHeight="1">
      <c r="A248" s="2" t="s">
        <v>3186</v>
      </c>
      <c r="B248" s="2" t="s">
        <v>1361</v>
      </c>
      <c r="C248" s="2">
        <v>2009.0</v>
      </c>
      <c r="D248" s="2" t="s">
        <v>3187</v>
      </c>
      <c r="E248" s="2" t="s">
        <v>3188</v>
      </c>
      <c r="F248" s="2" t="s">
        <v>3189</v>
      </c>
      <c r="H248" s="2" t="s">
        <v>3190</v>
      </c>
      <c r="I248" s="2" t="s">
        <v>3191</v>
      </c>
      <c r="K248" s="2" t="s">
        <v>3192</v>
      </c>
      <c r="L248" s="2" t="s">
        <v>1364</v>
      </c>
      <c r="M248" s="2" t="s">
        <v>1385</v>
      </c>
      <c r="N248" s="2" t="s">
        <v>1386</v>
      </c>
      <c r="P248" s="2" t="s">
        <v>3193</v>
      </c>
      <c r="R248" s="2" t="s">
        <v>1462</v>
      </c>
      <c r="S248" s="2" t="s">
        <v>2778</v>
      </c>
      <c r="AN248" s="2" t="s">
        <v>1368</v>
      </c>
    </row>
    <row r="249" ht="15.75" customHeight="1">
      <c r="A249" s="2" t="s">
        <v>3194</v>
      </c>
      <c r="B249" s="2" t="s">
        <v>1396</v>
      </c>
      <c r="C249" s="2">
        <v>2016.0</v>
      </c>
      <c r="D249" s="2" t="s">
        <v>3195</v>
      </c>
      <c r="E249" s="2" t="s">
        <v>3196</v>
      </c>
      <c r="L249" s="2" t="s">
        <v>1502</v>
      </c>
      <c r="M249" s="2" t="s">
        <v>1385</v>
      </c>
      <c r="N249" s="2" t="s">
        <v>1386</v>
      </c>
      <c r="AA249" s="2" t="s">
        <v>3197</v>
      </c>
      <c r="AN249" s="2" t="s">
        <v>1368</v>
      </c>
    </row>
    <row r="250" ht="15.75" customHeight="1">
      <c r="A250" s="2" t="s">
        <v>3198</v>
      </c>
      <c r="B250" s="2" t="s">
        <v>1361</v>
      </c>
      <c r="C250" s="2">
        <v>1998.0</v>
      </c>
      <c r="D250" s="2" t="s">
        <v>3199</v>
      </c>
      <c r="E250" s="2" t="s">
        <v>3200</v>
      </c>
      <c r="F250" s="2" t="s">
        <v>3201</v>
      </c>
      <c r="H250" s="2" t="s">
        <v>3202</v>
      </c>
      <c r="I250" s="2" t="s">
        <v>3203</v>
      </c>
      <c r="K250" s="2" t="s">
        <v>3204</v>
      </c>
      <c r="L250" s="2" t="s">
        <v>1958</v>
      </c>
      <c r="M250" s="2" t="s">
        <v>1385</v>
      </c>
      <c r="N250" s="2" t="s">
        <v>1386</v>
      </c>
      <c r="AN250" s="2" t="s">
        <v>1368</v>
      </c>
    </row>
    <row r="251" ht="15.75" customHeight="1">
      <c r="A251" s="2" t="s">
        <v>3205</v>
      </c>
      <c r="B251" s="2" t="s">
        <v>1361</v>
      </c>
      <c r="C251" s="2">
        <v>2007.0</v>
      </c>
      <c r="D251" s="2" t="s">
        <v>3206</v>
      </c>
      <c r="E251" s="2" t="s">
        <v>3207</v>
      </c>
      <c r="F251" s="2" t="s">
        <v>3208</v>
      </c>
      <c r="I251" s="2" t="s">
        <v>3209</v>
      </c>
      <c r="L251" s="2" t="s">
        <v>2380</v>
      </c>
      <c r="M251" s="2" t="s">
        <v>1385</v>
      </c>
      <c r="N251" s="2" t="s">
        <v>1386</v>
      </c>
      <c r="P251" s="2" t="s">
        <v>3210</v>
      </c>
      <c r="R251" s="2" t="s">
        <v>1453</v>
      </c>
      <c r="S251" s="2" t="s">
        <v>3211</v>
      </c>
      <c r="AN251" s="2" t="s">
        <v>1368</v>
      </c>
    </row>
    <row r="252" ht="15.75" customHeight="1">
      <c r="A252" s="2" t="s">
        <v>3212</v>
      </c>
      <c r="B252" s="2" t="s">
        <v>1361</v>
      </c>
      <c r="C252" s="2">
        <v>2014.0</v>
      </c>
      <c r="D252" s="2" t="s">
        <v>3213</v>
      </c>
      <c r="E252" s="2" t="s">
        <v>3214</v>
      </c>
      <c r="F252" s="2" t="s">
        <v>3215</v>
      </c>
      <c r="H252" s="2" t="s">
        <v>3216</v>
      </c>
      <c r="I252" s="2" t="s">
        <v>3217</v>
      </c>
      <c r="K252" s="2" t="s">
        <v>3218</v>
      </c>
      <c r="L252" s="2" t="s">
        <v>3219</v>
      </c>
      <c r="M252" s="2" t="s">
        <v>1385</v>
      </c>
      <c r="N252" s="2" t="s">
        <v>1386</v>
      </c>
      <c r="P252" s="2" t="s">
        <v>3220</v>
      </c>
      <c r="R252" s="2" t="s">
        <v>1600</v>
      </c>
      <c r="S252" s="2" t="s">
        <v>1937</v>
      </c>
      <c r="AN252" s="2" t="s">
        <v>1368</v>
      </c>
    </row>
    <row r="253" ht="15.75" customHeight="1">
      <c r="A253" s="2" t="s">
        <v>3221</v>
      </c>
      <c r="B253" s="2" t="s">
        <v>1361</v>
      </c>
      <c r="C253" s="2">
        <v>2005.0</v>
      </c>
      <c r="D253" s="2" t="s">
        <v>3222</v>
      </c>
      <c r="E253" s="2" t="s">
        <v>3223</v>
      </c>
      <c r="F253" s="2" t="s">
        <v>3224</v>
      </c>
      <c r="H253" s="2" t="s">
        <v>3225</v>
      </c>
      <c r="I253" s="2" t="s">
        <v>3226</v>
      </c>
      <c r="K253" s="2" t="s">
        <v>3227</v>
      </c>
      <c r="L253" s="2" t="s">
        <v>1394</v>
      </c>
      <c r="M253" s="2" t="s">
        <v>1385</v>
      </c>
      <c r="N253" s="2" t="s">
        <v>1386</v>
      </c>
      <c r="AN253" s="2" t="s">
        <v>1368</v>
      </c>
    </row>
    <row r="254" ht="15.75" customHeight="1">
      <c r="A254" s="2" t="s">
        <v>3228</v>
      </c>
      <c r="B254" s="2" t="s">
        <v>1361</v>
      </c>
      <c r="C254" s="2">
        <v>2011.0</v>
      </c>
      <c r="D254" s="2" t="s">
        <v>3229</v>
      </c>
      <c r="E254" s="2" t="s">
        <v>3230</v>
      </c>
      <c r="F254" s="2" t="s">
        <v>3231</v>
      </c>
      <c r="H254" s="2" t="s">
        <v>3232</v>
      </c>
      <c r="I254" s="2" t="s">
        <v>3233</v>
      </c>
      <c r="L254" s="2" t="s">
        <v>1627</v>
      </c>
      <c r="M254" s="2" t="s">
        <v>1385</v>
      </c>
      <c r="N254" s="2" t="s">
        <v>1386</v>
      </c>
      <c r="P254" s="2" t="s">
        <v>3234</v>
      </c>
      <c r="R254" s="2" t="s">
        <v>2646</v>
      </c>
      <c r="S254" s="2" t="s">
        <v>3235</v>
      </c>
      <c r="AN254" s="2" t="s">
        <v>1368</v>
      </c>
    </row>
    <row r="255" ht="15.75" customHeight="1">
      <c r="A255" s="2" t="s">
        <v>3236</v>
      </c>
      <c r="B255" s="2" t="s">
        <v>1396</v>
      </c>
      <c r="C255" s="2">
        <v>2007.0</v>
      </c>
      <c r="D255" s="2" t="s">
        <v>3237</v>
      </c>
      <c r="E255" s="2" t="s">
        <v>3238</v>
      </c>
      <c r="K255" s="2" t="s">
        <v>3239</v>
      </c>
      <c r="L255" s="2" t="s">
        <v>2380</v>
      </c>
      <c r="M255" s="2" t="s">
        <v>1385</v>
      </c>
      <c r="N255" s="2" t="s">
        <v>1386</v>
      </c>
      <c r="AA255" s="2" t="s">
        <v>3240</v>
      </c>
      <c r="AN255" s="2" t="s">
        <v>1368</v>
      </c>
    </row>
    <row r="256" ht="15.75" customHeight="1">
      <c r="A256" s="2" t="s">
        <v>3241</v>
      </c>
      <c r="B256" s="2" t="s">
        <v>1361</v>
      </c>
      <c r="C256" s="2">
        <v>2004.0</v>
      </c>
      <c r="D256" s="2" t="s">
        <v>3242</v>
      </c>
      <c r="E256" s="2" t="s">
        <v>1140</v>
      </c>
      <c r="F256" s="2" t="s">
        <v>1510</v>
      </c>
      <c r="H256" s="2" t="s">
        <v>1917</v>
      </c>
      <c r="I256" s="2" t="s">
        <v>1142</v>
      </c>
      <c r="K256" s="2" t="s">
        <v>3243</v>
      </c>
      <c r="L256" s="2" t="s">
        <v>2373</v>
      </c>
      <c r="M256" s="2" t="s">
        <v>1385</v>
      </c>
      <c r="N256" s="2" t="s">
        <v>1386</v>
      </c>
      <c r="AN256" s="2" t="s">
        <v>1368</v>
      </c>
    </row>
    <row r="257" ht="15.75" customHeight="1">
      <c r="A257" s="2" t="s">
        <v>3244</v>
      </c>
      <c r="B257" s="2" t="s">
        <v>1361</v>
      </c>
      <c r="C257" s="2">
        <v>2017.0</v>
      </c>
      <c r="D257" s="2" t="s">
        <v>3245</v>
      </c>
      <c r="E257" s="2" t="s">
        <v>3246</v>
      </c>
      <c r="F257" s="2" t="s">
        <v>3247</v>
      </c>
      <c r="H257" s="2" t="s">
        <v>3248</v>
      </c>
      <c r="I257" s="2" t="s">
        <v>3249</v>
      </c>
      <c r="K257" s="2" t="s">
        <v>3250</v>
      </c>
      <c r="L257" s="2" t="s">
        <v>1658</v>
      </c>
      <c r="M257" s="2" t="s">
        <v>1385</v>
      </c>
      <c r="N257" s="2" t="s">
        <v>1386</v>
      </c>
      <c r="P257" s="2" t="s">
        <v>3251</v>
      </c>
      <c r="R257" s="2" t="s">
        <v>2565</v>
      </c>
      <c r="S257" s="2" t="s">
        <v>3252</v>
      </c>
      <c r="AN257" s="2" t="s">
        <v>1368</v>
      </c>
    </row>
    <row r="258" ht="15.75" customHeight="1">
      <c r="A258" s="2" t="s">
        <v>3253</v>
      </c>
      <c r="B258" s="2" t="s">
        <v>1361</v>
      </c>
      <c r="C258" s="2">
        <v>2009.0</v>
      </c>
      <c r="D258" s="2" t="s">
        <v>3254</v>
      </c>
      <c r="E258" s="2" t="s">
        <v>3255</v>
      </c>
      <c r="F258" s="2" t="s">
        <v>3256</v>
      </c>
      <c r="I258" s="2" t="s">
        <v>3257</v>
      </c>
      <c r="K258" s="2" t="s">
        <v>3258</v>
      </c>
      <c r="L258" s="2" t="s">
        <v>1364</v>
      </c>
      <c r="M258" s="2" t="s">
        <v>1385</v>
      </c>
      <c r="N258" s="2" t="s">
        <v>1386</v>
      </c>
      <c r="AN258" s="2" t="s">
        <v>1368</v>
      </c>
    </row>
    <row r="259" ht="15.75" customHeight="1">
      <c r="A259" s="2" t="s">
        <v>3259</v>
      </c>
      <c r="B259" s="2" t="s">
        <v>1781</v>
      </c>
      <c r="C259" s="2">
        <v>2015.0</v>
      </c>
      <c r="D259" s="2" t="s">
        <v>3260</v>
      </c>
      <c r="E259" s="2" t="s">
        <v>3261</v>
      </c>
      <c r="K259" s="2" t="s">
        <v>3262</v>
      </c>
      <c r="L259" s="2" t="s">
        <v>1373</v>
      </c>
      <c r="M259" s="2" t="s">
        <v>1385</v>
      </c>
      <c r="N259" s="2" t="s">
        <v>1386</v>
      </c>
      <c r="AB259" s="2" t="s">
        <v>2410</v>
      </c>
      <c r="AC259" s="2" t="s">
        <v>3263</v>
      </c>
      <c r="AN259" s="2" t="s">
        <v>1368</v>
      </c>
    </row>
    <row r="260" ht="15.75" customHeight="1">
      <c r="A260" s="2" t="s">
        <v>3264</v>
      </c>
      <c r="B260" s="2" t="s">
        <v>1361</v>
      </c>
      <c r="C260" s="2">
        <v>2001.0</v>
      </c>
      <c r="D260" s="2" t="s">
        <v>3265</v>
      </c>
      <c r="E260" s="2" t="s">
        <v>3266</v>
      </c>
      <c r="F260" s="2" t="s">
        <v>3267</v>
      </c>
      <c r="I260" s="2" t="s">
        <v>3268</v>
      </c>
      <c r="K260" s="2" t="s">
        <v>3269</v>
      </c>
      <c r="L260" s="2" t="s">
        <v>1414</v>
      </c>
      <c r="M260" s="2" t="s">
        <v>1385</v>
      </c>
      <c r="N260" s="2" t="s">
        <v>1386</v>
      </c>
      <c r="P260" s="2" t="s">
        <v>3270</v>
      </c>
      <c r="R260" s="2" t="s">
        <v>1600</v>
      </c>
      <c r="S260" s="2" t="s">
        <v>2730</v>
      </c>
      <c r="AN260" s="2" t="s">
        <v>1368</v>
      </c>
    </row>
    <row r="261" ht="15.75" customHeight="1">
      <c r="A261" s="2" t="s">
        <v>3271</v>
      </c>
      <c r="B261" s="2" t="s">
        <v>1361</v>
      </c>
      <c r="C261" s="2">
        <v>2012.0</v>
      </c>
      <c r="D261" s="2" t="s">
        <v>3272</v>
      </c>
      <c r="E261" s="2" t="s">
        <v>3273</v>
      </c>
      <c r="F261" s="2" t="s">
        <v>3274</v>
      </c>
      <c r="I261" s="2" t="s">
        <v>3275</v>
      </c>
      <c r="L261" s="2" t="s">
        <v>1405</v>
      </c>
      <c r="M261" s="2" t="s">
        <v>1385</v>
      </c>
      <c r="N261" s="2" t="s">
        <v>1386</v>
      </c>
      <c r="P261" s="2" t="s">
        <v>3276</v>
      </c>
      <c r="R261" s="2" t="s">
        <v>1462</v>
      </c>
      <c r="S261" s="2" t="s">
        <v>1937</v>
      </c>
      <c r="AN261" s="2" t="s">
        <v>1368</v>
      </c>
    </row>
    <row r="262" ht="15.75" customHeight="1">
      <c r="A262" s="2" t="s">
        <v>3277</v>
      </c>
      <c r="B262" s="2" t="s">
        <v>1396</v>
      </c>
      <c r="C262" s="2">
        <v>2003.0</v>
      </c>
      <c r="D262" s="2" t="s">
        <v>3278</v>
      </c>
      <c r="E262" s="2" t="s">
        <v>3279</v>
      </c>
      <c r="G262" s="2" t="s">
        <v>3280</v>
      </c>
      <c r="K262" s="2" t="s">
        <v>3281</v>
      </c>
      <c r="L262" s="2" t="s">
        <v>1606</v>
      </c>
      <c r="M262" s="2" t="s">
        <v>1385</v>
      </c>
      <c r="N262" s="2" t="s">
        <v>1386</v>
      </c>
      <c r="Q262" s="2" t="s">
        <v>3282</v>
      </c>
      <c r="AA262" s="2" t="s">
        <v>3283</v>
      </c>
      <c r="AN262" s="2" t="s">
        <v>1368</v>
      </c>
    </row>
    <row r="263" ht="15.75" customHeight="1">
      <c r="A263" s="2" t="s">
        <v>3284</v>
      </c>
      <c r="B263" s="2" t="s">
        <v>1766</v>
      </c>
      <c r="C263" s="2">
        <v>1986.0</v>
      </c>
      <c r="D263" s="2" t="s">
        <v>3285</v>
      </c>
      <c r="E263" s="2" t="s">
        <v>3286</v>
      </c>
      <c r="F263" s="2" t="s">
        <v>3287</v>
      </c>
      <c r="L263" s="2" t="s">
        <v>3288</v>
      </c>
      <c r="M263" s="2" t="s">
        <v>1385</v>
      </c>
      <c r="N263" s="2" t="s">
        <v>1386</v>
      </c>
      <c r="P263" s="2" t="s">
        <v>3289</v>
      </c>
      <c r="S263" s="2" t="s">
        <v>1280</v>
      </c>
      <c r="AA263" s="2" t="s">
        <v>3290</v>
      </c>
      <c r="AN263" s="2" t="s">
        <v>1368</v>
      </c>
      <c r="AP263" s="2" t="s">
        <v>3291</v>
      </c>
    </row>
    <row r="264" ht="15.75" customHeight="1">
      <c r="A264" s="2" t="s">
        <v>3292</v>
      </c>
      <c r="B264" s="2" t="s">
        <v>1361</v>
      </c>
      <c r="C264" s="2">
        <v>2012.0</v>
      </c>
      <c r="D264" s="2" t="s">
        <v>3293</v>
      </c>
      <c r="E264" s="2" t="s">
        <v>3294</v>
      </c>
      <c r="F264" s="2" t="s">
        <v>3295</v>
      </c>
      <c r="H264" s="2" t="s">
        <v>3296</v>
      </c>
      <c r="I264" s="2" t="s">
        <v>3297</v>
      </c>
      <c r="K264" s="2" t="s">
        <v>3298</v>
      </c>
      <c r="L264" s="2" t="s">
        <v>1405</v>
      </c>
      <c r="M264" s="2" t="s">
        <v>1385</v>
      </c>
      <c r="N264" s="2" t="s">
        <v>1386</v>
      </c>
      <c r="AN264" s="2" t="s">
        <v>1368</v>
      </c>
    </row>
    <row r="265" ht="15.75" customHeight="1">
      <c r="A265" s="2" t="s">
        <v>3299</v>
      </c>
      <c r="B265" s="2" t="s">
        <v>1361</v>
      </c>
      <c r="C265" s="2">
        <v>1998.0</v>
      </c>
      <c r="D265" s="2" t="s">
        <v>3300</v>
      </c>
      <c r="E265" s="2" t="s">
        <v>3301</v>
      </c>
      <c r="F265" s="2" t="s">
        <v>3302</v>
      </c>
      <c r="I265" s="2" t="s">
        <v>3303</v>
      </c>
      <c r="K265" s="2" t="s">
        <v>3304</v>
      </c>
      <c r="L265" s="2" t="s">
        <v>1958</v>
      </c>
      <c r="M265" s="2" t="s">
        <v>1385</v>
      </c>
      <c r="N265" s="2" t="s">
        <v>1386</v>
      </c>
      <c r="P265" s="2" t="s">
        <v>3305</v>
      </c>
      <c r="R265" s="2" t="s">
        <v>1462</v>
      </c>
      <c r="S265" s="2" t="s">
        <v>3306</v>
      </c>
      <c r="AN265" s="2" t="s">
        <v>1368</v>
      </c>
    </row>
    <row r="266" ht="15.75" customHeight="1">
      <c r="A266" s="2" t="s">
        <v>3307</v>
      </c>
      <c r="B266" s="2" t="s">
        <v>1361</v>
      </c>
      <c r="C266" s="2">
        <v>1994.0</v>
      </c>
      <c r="D266" s="2" t="s">
        <v>3308</v>
      </c>
      <c r="E266" s="2" t="s">
        <v>3309</v>
      </c>
      <c r="F266" s="2" t="s">
        <v>3310</v>
      </c>
      <c r="H266" s="2" t="s">
        <v>3311</v>
      </c>
      <c r="I266" s="2" t="s">
        <v>3312</v>
      </c>
      <c r="K266" s="2" t="s">
        <v>3313</v>
      </c>
      <c r="L266" s="2" t="s">
        <v>2327</v>
      </c>
      <c r="M266" s="2" t="s">
        <v>1385</v>
      </c>
      <c r="N266" s="2" t="s">
        <v>1386</v>
      </c>
      <c r="AN266" s="2" t="s">
        <v>1368</v>
      </c>
    </row>
    <row r="267" ht="15.75" customHeight="1">
      <c r="A267" s="2" t="s">
        <v>3314</v>
      </c>
      <c r="B267" s="2" t="s">
        <v>1361</v>
      </c>
      <c r="C267" s="2">
        <v>2011.0</v>
      </c>
      <c r="D267" s="2" t="s">
        <v>3315</v>
      </c>
      <c r="E267" s="2" t="s">
        <v>3316</v>
      </c>
      <c r="F267" s="2" t="s">
        <v>1863</v>
      </c>
      <c r="H267" s="2" t="s">
        <v>1864</v>
      </c>
      <c r="I267" s="2" t="s">
        <v>3317</v>
      </c>
      <c r="K267" s="2" t="s">
        <v>3318</v>
      </c>
      <c r="L267" s="2" t="s">
        <v>1627</v>
      </c>
      <c r="M267" s="2" t="s">
        <v>1385</v>
      </c>
      <c r="N267" s="2" t="s">
        <v>1386</v>
      </c>
      <c r="AN267" s="2" t="s">
        <v>1368</v>
      </c>
    </row>
    <row r="268" ht="15.75" customHeight="1">
      <c r="A268" s="2" t="s">
        <v>3319</v>
      </c>
      <c r="B268" s="2" t="s">
        <v>1361</v>
      </c>
      <c r="C268" s="2">
        <v>2016.0</v>
      </c>
      <c r="D268" s="2" t="s">
        <v>3320</v>
      </c>
      <c r="E268" s="2" t="s">
        <v>173</v>
      </c>
      <c r="F268" s="2" t="s">
        <v>1613</v>
      </c>
      <c r="I268" s="2" t="s">
        <v>175</v>
      </c>
      <c r="K268" s="2" t="s">
        <v>3321</v>
      </c>
      <c r="L268" s="2" t="s">
        <v>1502</v>
      </c>
      <c r="M268" s="2" t="s">
        <v>1385</v>
      </c>
      <c r="N268" s="2" t="s">
        <v>1386</v>
      </c>
      <c r="R268" s="2" t="s">
        <v>1620</v>
      </c>
      <c r="S268" s="2" t="s">
        <v>1453</v>
      </c>
      <c r="AN268" s="2" t="s">
        <v>1368</v>
      </c>
    </row>
    <row r="269" ht="15.75" customHeight="1">
      <c r="A269" s="2" t="s">
        <v>3322</v>
      </c>
      <c r="B269" s="2" t="s">
        <v>1361</v>
      </c>
      <c r="C269" s="2">
        <v>2018.0</v>
      </c>
      <c r="D269" s="2" t="s">
        <v>3323</v>
      </c>
      <c r="E269" s="2" t="s">
        <v>3324</v>
      </c>
      <c r="F269" s="2" t="s">
        <v>2205</v>
      </c>
      <c r="H269" s="2" t="s">
        <v>3325</v>
      </c>
      <c r="I269" s="2" t="s">
        <v>3326</v>
      </c>
      <c r="K269" s="2" t="s">
        <v>3327</v>
      </c>
      <c r="L269" s="2" t="s">
        <v>1420</v>
      </c>
      <c r="M269" s="2" t="s">
        <v>1385</v>
      </c>
      <c r="N269" s="2" t="s">
        <v>1386</v>
      </c>
      <c r="P269" s="2" t="s">
        <v>3328</v>
      </c>
      <c r="S269" s="2" t="s">
        <v>2824</v>
      </c>
      <c r="AN269" s="2" t="s">
        <v>1368</v>
      </c>
    </row>
    <row r="270" ht="15.75" customHeight="1">
      <c r="A270" s="2" t="s">
        <v>3329</v>
      </c>
      <c r="B270" s="2" t="s">
        <v>1396</v>
      </c>
      <c r="C270" s="2">
        <v>2013.0</v>
      </c>
      <c r="D270" s="2" t="s">
        <v>3330</v>
      </c>
      <c r="E270" s="2" t="s">
        <v>3331</v>
      </c>
      <c r="L270" s="2" t="s">
        <v>1429</v>
      </c>
      <c r="M270" s="2" t="s">
        <v>1385</v>
      </c>
      <c r="N270" s="2" t="s">
        <v>1386</v>
      </c>
      <c r="AA270" s="2" t="s">
        <v>2441</v>
      </c>
      <c r="AN270" s="2" t="s">
        <v>1368</v>
      </c>
      <c r="BI270" s="2">
        <v>3.0</v>
      </c>
    </row>
    <row r="271" ht="15.75" customHeight="1">
      <c r="A271" s="2" t="s">
        <v>3332</v>
      </c>
      <c r="B271" s="2" t="s">
        <v>1361</v>
      </c>
      <c r="C271" s="2">
        <v>2002.0</v>
      </c>
      <c r="D271" s="2" t="s">
        <v>3333</v>
      </c>
      <c r="E271" s="2" t="s">
        <v>3334</v>
      </c>
      <c r="F271" s="2" t="s">
        <v>1510</v>
      </c>
      <c r="I271" s="2" t="s">
        <v>3335</v>
      </c>
      <c r="J271" s="2" t="s">
        <v>3336</v>
      </c>
      <c r="L271" s="2" t="s">
        <v>3337</v>
      </c>
      <c r="M271" s="2" t="s">
        <v>1385</v>
      </c>
      <c r="N271" s="2" t="s">
        <v>1386</v>
      </c>
      <c r="P271" s="2" t="s">
        <v>3338</v>
      </c>
      <c r="R271" s="2" t="s">
        <v>3339</v>
      </c>
      <c r="S271" s="2" t="s">
        <v>3340</v>
      </c>
      <c r="U271" s="2" t="s">
        <v>1510</v>
      </c>
      <c r="AN271" s="2" t="s">
        <v>1368</v>
      </c>
    </row>
    <row r="272" ht="15.75" customHeight="1">
      <c r="A272" s="2" t="s">
        <v>3341</v>
      </c>
      <c r="B272" s="2" t="s">
        <v>1361</v>
      </c>
      <c r="C272" s="2">
        <v>2005.0</v>
      </c>
      <c r="D272" s="2" t="s">
        <v>3342</v>
      </c>
      <c r="E272" s="2" t="s">
        <v>3343</v>
      </c>
      <c r="F272" s="2" t="s">
        <v>1500</v>
      </c>
      <c r="I272" s="2" t="s">
        <v>3344</v>
      </c>
      <c r="K272" s="2" t="s">
        <v>3345</v>
      </c>
      <c r="L272" s="2" t="s">
        <v>1394</v>
      </c>
      <c r="M272" s="2" t="s">
        <v>3346</v>
      </c>
      <c r="N272" s="2" t="s">
        <v>3347</v>
      </c>
      <c r="P272" s="2" t="s">
        <v>3348</v>
      </c>
      <c r="R272" s="2" t="s">
        <v>1506</v>
      </c>
      <c r="S272" s="2" t="s">
        <v>3349</v>
      </c>
      <c r="AN272" s="2" t="s">
        <v>1368</v>
      </c>
    </row>
    <row r="273" ht="15.75" customHeight="1">
      <c r="A273" s="2" t="s">
        <v>3350</v>
      </c>
      <c r="B273" s="2" t="s">
        <v>2615</v>
      </c>
      <c r="C273" s="2">
        <v>2001.0</v>
      </c>
      <c r="D273" s="2" t="s">
        <v>3351</v>
      </c>
      <c r="E273" s="2" t="s">
        <v>3352</v>
      </c>
      <c r="F273" s="2" t="s">
        <v>3353</v>
      </c>
      <c r="L273" s="2" t="s">
        <v>1414</v>
      </c>
      <c r="M273" s="2" t="s">
        <v>1967</v>
      </c>
      <c r="N273" s="2" t="s">
        <v>1968</v>
      </c>
      <c r="AN273" s="2" t="s">
        <v>1368</v>
      </c>
    </row>
    <row r="274" ht="15.75" customHeight="1">
      <c r="A274" s="2" t="s">
        <v>3354</v>
      </c>
      <c r="B274" s="2" t="s">
        <v>1361</v>
      </c>
      <c r="C274" s="2">
        <v>2008.0</v>
      </c>
      <c r="D274" s="2" t="s">
        <v>3355</v>
      </c>
      <c r="E274" s="2" t="s">
        <v>1013</v>
      </c>
      <c r="F274" s="2" t="s">
        <v>3356</v>
      </c>
      <c r="I274" s="2" t="s">
        <v>1016</v>
      </c>
      <c r="L274" s="2" t="s">
        <v>1458</v>
      </c>
      <c r="M274" s="2" t="s">
        <v>3357</v>
      </c>
      <c r="N274" s="2" t="s">
        <v>3358</v>
      </c>
      <c r="P274" s="2" t="s">
        <v>3359</v>
      </c>
      <c r="R274" s="2" t="s">
        <v>1462</v>
      </c>
      <c r="S274" s="2" t="s">
        <v>1600</v>
      </c>
      <c r="AN274" s="2" t="s">
        <v>1368</v>
      </c>
    </row>
    <row r="275" ht="15.75" customHeight="1">
      <c r="A275" s="2" t="s">
        <v>3360</v>
      </c>
      <c r="B275" s="2" t="s">
        <v>1361</v>
      </c>
      <c r="C275" s="2">
        <v>1960.0</v>
      </c>
      <c r="D275" s="2" t="s">
        <v>3361</v>
      </c>
      <c r="E275" s="2" t="s">
        <v>3362</v>
      </c>
      <c r="F275" s="2" t="s">
        <v>3363</v>
      </c>
      <c r="I275" s="2" t="s">
        <v>3364</v>
      </c>
      <c r="L275" s="2" t="s">
        <v>3365</v>
      </c>
      <c r="M275" s="2" t="s">
        <v>3366</v>
      </c>
      <c r="N275" s="2" t="s">
        <v>3367</v>
      </c>
      <c r="P275" s="2" t="s">
        <v>3368</v>
      </c>
      <c r="AN275" s="2" t="s">
        <v>1368</v>
      </c>
    </row>
    <row r="276" ht="15.75" customHeight="1">
      <c r="A276" s="2" t="s">
        <v>3369</v>
      </c>
      <c r="B276" s="2" t="s">
        <v>1361</v>
      </c>
      <c r="C276" s="2">
        <v>2005.0</v>
      </c>
      <c r="D276" s="2" t="s">
        <v>3370</v>
      </c>
      <c r="E276" s="2" t="s">
        <v>3371</v>
      </c>
      <c r="F276" s="2" t="s">
        <v>3372</v>
      </c>
      <c r="I276" s="2" t="s">
        <v>3373</v>
      </c>
      <c r="L276" s="2" t="s">
        <v>1394</v>
      </c>
      <c r="M276" s="2" t="s">
        <v>3374</v>
      </c>
      <c r="N276" s="2" t="s">
        <v>3375</v>
      </c>
      <c r="R276" s="2" t="s">
        <v>1462</v>
      </c>
      <c r="S276" s="2" t="s">
        <v>1537</v>
      </c>
      <c r="AN276" s="2" t="s">
        <v>1368</v>
      </c>
    </row>
    <row r="277" ht="15.75" customHeight="1">
      <c r="A277" s="2" t="s">
        <v>3376</v>
      </c>
      <c r="B277" s="2" t="s">
        <v>1361</v>
      </c>
      <c r="C277" s="2">
        <v>2006.0</v>
      </c>
      <c r="D277" s="2" t="s">
        <v>3377</v>
      </c>
      <c r="E277" s="2" t="s">
        <v>1051</v>
      </c>
      <c r="F277" s="2" t="s">
        <v>3378</v>
      </c>
      <c r="I277" s="2" t="s">
        <v>1054</v>
      </c>
      <c r="L277" s="2" t="s">
        <v>1727</v>
      </c>
      <c r="M277" s="2" t="s">
        <v>3379</v>
      </c>
      <c r="N277" s="2" t="s">
        <v>3380</v>
      </c>
      <c r="P277" s="2" t="s">
        <v>3381</v>
      </c>
      <c r="R277" s="2" t="s">
        <v>1600</v>
      </c>
      <c r="S277" s="2" t="s">
        <v>3382</v>
      </c>
      <c r="AN277" s="2" t="s">
        <v>1368</v>
      </c>
    </row>
    <row r="278" ht="15.75" customHeight="1">
      <c r="A278" s="2" t="s">
        <v>3383</v>
      </c>
      <c r="B278" s="2" t="s">
        <v>1361</v>
      </c>
      <c r="C278" s="2">
        <v>2000.0</v>
      </c>
      <c r="D278" s="2" t="s">
        <v>3384</v>
      </c>
      <c r="E278" s="2" t="s">
        <v>3385</v>
      </c>
      <c r="F278" s="2" t="s">
        <v>3386</v>
      </c>
      <c r="I278" s="2" t="s">
        <v>3387</v>
      </c>
      <c r="L278" s="2" t="s">
        <v>2429</v>
      </c>
      <c r="M278" s="2" t="s">
        <v>3388</v>
      </c>
      <c r="N278" s="2" t="s">
        <v>3389</v>
      </c>
      <c r="P278" s="2" t="s">
        <v>3390</v>
      </c>
      <c r="R278" s="2" t="s">
        <v>1453</v>
      </c>
      <c r="S278" s="2" t="s">
        <v>3391</v>
      </c>
      <c r="AN278" s="2" t="s">
        <v>1368</v>
      </c>
    </row>
    <row r="279" ht="15.75" customHeight="1">
      <c r="A279" s="2" t="s">
        <v>3392</v>
      </c>
      <c r="B279" s="2" t="s">
        <v>1361</v>
      </c>
      <c r="C279" s="2">
        <v>1998.0</v>
      </c>
      <c r="D279" s="2" t="s">
        <v>3393</v>
      </c>
      <c r="E279" s="2" t="s">
        <v>3394</v>
      </c>
      <c r="F279" s="2" t="s">
        <v>1510</v>
      </c>
      <c r="I279" s="2" t="s">
        <v>3395</v>
      </c>
      <c r="L279" s="2" t="s">
        <v>1958</v>
      </c>
      <c r="M279" s="2" t="s">
        <v>3396</v>
      </c>
      <c r="N279" s="2" t="s">
        <v>3397</v>
      </c>
      <c r="P279" s="2" t="s">
        <v>3398</v>
      </c>
      <c r="R279" s="2" t="s">
        <v>3399</v>
      </c>
      <c r="S279" s="2" t="s">
        <v>3400</v>
      </c>
      <c r="AN279" s="2" t="s">
        <v>1368</v>
      </c>
    </row>
    <row r="280" ht="15.75" customHeight="1">
      <c r="A280" s="2" t="s">
        <v>3401</v>
      </c>
      <c r="B280" s="2" t="s">
        <v>1361</v>
      </c>
      <c r="C280" s="2">
        <v>2013.0</v>
      </c>
      <c r="D280" s="2" t="s">
        <v>3402</v>
      </c>
      <c r="E280" s="2" t="s">
        <v>3403</v>
      </c>
      <c r="F280" s="2" t="s">
        <v>3404</v>
      </c>
      <c r="I280" s="2" t="s">
        <v>3405</v>
      </c>
      <c r="L280" s="2" t="s">
        <v>1429</v>
      </c>
      <c r="M280" s="2" t="s">
        <v>3406</v>
      </c>
      <c r="N280" s="2" t="s">
        <v>3407</v>
      </c>
      <c r="P280" s="2" t="s">
        <v>3408</v>
      </c>
      <c r="R280" s="2" t="s">
        <v>1600</v>
      </c>
      <c r="S280" s="2" t="s">
        <v>2237</v>
      </c>
      <c r="AN280" s="2" t="s">
        <v>1368</v>
      </c>
    </row>
    <row r="281" ht="15.75" customHeight="1">
      <c r="A281" s="2" t="s">
        <v>3409</v>
      </c>
      <c r="B281" s="2" t="s">
        <v>1361</v>
      </c>
      <c r="C281" s="2">
        <v>2003.0</v>
      </c>
      <c r="D281" s="2" t="s">
        <v>3410</v>
      </c>
      <c r="E281" s="2" t="s">
        <v>3411</v>
      </c>
      <c r="F281" s="2" t="s">
        <v>3412</v>
      </c>
      <c r="I281" s="2" t="s">
        <v>3413</v>
      </c>
      <c r="L281" s="2" t="s">
        <v>1606</v>
      </c>
      <c r="M281" s="2" t="s">
        <v>3414</v>
      </c>
      <c r="N281" s="2" t="s">
        <v>3415</v>
      </c>
      <c r="P281" s="2" t="s">
        <v>3416</v>
      </c>
      <c r="R281" s="2" t="s">
        <v>1506</v>
      </c>
      <c r="S281" s="2" t="s">
        <v>3417</v>
      </c>
      <c r="AN281" s="2" t="s">
        <v>1368</v>
      </c>
    </row>
    <row r="282" ht="15.75" customHeight="1">
      <c r="A282" s="2" t="s">
        <v>3418</v>
      </c>
      <c r="B282" s="2" t="s">
        <v>1361</v>
      </c>
      <c r="C282" s="2">
        <v>2016.0</v>
      </c>
      <c r="D282" s="2" t="s">
        <v>3419</v>
      </c>
      <c r="E282" s="2" t="s">
        <v>3420</v>
      </c>
      <c r="F282" s="2" t="s">
        <v>3421</v>
      </c>
      <c r="I282" s="2" t="s">
        <v>3422</v>
      </c>
      <c r="L282" s="2" t="s">
        <v>1502</v>
      </c>
      <c r="M282" s="2" t="s">
        <v>3423</v>
      </c>
      <c r="N282" s="2" t="s">
        <v>3424</v>
      </c>
      <c r="P282" s="2" t="s">
        <v>3425</v>
      </c>
      <c r="S282" s="2" t="s">
        <v>3426</v>
      </c>
      <c r="AN282" s="2" t="s">
        <v>1368</v>
      </c>
    </row>
    <row r="283" ht="15.75" customHeight="1">
      <c r="A283" s="2" t="s">
        <v>3427</v>
      </c>
      <c r="B283" s="2" t="s">
        <v>1361</v>
      </c>
      <c r="C283" s="2">
        <v>2013.0</v>
      </c>
      <c r="D283" s="2" t="s">
        <v>3428</v>
      </c>
      <c r="E283" s="2" t="s">
        <v>3429</v>
      </c>
      <c r="F283" s="2" t="s">
        <v>1760</v>
      </c>
      <c r="I283" s="2" t="s">
        <v>3430</v>
      </c>
      <c r="L283" s="2" t="s">
        <v>1429</v>
      </c>
      <c r="M283" s="2" t="s">
        <v>3431</v>
      </c>
      <c r="N283" s="2" t="s">
        <v>3432</v>
      </c>
      <c r="P283" s="2" t="s">
        <v>3433</v>
      </c>
      <c r="S283" s="2" t="s">
        <v>3434</v>
      </c>
      <c r="AN283" s="2" t="s">
        <v>1368</v>
      </c>
    </row>
    <row r="284" ht="15.75" customHeight="1">
      <c r="A284" s="2" t="s">
        <v>3435</v>
      </c>
      <c r="B284" s="2" t="s">
        <v>1361</v>
      </c>
      <c r="C284" s="2">
        <v>2011.0</v>
      </c>
      <c r="D284" s="2" t="s">
        <v>3436</v>
      </c>
      <c r="E284" s="2" t="s">
        <v>3437</v>
      </c>
      <c r="L284" s="2" t="s">
        <v>1627</v>
      </c>
      <c r="M284" s="2" t="s">
        <v>3438</v>
      </c>
      <c r="N284" s="2" t="s">
        <v>3439</v>
      </c>
      <c r="AN284" s="2" t="s">
        <v>1368</v>
      </c>
    </row>
    <row r="285" ht="15.75" customHeight="1">
      <c r="A285" s="2" t="s">
        <v>3440</v>
      </c>
      <c r="B285" s="2" t="s">
        <v>1361</v>
      </c>
      <c r="C285" s="2">
        <v>2012.0</v>
      </c>
      <c r="D285" s="2" t="s">
        <v>3441</v>
      </c>
      <c r="E285" s="2" t="s">
        <v>3442</v>
      </c>
      <c r="F285" s="2" t="s">
        <v>1863</v>
      </c>
      <c r="I285" s="2" t="s">
        <v>3443</v>
      </c>
      <c r="L285" s="2" t="s">
        <v>1405</v>
      </c>
      <c r="M285" s="2" t="s">
        <v>3444</v>
      </c>
      <c r="N285" s="2" t="s">
        <v>3445</v>
      </c>
      <c r="P285" s="2" t="s">
        <v>3446</v>
      </c>
      <c r="R285" s="2" t="s">
        <v>1506</v>
      </c>
      <c r="S285" s="2" t="s">
        <v>2799</v>
      </c>
      <c r="AN285" s="2" t="s">
        <v>1368</v>
      </c>
    </row>
    <row r="286" ht="15.75" customHeight="1">
      <c r="A286" s="2" t="s">
        <v>3447</v>
      </c>
      <c r="B286" s="2" t="s">
        <v>1361</v>
      </c>
      <c r="C286" s="2">
        <v>2010.0</v>
      </c>
      <c r="D286" s="2" t="s">
        <v>3448</v>
      </c>
      <c r="E286" s="2" t="s">
        <v>3449</v>
      </c>
      <c r="I286" s="2" t="s">
        <v>3450</v>
      </c>
      <c r="L286" s="2" t="s">
        <v>1449</v>
      </c>
      <c r="M286" s="2" t="s">
        <v>3451</v>
      </c>
      <c r="N286" s="2" t="s">
        <v>3452</v>
      </c>
      <c r="AN286" s="2" t="s">
        <v>1368</v>
      </c>
    </row>
    <row r="287" ht="15.75" customHeight="1">
      <c r="A287" s="2" t="s">
        <v>3453</v>
      </c>
      <c r="B287" s="2" t="s">
        <v>1361</v>
      </c>
      <c r="C287" s="2">
        <v>1992.0</v>
      </c>
      <c r="D287" s="2" t="s">
        <v>3454</v>
      </c>
      <c r="E287" s="2" t="s">
        <v>3455</v>
      </c>
      <c r="F287" s="2" t="s">
        <v>3456</v>
      </c>
      <c r="I287" s="2" t="s">
        <v>3457</v>
      </c>
      <c r="L287" s="2" t="s">
        <v>3458</v>
      </c>
      <c r="M287" s="2" t="s">
        <v>3459</v>
      </c>
      <c r="N287" s="2" t="s">
        <v>3460</v>
      </c>
      <c r="P287" s="2" t="s">
        <v>3461</v>
      </c>
      <c r="AN287" s="2" t="s">
        <v>1368</v>
      </c>
    </row>
    <row r="288" ht="15.75" customHeight="1">
      <c r="A288" s="2" t="s">
        <v>3462</v>
      </c>
      <c r="B288" s="2" t="s">
        <v>1361</v>
      </c>
      <c r="C288" s="2">
        <v>2015.0</v>
      </c>
      <c r="D288" s="2" t="s">
        <v>3463</v>
      </c>
      <c r="E288" s="2" t="s">
        <v>3464</v>
      </c>
      <c r="F288" s="2" t="s">
        <v>1363</v>
      </c>
      <c r="H288" s="2" t="s">
        <v>3465</v>
      </c>
      <c r="I288" s="2" t="s">
        <v>3466</v>
      </c>
      <c r="J288" s="2" t="s">
        <v>3467</v>
      </c>
      <c r="K288" s="2" t="s">
        <v>3468</v>
      </c>
      <c r="L288" s="2" t="s">
        <v>3469</v>
      </c>
      <c r="M288" s="2" t="s">
        <v>3470</v>
      </c>
      <c r="N288" s="2" t="s">
        <v>3471</v>
      </c>
      <c r="O288" s="2" t="s">
        <v>3472</v>
      </c>
      <c r="P288" s="2" t="s">
        <v>3473</v>
      </c>
      <c r="R288" s="2" t="s">
        <v>3474</v>
      </c>
      <c r="S288" s="2" t="s">
        <v>3475</v>
      </c>
      <c r="U288" s="2" t="s">
        <v>3476</v>
      </c>
      <c r="V288" s="2" t="s">
        <v>3477</v>
      </c>
      <c r="AC288" s="2" t="s">
        <v>1540</v>
      </c>
      <c r="AH288" s="2" t="s">
        <v>1541</v>
      </c>
      <c r="AN288" s="2" t="s">
        <v>3478</v>
      </c>
    </row>
    <row r="289" ht="15.75" customHeight="1">
      <c r="A289" s="2" t="s">
        <v>3479</v>
      </c>
      <c r="B289" s="2" t="s">
        <v>1361</v>
      </c>
      <c r="C289" s="2">
        <v>2012.0</v>
      </c>
      <c r="D289" s="2" t="s">
        <v>3480</v>
      </c>
      <c r="E289" s="2" t="s">
        <v>3481</v>
      </c>
      <c r="F289" s="2" t="s">
        <v>1510</v>
      </c>
      <c r="H289" s="2" t="s">
        <v>1546</v>
      </c>
      <c r="I289" s="2" t="s">
        <v>3482</v>
      </c>
      <c r="J289" s="2" t="s">
        <v>3483</v>
      </c>
      <c r="K289" s="2" t="s">
        <v>3484</v>
      </c>
      <c r="L289" s="2" t="s">
        <v>3485</v>
      </c>
      <c r="M289" s="2" t="s">
        <v>3486</v>
      </c>
      <c r="N289" s="2" t="s">
        <v>3487</v>
      </c>
      <c r="O289" s="2" t="s">
        <v>2134</v>
      </c>
      <c r="P289" s="2" t="s">
        <v>3488</v>
      </c>
      <c r="R289" s="2" t="s">
        <v>3489</v>
      </c>
      <c r="S289" s="2" t="s">
        <v>3490</v>
      </c>
      <c r="U289" s="2" t="s">
        <v>1510</v>
      </c>
      <c r="AC289" s="2" t="s">
        <v>1540</v>
      </c>
      <c r="AH289" s="2" t="s">
        <v>1541</v>
      </c>
      <c r="AN289" s="2" t="s">
        <v>1885</v>
      </c>
    </row>
    <row r="290" ht="15.75" customHeight="1">
      <c r="A290" s="2" t="s">
        <v>3491</v>
      </c>
      <c r="B290" s="2" t="s">
        <v>1361</v>
      </c>
      <c r="C290" s="2">
        <v>2015.0</v>
      </c>
      <c r="D290" s="2" t="s">
        <v>3492</v>
      </c>
      <c r="E290" s="2" t="s">
        <v>3493</v>
      </c>
      <c r="F290" s="2" t="s">
        <v>1789</v>
      </c>
      <c r="H290" s="2" t="s">
        <v>1790</v>
      </c>
      <c r="I290" s="2" t="s">
        <v>3494</v>
      </c>
      <c r="J290" s="2" t="s">
        <v>3495</v>
      </c>
      <c r="L290" s="2" t="s">
        <v>2220</v>
      </c>
      <c r="M290" s="2" t="s">
        <v>3496</v>
      </c>
      <c r="N290" s="2" t="s">
        <v>3497</v>
      </c>
      <c r="O290" s="2" t="s">
        <v>3498</v>
      </c>
      <c r="P290" s="2" t="s">
        <v>3499</v>
      </c>
      <c r="S290" s="2" t="s">
        <v>3037</v>
      </c>
      <c r="U290" s="2" t="s">
        <v>1789</v>
      </c>
      <c r="V290" s="2" t="s">
        <v>3500</v>
      </c>
      <c r="AC290" s="2" t="s">
        <v>1540</v>
      </c>
      <c r="AH290" s="2" t="s">
        <v>1541</v>
      </c>
      <c r="AN290" s="2" t="s">
        <v>3501</v>
      </c>
    </row>
    <row r="291" ht="15.75" customHeight="1">
      <c r="A291" s="2" t="s">
        <v>3502</v>
      </c>
      <c r="B291" s="2" t="s">
        <v>1361</v>
      </c>
      <c r="C291" s="2">
        <v>2010.0</v>
      </c>
      <c r="D291" s="2" t="s">
        <v>3503</v>
      </c>
      <c r="E291" s="2" t="s">
        <v>3504</v>
      </c>
      <c r="F291" s="2" t="s">
        <v>1760</v>
      </c>
      <c r="H291" s="2" t="s">
        <v>1761</v>
      </c>
      <c r="I291" s="2" t="s">
        <v>3505</v>
      </c>
      <c r="J291" s="2" t="s">
        <v>3506</v>
      </c>
      <c r="L291" s="2" t="s">
        <v>3507</v>
      </c>
      <c r="M291" s="2" t="s">
        <v>3508</v>
      </c>
      <c r="N291" s="2" t="s">
        <v>3509</v>
      </c>
      <c r="O291" s="2" t="s">
        <v>3510</v>
      </c>
      <c r="P291" s="2" t="s">
        <v>3511</v>
      </c>
      <c r="R291" s="2" t="s">
        <v>1937</v>
      </c>
      <c r="S291" s="2" t="s">
        <v>3136</v>
      </c>
      <c r="U291" s="2" t="s">
        <v>1760</v>
      </c>
      <c r="V291" s="2" t="s">
        <v>3512</v>
      </c>
      <c r="AC291" s="2" t="s">
        <v>1540</v>
      </c>
      <c r="AH291" s="2" t="s">
        <v>1541</v>
      </c>
      <c r="AN291" s="2" t="s">
        <v>1872</v>
      </c>
    </row>
    <row r="292" ht="15.75" customHeight="1">
      <c r="A292" s="2" t="s">
        <v>3513</v>
      </c>
      <c r="B292" s="2" t="s">
        <v>1361</v>
      </c>
      <c r="C292" s="2">
        <v>2007.0</v>
      </c>
      <c r="D292" s="2" t="s">
        <v>3514</v>
      </c>
      <c r="E292" s="2" t="s">
        <v>3515</v>
      </c>
      <c r="F292" s="2" t="s">
        <v>1587</v>
      </c>
      <c r="H292" s="2" t="s">
        <v>3516</v>
      </c>
      <c r="I292" s="2" t="s">
        <v>3517</v>
      </c>
      <c r="K292" s="2" t="s">
        <v>3518</v>
      </c>
      <c r="L292" s="2" t="s">
        <v>2380</v>
      </c>
      <c r="M292" s="2" t="s">
        <v>1385</v>
      </c>
      <c r="N292" s="2" t="s">
        <v>1386</v>
      </c>
      <c r="P292" s="2" t="s">
        <v>3519</v>
      </c>
      <c r="R292" s="2" t="s">
        <v>1937</v>
      </c>
      <c r="S292" s="2" t="s">
        <v>2840</v>
      </c>
      <c r="AN292" s="2" t="s">
        <v>1368</v>
      </c>
    </row>
    <row r="293" ht="15.75" customHeight="1">
      <c r="A293" s="2" t="s">
        <v>3520</v>
      </c>
      <c r="B293" s="2" t="s">
        <v>1361</v>
      </c>
      <c r="C293" s="2">
        <v>2015.0</v>
      </c>
      <c r="D293" s="2" t="s">
        <v>3521</v>
      </c>
      <c r="E293" s="2" t="s">
        <v>3522</v>
      </c>
      <c r="F293" s="2" t="s">
        <v>3523</v>
      </c>
      <c r="H293" s="2" t="s">
        <v>3524</v>
      </c>
      <c r="I293" s="2" t="s">
        <v>3525</v>
      </c>
      <c r="J293" s="2" t="s">
        <v>3526</v>
      </c>
      <c r="K293" s="2" t="s">
        <v>3527</v>
      </c>
      <c r="L293" s="2" t="s">
        <v>1373</v>
      </c>
      <c r="M293" s="2" t="s">
        <v>1385</v>
      </c>
      <c r="N293" s="2" t="s">
        <v>1386</v>
      </c>
      <c r="P293" s="2" t="s">
        <v>3349</v>
      </c>
      <c r="R293" s="2" t="s">
        <v>3528</v>
      </c>
      <c r="S293" s="2" t="s">
        <v>3529</v>
      </c>
      <c r="AN293" s="2" t="s">
        <v>1368</v>
      </c>
    </row>
    <row r="294" ht="15.75" customHeight="1">
      <c r="A294" s="2" t="s">
        <v>3530</v>
      </c>
      <c r="B294" s="2" t="s">
        <v>1361</v>
      </c>
      <c r="C294" s="2">
        <v>2001.0</v>
      </c>
      <c r="D294" s="2" t="s">
        <v>3531</v>
      </c>
      <c r="E294" s="2" t="s">
        <v>3532</v>
      </c>
      <c r="F294" s="2" t="s">
        <v>3533</v>
      </c>
      <c r="I294" s="2" t="s">
        <v>3534</v>
      </c>
      <c r="J294" s="2" t="s">
        <v>3535</v>
      </c>
      <c r="L294" s="2" t="s">
        <v>3536</v>
      </c>
      <c r="M294" s="2" t="s">
        <v>1385</v>
      </c>
      <c r="N294" s="2" t="s">
        <v>1386</v>
      </c>
      <c r="P294" s="2" t="s">
        <v>3282</v>
      </c>
      <c r="R294" s="2" t="s">
        <v>1453</v>
      </c>
      <c r="S294" s="2" t="s">
        <v>1620</v>
      </c>
      <c r="AN294" s="2" t="s">
        <v>2244</v>
      </c>
    </row>
    <row r="295" ht="15.75" customHeight="1">
      <c r="A295" s="2" t="s">
        <v>3537</v>
      </c>
      <c r="B295" s="2" t="s">
        <v>1361</v>
      </c>
      <c r="C295" s="2">
        <v>2008.0</v>
      </c>
      <c r="D295" s="2" t="s">
        <v>3538</v>
      </c>
      <c r="E295" s="2" t="s">
        <v>3539</v>
      </c>
      <c r="F295" s="2" t="s">
        <v>1510</v>
      </c>
      <c r="H295" s="2" t="s">
        <v>3540</v>
      </c>
      <c r="I295" s="2" t="s">
        <v>3541</v>
      </c>
      <c r="J295" s="2" t="s">
        <v>3542</v>
      </c>
      <c r="K295" s="2" t="s">
        <v>3543</v>
      </c>
      <c r="L295" s="2" t="s">
        <v>3544</v>
      </c>
      <c r="M295" s="2" t="s">
        <v>1385</v>
      </c>
      <c r="N295" s="2" t="s">
        <v>1386</v>
      </c>
      <c r="P295" s="2" t="s">
        <v>3545</v>
      </c>
      <c r="R295" s="2" t="s">
        <v>3546</v>
      </c>
      <c r="S295" s="2" t="s">
        <v>3547</v>
      </c>
      <c r="AN295" s="2" t="s">
        <v>3548</v>
      </c>
    </row>
    <row r="296" ht="15.75" customHeight="1">
      <c r="A296" s="2" t="s">
        <v>3549</v>
      </c>
      <c r="B296" s="2" t="s">
        <v>1623</v>
      </c>
      <c r="C296" s="2">
        <v>2006.0</v>
      </c>
      <c r="D296" s="2" t="s">
        <v>3550</v>
      </c>
      <c r="E296" s="2" t="s">
        <v>3551</v>
      </c>
      <c r="J296" s="2" t="s">
        <v>3552</v>
      </c>
      <c r="L296" s="2" t="s">
        <v>1727</v>
      </c>
      <c r="M296" s="2" t="s">
        <v>1385</v>
      </c>
      <c r="N296" s="2" t="s">
        <v>1386</v>
      </c>
      <c r="P296" s="2" t="s">
        <v>3528</v>
      </c>
      <c r="Z296" s="2" t="s">
        <v>3553</v>
      </c>
      <c r="AA296" s="2" t="s">
        <v>3554</v>
      </c>
      <c r="AB296" s="2" t="s">
        <v>3555</v>
      </c>
      <c r="AN296" s="2" t="s">
        <v>1368</v>
      </c>
    </row>
    <row r="297" ht="15.75" customHeight="1">
      <c r="A297" s="2" t="s">
        <v>3556</v>
      </c>
      <c r="B297" s="2" t="s">
        <v>1623</v>
      </c>
      <c r="C297" s="2">
        <v>2018.0</v>
      </c>
      <c r="D297" s="2" t="s">
        <v>3557</v>
      </c>
      <c r="E297" s="2" t="s">
        <v>3558</v>
      </c>
      <c r="J297" s="2" t="s">
        <v>3559</v>
      </c>
      <c r="L297" s="2" t="s">
        <v>1420</v>
      </c>
      <c r="M297" s="2" t="s">
        <v>1385</v>
      </c>
      <c r="N297" s="2" t="s">
        <v>1386</v>
      </c>
      <c r="AN297" s="2" t="s">
        <v>1368</v>
      </c>
    </row>
    <row r="298" ht="15.75" customHeight="1">
      <c r="A298" s="2" t="s">
        <v>3560</v>
      </c>
      <c r="B298" s="2" t="s">
        <v>1623</v>
      </c>
      <c r="C298" s="2">
        <v>2016.0</v>
      </c>
      <c r="D298" s="2" t="s">
        <v>3561</v>
      </c>
      <c r="E298" s="2" t="s">
        <v>3562</v>
      </c>
      <c r="J298" s="2" t="s">
        <v>3563</v>
      </c>
      <c r="L298" s="2" t="s">
        <v>1502</v>
      </c>
      <c r="M298" s="2" t="s">
        <v>1385</v>
      </c>
      <c r="N298" s="2" t="s">
        <v>1386</v>
      </c>
      <c r="P298" s="2" t="s">
        <v>2271</v>
      </c>
      <c r="AA298" s="2" t="s">
        <v>3564</v>
      </c>
      <c r="AN298" s="2" t="s">
        <v>1368</v>
      </c>
    </row>
    <row r="299" ht="15.75" customHeight="1">
      <c r="A299" s="2" t="s">
        <v>3565</v>
      </c>
      <c r="B299" s="2" t="s">
        <v>1396</v>
      </c>
      <c r="C299" s="2">
        <v>2001.0</v>
      </c>
      <c r="D299" s="2" t="s">
        <v>3566</v>
      </c>
      <c r="E299" s="2" t="s">
        <v>3567</v>
      </c>
      <c r="G299" s="2" t="s">
        <v>3568</v>
      </c>
      <c r="J299" s="2" t="s">
        <v>3569</v>
      </c>
      <c r="K299" s="2" t="s">
        <v>3570</v>
      </c>
      <c r="L299" s="2" t="s">
        <v>1414</v>
      </c>
      <c r="M299" s="2" t="s">
        <v>1385</v>
      </c>
      <c r="N299" s="2" t="s">
        <v>1386</v>
      </c>
      <c r="AA299" s="2" t="s">
        <v>3571</v>
      </c>
      <c r="AB299" s="2" t="s">
        <v>1401</v>
      </c>
      <c r="AN299" s="2" t="s">
        <v>1368</v>
      </c>
    </row>
    <row r="300" ht="15.75" customHeight="1">
      <c r="A300" s="2" t="s">
        <v>3572</v>
      </c>
      <c r="B300" s="2" t="s">
        <v>1781</v>
      </c>
      <c r="C300" s="2">
        <v>2014.0</v>
      </c>
      <c r="D300" s="2" t="s">
        <v>3573</v>
      </c>
      <c r="E300" s="2" t="s">
        <v>3574</v>
      </c>
      <c r="L300" s="2" t="s">
        <v>1476</v>
      </c>
      <c r="M300" s="2" t="s">
        <v>1385</v>
      </c>
      <c r="N300" s="2" t="s">
        <v>1386</v>
      </c>
      <c r="AN300" s="2" t="s">
        <v>1368</v>
      </c>
    </row>
    <row r="301" ht="15.75" customHeight="1">
      <c r="A301" s="2" t="s">
        <v>3575</v>
      </c>
      <c r="B301" s="2" t="s">
        <v>1361</v>
      </c>
      <c r="C301" s="2">
        <v>2004.0</v>
      </c>
      <c r="D301" s="2" t="s">
        <v>3576</v>
      </c>
      <c r="E301" s="2" t="s">
        <v>3577</v>
      </c>
      <c r="F301" s="2" t="s">
        <v>3578</v>
      </c>
      <c r="H301" s="2" t="s">
        <v>3579</v>
      </c>
      <c r="I301" s="2" t="s">
        <v>3580</v>
      </c>
      <c r="J301" s="2" t="s">
        <v>3581</v>
      </c>
      <c r="K301" s="2" t="s">
        <v>3582</v>
      </c>
      <c r="L301" s="2" t="s">
        <v>3583</v>
      </c>
      <c r="M301" s="2" t="s">
        <v>1385</v>
      </c>
      <c r="N301" s="2" t="s">
        <v>1386</v>
      </c>
      <c r="P301" s="2" t="s">
        <v>3584</v>
      </c>
      <c r="R301" s="2" t="s">
        <v>1453</v>
      </c>
      <c r="S301" s="2" t="s">
        <v>2877</v>
      </c>
      <c r="AN301" s="2" t="s">
        <v>1368</v>
      </c>
    </row>
    <row r="302" ht="15.75" customHeight="1">
      <c r="A302" s="2" t="s">
        <v>3585</v>
      </c>
      <c r="B302" s="2" t="s">
        <v>1396</v>
      </c>
      <c r="C302" s="2">
        <v>2004.0</v>
      </c>
      <c r="D302" s="2" t="s">
        <v>3586</v>
      </c>
      <c r="E302" s="2" t="s">
        <v>3587</v>
      </c>
      <c r="L302" s="2" t="s">
        <v>2373</v>
      </c>
      <c r="M302" s="2" t="s">
        <v>1385</v>
      </c>
      <c r="N302" s="2" t="s">
        <v>1386</v>
      </c>
      <c r="AA302" s="2" t="s">
        <v>3588</v>
      </c>
      <c r="AN302" s="2" t="s">
        <v>1368</v>
      </c>
    </row>
    <row r="303" ht="15.75" customHeight="1">
      <c r="A303" s="2" t="s">
        <v>3589</v>
      </c>
      <c r="B303" s="2" t="s">
        <v>1361</v>
      </c>
      <c r="C303" s="2">
        <v>1996.0</v>
      </c>
      <c r="D303" s="2" t="s">
        <v>3590</v>
      </c>
      <c r="E303" s="2" t="s">
        <v>3591</v>
      </c>
      <c r="F303" s="2" t="s">
        <v>3592</v>
      </c>
      <c r="H303" s="2" t="s">
        <v>3593</v>
      </c>
      <c r="I303" s="2" t="s">
        <v>3594</v>
      </c>
      <c r="K303" s="2" t="s">
        <v>3595</v>
      </c>
      <c r="L303" s="2" t="s">
        <v>2492</v>
      </c>
      <c r="M303" s="2" t="s">
        <v>1385</v>
      </c>
      <c r="N303" s="2" t="s">
        <v>1386</v>
      </c>
      <c r="P303" s="2" t="s">
        <v>3596</v>
      </c>
      <c r="R303" s="2" t="s">
        <v>1600</v>
      </c>
      <c r="S303" s="2" t="s">
        <v>1537</v>
      </c>
      <c r="AN303" s="2" t="s">
        <v>1368</v>
      </c>
    </row>
    <row r="304" ht="15.75" customHeight="1">
      <c r="A304" s="2" t="s">
        <v>3597</v>
      </c>
      <c r="B304" s="2" t="s">
        <v>1361</v>
      </c>
      <c r="C304" s="2">
        <v>1998.0</v>
      </c>
      <c r="D304" s="2" t="s">
        <v>3598</v>
      </c>
      <c r="E304" s="2" t="s">
        <v>3599</v>
      </c>
      <c r="F304" s="2" t="s">
        <v>3600</v>
      </c>
      <c r="H304" s="2" t="s">
        <v>3601</v>
      </c>
      <c r="I304" s="2" t="s">
        <v>3602</v>
      </c>
      <c r="K304" s="2" t="s">
        <v>3603</v>
      </c>
      <c r="L304" s="2" t="s">
        <v>1958</v>
      </c>
      <c r="M304" s="2" t="s">
        <v>1385</v>
      </c>
      <c r="N304" s="2" t="s">
        <v>1386</v>
      </c>
      <c r="AN304" s="2" t="s">
        <v>1368</v>
      </c>
    </row>
    <row r="305" ht="15.75" customHeight="1">
      <c r="A305" s="2" t="s">
        <v>3604</v>
      </c>
      <c r="B305" s="2" t="s">
        <v>1396</v>
      </c>
      <c r="C305" s="2">
        <v>1973.0</v>
      </c>
      <c r="D305" s="2" t="s">
        <v>3605</v>
      </c>
      <c r="E305" s="2" t="s">
        <v>3606</v>
      </c>
      <c r="L305" s="2" t="s">
        <v>3607</v>
      </c>
      <c r="M305" s="2" t="s">
        <v>1385</v>
      </c>
      <c r="N305" s="2" t="s">
        <v>1386</v>
      </c>
      <c r="AA305" s="2" t="s">
        <v>3608</v>
      </c>
      <c r="AB305" s="2" t="s">
        <v>3609</v>
      </c>
      <c r="AN305" s="2" t="s">
        <v>1368</v>
      </c>
    </row>
    <row r="306" ht="15.75" customHeight="1">
      <c r="A306" s="2" t="s">
        <v>3610</v>
      </c>
      <c r="B306" s="2" t="s">
        <v>1361</v>
      </c>
      <c r="C306" s="2">
        <v>2018.0</v>
      </c>
      <c r="D306" s="2" t="s">
        <v>3611</v>
      </c>
      <c r="E306" s="2" t="s">
        <v>3612</v>
      </c>
      <c r="F306" s="2" t="s">
        <v>3613</v>
      </c>
      <c r="H306" s="2" t="s">
        <v>3614</v>
      </c>
      <c r="I306" s="2" t="s">
        <v>3615</v>
      </c>
      <c r="K306" s="2" t="s">
        <v>3616</v>
      </c>
      <c r="L306" s="2" t="s">
        <v>3617</v>
      </c>
      <c r="M306" s="2" t="s">
        <v>1385</v>
      </c>
      <c r="N306" s="2" t="s">
        <v>1386</v>
      </c>
      <c r="P306" s="2" t="s">
        <v>3618</v>
      </c>
      <c r="R306" s="2" t="s">
        <v>3619</v>
      </c>
      <c r="S306" s="2" t="s">
        <v>2237</v>
      </c>
      <c r="AN306" s="2" t="s">
        <v>1368</v>
      </c>
    </row>
    <row r="307" ht="15.75" customHeight="1">
      <c r="A307" s="2" t="s">
        <v>3620</v>
      </c>
      <c r="B307" s="2" t="s">
        <v>1361</v>
      </c>
      <c r="C307" s="2">
        <v>2006.0</v>
      </c>
      <c r="D307" s="2" t="s">
        <v>3621</v>
      </c>
      <c r="E307" s="2" t="s">
        <v>3622</v>
      </c>
      <c r="F307" s="2" t="s">
        <v>3623</v>
      </c>
      <c r="H307" s="2" t="s">
        <v>3624</v>
      </c>
      <c r="I307" s="2" t="s">
        <v>3625</v>
      </c>
      <c r="K307" s="2" t="s">
        <v>3626</v>
      </c>
      <c r="L307" s="2" t="s">
        <v>1727</v>
      </c>
      <c r="M307" s="2" t="s">
        <v>1385</v>
      </c>
      <c r="N307" s="2" t="s">
        <v>1386</v>
      </c>
      <c r="P307" s="2" t="s">
        <v>3627</v>
      </c>
      <c r="R307" s="2" t="s">
        <v>1462</v>
      </c>
      <c r="S307" s="2" t="s">
        <v>3628</v>
      </c>
      <c r="AN307" s="2" t="s">
        <v>1368</v>
      </c>
    </row>
    <row r="308" ht="15.75" customHeight="1">
      <c r="A308" s="2" t="s">
        <v>3629</v>
      </c>
      <c r="B308" s="2" t="s">
        <v>1361</v>
      </c>
      <c r="C308" s="2">
        <v>2001.0</v>
      </c>
      <c r="D308" s="2" t="s">
        <v>3630</v>
      </c>
      <c r="E308" s="2" t="s">
        <v>3631</v>
      </c>
      <c r="F308" s="2" t="s">
        <v>3632</v>
      </c>
      <c r="H308" s="2" t="s">
        <v>3633</v>
      </c>
      <c r="I308" s="2" t="s">
        <v>3634</v>
      </c>
      <c r="K308" s="2" t="s">
        <v>3635</v>
      </c>
      <c r="L308" s="2" t="s">
        <v>1414</v>
      </c>
      <c r="M308" s="2" t="s">
        <v>1385</v>
      </c>
      <c r="N308" s="2" t="s">
        <v>1386</v>
      </c>
      <c r="AN308" s="2" t="s">
        <v>1368</v>
      </c>
    </row>
    <row r="309" ht="15.75" customHeight="1">
      <c r="A309" s="2" t="s">
        <v>3636</v>
      </c>
      <c r="B309" s="2" t="s">
        <v>1361</v>
      </c>
      <c r="C309" s="2">
        <v>2004.0</v>
      </c>
      <c r="D309" s="2" t="s">
        <v>3621</v>
      </c>
      <c r="E309" s="2" t="s">
        <v>3637</v>
      </c>
      <c r="F309" s="2" t="s">
        <v>1863</v>
      </c>
      <c r="H309" s="2" t="s">
        <v>1864</v>
      </c>
      <c r="I309" s="2" t="s">
        <v>3638</v>
      </c>
      <c r="K309" s="2" t="s">
        <v>3639</v>
      </c>
      <c r="L309" s="2" t="s">
        <v>2373</v>
      </c>
      <c r="M309" s="2" t="s">
        <v>1385</v>
      </c>
      <c r="N309" s="2" t="s">
        <v>1386</v>
      </c>
      <c r="P309" s="2" t="s">
        <v>3640</v>
      </c>
      <c r="R309" s="2" t="s">
        <v>1462</v>
      </c>
      <c r="S309" s="2" t="s">
        <v>2730</v>
      </c>
      <c r="AN309" s="2" t="s">
        <v>1368</v>
      </c>
    </row>
    <row r="310" ht="15.75" customHeight="1">
      <c r="A310" s="2" t="s">
        <v>3641</v>
      </c>
      <c r="B310" s="2" t="s">
        <v>1361</v>
      </c>
      <c r="C310" s="2">
        <v>2004.0</v>
      </c>
      <c r="D310" s="2" t="s">
        <v>3642</v>
      </c>
      <c r="E310" s="2" t="s">
        <v>1107</v>
      </c>
      <c r="F310" s="2" t="s">
        <v>3643</v>
      </c>
      <c r="H310" s="2" t="s">
        <v>3644</v>
      </c>
      <c r="I310" s="2" t="s">
        <v>1110</v>
      </c>
      <c r="L310" s="2" t="s">
        <v>2373</v>
      </c>
      <c r="M310" s="2" t="s">
        <v>1385</v>
      </c>
      <c r="N310" s="2" t="s">
        <v>1386</v>
      </c>
      <c r="P310" s="2" t="s">
        <v>3645</v>
      </c>
      <c r="R310" s="2" t="s">
        <v>1600</v>
      </c>
      <c r="S310" s="2" t="s">
        <v>3646</v>
      </c>
      <c r="AN310" s="2" t="s">
        <v>1368</v>
      </c>
    </row>
    <row r="311" ht="15.75" customHeight="1">
      <c r="A311" s="2" t="s">
        <v>3647</v>
      </c>
      <c r="B311" s="2" t="s">
        <v>1766</v>
      </c>
      <c r="C311" s="2">
        <v>2012.0</v>
      </c>
      <c r="D311" s="2" t="s">
        <v>3648</v>
      </c>
      <c r="E311" s="2" t="s">
        <v>3649</v>
      </c>
      <c r="F311" s="2" t="s">
        <v>3650</v>
      </c>
      <c r="G311" s="2" t="s">
        <v>3651</v>
      </c>
      <c r="K311" s="2" t="s">
        <v>3652</v>
      </c>
      <c r="L311" s="2" t="s">
        <v>1405</v>
      </c>
      <c r="M311" s="2" t="s">
        <v>1385</v>
      </c>
      <c r="N311" s="2" t="s">
        <v>1386</v>
      </c>
      <c r="AA311" s="2" t="s">
        <v>3653</v>
      </c>
      <c r="AC311" s="2" t="s">
        <v>3263</v>
      </c>
      <c r="AN311" s="2" t="s">
        <v>1368</v>
      </c>
      <c r="AP311" s="2" t="s">
        <v>3654</v>
      </c>
    </row>
    <row r="312" ht="15.75" customHeight="1">
      <c r="A312" s="2" t="s">
        <v>3655</v>
      </c>
      <c r="B312" s="2" t="s">
        <v>1396</v>
      </c>
      <c r="C312" s="2">
        <v>1964.0</v>
      </c>
      <c r="D312" s="2" t="s">
        <v>3656</v>
      </c>
      <c r="E312" s="2" t="s">
        <v>3657</v>
      </c>
      <c r="L312" s="2" t="s">
        <v>3658</v>
      </c>
      <c r="M312" s="2" t="s">
        <v>1385</v>
      </c>
      <c r="N312" s="2" t="s">
        <v>1386</v>
      </c>
      <c r="AA312" s="2" t="s">
        <v>1639</v>
      </c>
      <c r="AN312" s="2" t="s">
        <v>1368</v>
      </c>
    </row>
    <row r="313" ht="15.75" customHeight="1">
      <c r="A313" s="2" t="s">
        <v>3659</v>
      </c>
      <c r="B313" s="2" t="s">
        <v>1361</v>
      </c>
      <c r="C313" s="2">
        <v>2003.0</v>
      </c>
      <c r="D313" s="2" t="s">
        <v>3660</v>
      </c>
      <c r="E313" s="2" t="s">
        <v>3661</v>
      </c>
      <c r="F313" s="2" t="s">
        <v>1425</v>
      </c>
      <c r="H313" s="2" t="s">
        <v>1426</v>
      </c>
      <c r="I313" s="2" t="s">
        <v>3662</v>
      </c>
      <c r="L313" s="2" t="s">
        <v>3663</v>
      </c>
      <c r="M313" s="2" t="s">
        <v>1385</v>
      </c>
      <c r="N313" s="2" t="s">
        <v>1386</v>
      </c>
      <c r="P313" s="2" t="s">
        <v>3664</v>
      </c>
      <c r="R313" s="2" t="s">
        <v>1600</v>
      </c>
      <c r="S313" s="2" t="s">
        <v>3665</v>
      </c>
      <c r="AN313" s="2" t="s">
        <v>1368</v>
      </c>
    </row>
    <row r="314" ht="15.75" customHeight="1">
      <c r="A314" s="2" t="s">
        <v>3666</v>
      </c>
      <c r="B314" s="2" t="s">
        <v>1396</v>
      </c>
      <c r="C314" s="2">
        <v>2013.0</v>
      </c>
      <c r="D314" s="2" t="s">
        <v>3667</v>
      </c>
      <c r="E314" s="2" t="s">
        <v>3668</v>
      </c>
      <c r="L314" s="2" t="s">
        <v>1429</v>
      </c>
      <c r="M314" s="2" t="s">
        <v>1385</v>
      </c>
      <c r="N314" s="2" t="s">
        <v>1386</v>
      </c>
      <c r="AA314" s="2" t="s">
        <v>2476</v>
      </c>
      <c r="AN314" s="2" t="s">
        <v>1368</v>
      </c>
    </row>
    <row r="315" ht="15.75" customHeight="1">
      <c r="A315" s="2" t="s">
        <v>3669</v>
      </c>
      <c r="B315" s="2" t="s">
        <v>1361</v>
      </c>
      <c r="C315" s="2">
        <v>1994.0</v>
      </c>
      <c r="D315" s="2" t="s">
        <v>3670</v>
      </c>
      <c r="E315" s="2" t="s">
        <v>3671</v>
      </c>
      <c r="F315" s="2" t="s">
        <v>1672</v>
      </c>
      <c r="H315" s="2" t="s">
        <v>3672</v>
      </c>
      <c r="I315" s="2" t="s">
        <v>3673</v>
      </c>
      <c r="K315" s="2" t="s">
        <v>3674</v>
      </c>
      <c r="L315" s="2" t="s">
        <v>2327</v>
      </c>
      <c r="M315" s="2" t="s">
        <v>1385</v>
      </c>
      <c r="N315" s="2" t="s">
        <v>1386</v>
      </c>
      <c r="AN315" s="2" t="s">
        <v>1368</v>
      </c>
    </row>
    <row r="316" ht="15.75" customHeight="1">
      <c r="A316" s="2" t="s">
        <v>3675</v>
      </c>
      <c r="B316" s="2" t="s">
        <v>1766</v>
      </c>
      <c r="C316" s="2">
        <v>2018.0</v>
      </c>
      <c r="D316" s="2" t="s">
        <v>3676</v>
      </c>
      <c r="E316" s="2" t="s">
        <v>3677</v>
      </c>
      <c r="F316" s="2" t="s">
        <v>3678</v>
      </c>
      <c r="L316" s="2" t="s">
        <v>1420</v>
      </c>
      <c r="M316" s="2" t="s">
        <v>1385</v>
      </c>
      <c r="N316" s="2" t="s">
        <v>1386</v>
      </c>
      <c r="AN316" s="2" t="s">
        <v>1368</v>
      </c>
      <c r="AP316" s="2" t="s">
        <v>3679</v>
      </c>
    </row>
    <row r="317" ht="15.75" customHeight="1">
      <c r="A317" s="2" t="s">
        <v>3680</v>
      </c>
      <c r="B317" s="2" t="s">
        <v>1766</v>
      </c>
      <c r="C317" s="2">
        <v>2008.0</v>
      </c>
      <c r="D317" s="2" t="s">
        <v>3681</v>
      </c>
      <c r="E317" s="2" t="s">
        <v>3682</v>
      </c>
      <c r="F317" s="2" t="s">
        <v>3683</v>
      </c>
      <c r="L317" s="2" t="s">
        <v>1458</v>
      </c>
      <c r="M317" s="2" t="s">
        <v>1385</v>
      </c>
      <c r="N317" s="2" t="s">
        <v>1386</v>
      </c>
      <c r="AA317" s="2" t="s">
        <v>3684</v>
      </c>
      <c r="AN317" s="2" t="s">
        <v>1368</v>
      </c>
      <c r="AP317" s="2" t="s">
        <v>3685</v>
      </c>
    </row>
    <row r="318" ht="15.75" customHeight="1">
      <c r="A318" s="2" t="s">
        <v>3686</v>
      </c>
      <c r="B318" s="2" t="s">
        <v>1361</v>
      </c>
      <c r="C318" s="2">
        <v>2010.0</v>
      </c>
      <c r="D318" s="2" t="s">
        <v>3687</v>
      </c>
      <c r="E318" s="2" t="s">
        <v>3688</v>
      </c>
      <c r="F318" s="2" t="s">
        <v>3689</v>
      </c>
      <c r="H318" s="2" t="s">
        <v>3690</v>
      </c>
      <c r="I318" s="2" t="s">
        <v>3691</v>
      </c>
      <c r="K318" s="2" t="s">
        <v>3692</v>
      </c>
      <c r="L318" s="2" t="s">
        <v>3693</v>
      </c>
      <c r="M318" s="2" t="s">
        <v>1385</v>
      </c>
      <c r="N318" s="2" t="s">
        <v>1386</v>
      </c>
      <c r="P318" s="2" t="s">
        <v>3694</v>
      </c>
      <c r="R318" s="2" t="s">
        <v>1462</v>
      </c>
      <c r="S318" s="2" t="s">
        <v>1453</v>
      </c>
      <c r="AN318" s="2" t="s">
        <v>1368</v>
      </c>
    </row>
    <row r="319" ht="15.75" customHeight="1">
      <c r="A319" s="2" t="s">
        <v>3695</v>
      </c>
      <c r="B319" s="2" t="s">
        <v>1361</v>
      </c>
      <c r="C319" s="2">
        <v>2009.0</v>
      </c>
      <c r="D319" s="2" t="s">
        <v>3696</v>
      </c>
      <c r="E319" s="2" t="s">
        <v>3697</v>
      </c>
      <c r="F319" s="2" t="s">
        <v>1688</v>
      </c>
      <c r="H319" s="2" t="s">
        <v>1689</v>
      </c>
      <c r="I319" s="2" t="s">
        <v>3698</v>
      </c>
      <c r="K319" s="2" t="s">
        <v>3699</v>
      </c>
      <c r="L319" s="2" t="s">
        <v>1364</v>
      </c>
      <c r="M319" s="2" t="s">
        <v>1385</v>
      </c>
      <c r="N319" s="2" t="s">
        <v>1386</v>
      </c>
      <c r="P319" s="2" t="s">
        <v>3700</v>
      </c>
      <c r="R319" s="2" t="s">
        <v>2042</v>
      </c>
      <c r="S319" s="2" t="s">
        <v>3701</v>
      </c>
      <c r="AN319" s="2" t="s">
        <v>1368</v>
      </c>
    </row>
    <row r="320" ht="15.75" customHeight="1">
      <c r="A320" s="2" t="s">
        <v>3702</v>
      </c>
      <c r="B320" s="2" t="s">
        <v>1361</v>
      </c>
      <c r="C320" s="2">
        <v>2013.0</v>
      </c>
      <c r="D320" s="2" t="s">
        <v>3703</v>
      </c>
      <c r="E320" s="2" t="s">
        <v>3704</v>
      </c>
      <c r="F320" s="2" t="s">
        <v>3705</v>
      </c>
      <c r="H320" s="2" t="s">
        <v>3706</v>
      </c>
      <c r="I320" s="2" t="s">
        <v>3707</v>
      </c>
      <c r="K320" s="2" t="s">
        <v>3708</v>
      </c>
      <c r="L320" s="2" t="s">
        <v>1429</v>
      </c>
      <c r="M320" s="2" t="s">
        <v>1385</v>
      </c>
      <c r="N320" s="2" t="s">
        <v>1386</v>
      </c>
      <c r="P320" s="2" t="s">
        <v>3709</v>
      </c>
      <c r="R320" s="2" t="s">
        <v>1600</v>
      </c>
      <c r="S320" s="2" t="s">
        <v>1620</v>
      </c>
      <c r="AN320" s="2" t="s">
        <v>1368</v>
      </c>
    </row>
    <row r="321" ht="15.75" customHeight="1">
      <c r="A321" s="2" t="s">
        <v>3710</v>
      </c>
      <c r="B321" s="2" t="s">
        <v>1361</v>
      </c>
      <c r="C321" s="2">
        <v>2011.0</v>
      </c>
      <c r="D321" s="2" t="s">
        <v>3711</v>
      </c>
      <c r="E321" s="2" t="s">
        <v>3712</v>
      </c>
      <c r="F321" s="2" t="s">
        <v>3713</v>
      </c>
      <c r="H321" s="2" t="s">
        <v>3714</v>
      </c>
      <c r="I321" s="2" t="s">
        <v>3715</v>
      </c>
      <c r="K321" s="2" t="s">
        <v>3716</v>
      </c>
      <c r="L321" s="2" t="s">
        <v>1627</v>
      </c>
      <c r="M321" s="2" t="s">
        <v>1385</v>
      </c>
      <c r="N321" s="2" t="s">
        <v>1386</v>
      </c>
      <c r="AN321" s="2" t="s">
        <v>1368</v>
      </c>
    </row>
    <row r="322" ht="15.75" customHeight="1">
      <c r="A322" s="2" t="s">
        <v>3717</v>
      </c>
      <c r="B322" s="2" t="s">
        <v>1361</v>
      </c>
      <c r="C322" s="2">
        <v>2013.0</v>
      </c>
      <c r="D322" s="2" t="s">
        <v>3718</v>
      </c>
      <c r="E322" s="2" t="s">
        <v>3719</v>
      </c>
      <c r="F322" s="2" t="s">
        <v>1760</v>
      </c>
      <c r="I322" s="2" t="s">
        <v>3720</v>
      </c>
      <c r="L322" s="2" t="s">
        <v>1429</v>
      </c>
      <c r="M322" s="2" t="s">
        <v>3721</v>
      </c>
      <c r="N322" s="2" t="s">
        <v>3722</v>
      </c>
      <c r="P322" s="2" t="s">
        <v>3723</v>
      </c>
      <c r="S322" s="2">
        <v>85.0</v>
      </c>
      <c r="AN322" s="2" t="s">
        <v>1368</v>
      </c>
    </row>
    <row r="323" ht="15.75" customHeight="1">
      <c r="A323" s="2" t="s">
        <v>3724</v>
      </c>
      <c r="B323" s="2" t="s">
        <v>1361</v>
      </c>
      <c r="C323" s="2">
        <v>2007.0</v>
      </c>
      <c r="D323" s="2" t="s">
        <v>3725</v>
      </c>
      <c r="E323" s="2" t="s">
        <v>3726</v>
      </c>
      <c r="F323" s="2" t="s">
        <v>2400</v>
      </c>
      <c r="H323" s="2" t="s">
        <v>2401</v>
      </c>
      <c r="I323" s="2" t="s">
        <v>3727</v>
      </c>
      <c r="J323" s="2" t="s">
        <v>3728</v>
      </c>
      <c r="L323" s="2" t="s">
        <v>2380</v>
      </c>
      <c r="M323" s="2" t="s">
        <v>1385</v>
      </c>
      <c r="N323" s="2" t="s">
        <v>1386</v>
      </c>
      <c r="P323" s="2" t="s">
        <v>3729</v>
      </c>
      <c r="R323" s="2">
        <v>1.0</v>
      </c>
      <c r="S323" s="2">
        <v>27.0</v>
      </c>
      <c r="AN323" s="2" t="s">
        <v>1368</v>
      </c>
    </row>
    <row r="324" ht="15.75" customHeight="1">
      <c r="A324" s="2" t="s">
        <v>3730</v>
      </c>
      <c r="B324" s="2" t="s">
        <v>1361</v>
      </c>
      <c r="C324" s="2">
        <v>2017.0</v>
      </c>
      <c r="D324" s="2" t="s">
        <v>3731</v>
      </c>
      <c r="E324" s="2" t="s">
        <v>3732</v>
      </c>
      <c r="F324" s="2" t="s">
        <v>3733</v>
      </c>
      <c r="H324" s="2" t="s">
        <v>3734</v>
      </c>
      <c r="I324" s="2" t="s">
        <v>3735</v>
      </c>
      <c r="J324" s="2" t="s">
        <v>3736</v>
      </c>
      <c r="L324" s="2" t="s">
        <v>1658</v>
      </c>
      <c r="M324" s="2" t="s">
        <v>1385</v>
      </c>
      <c r="N324" s="2" t="s">
        <v>1386</v>
      </c>
      <c r="P324" s="2" t="s">
        <v>3737</v>
      </c>
      <c r="S324" s="2">
        <v>27.0</v>
      </c>
      <c r="AN324" s="2" t="s">
        <v>1368</v>
      </c>
    </row>
    <row r="325" ht="15.75" customHeight="1">
      <c r="A325" s="2" t="s">
        <v>3738</v>
      </c>
      <c r="B325" s="2" t="s">
        <v>1361</v>
      </c>
      <c r="C325" s="2">
        <v>2009.0</v>
      </c>
      <c r="D325" s="2" t="s">
        <v>3739</v>
      </c>
      <c r="E325" s="2" t="s">
        <v>3740</v>
      </c>
      <c r="F325" s="2" t="s">
        <v>3741</v>
      </c>
      <c r="H325" s="2" t="s">
        <v>3742</v>
      </c>
      <c r="I325" s="2" t="s">
        <v>3743</v>
      </c>
      <c r="J325" s="2" t="s">
        <v>3744</v>
      </c>
      <c r="K325" s="2" t="s">
        <v>3745</v>
      </c>
      <c r="L325" s="2" t="s">
        <v>3746</v>
      </c>
      <c r="M325" s="2" t="s">
        <v>1385</v>
      </c>
      <c r="N325" s="2" t="s">
        <v>1386</v>
      </c>
      <c r="P325" s="2" t="s">
        <v>3747</v>
      </c>
      <c r="R325" s="2">
        <v>6.0</v>
      </c>
      <c r="S325" s="2">
        <v>7.0</v>
      </c>
      <c r="AN325" s="2" t="s">
        <v>3748</v>
      </c>
    </row>
    <row r="326" ht="15.75" customHeight="1">
      <c r="A326" s="2" t="s">
        <v>3749</v>
      </c>
      <c r="B326" s="2" t="s">
        <v>1781</v>
      </c>
      <c r="C326" s="2">
        <v>2012.0</v>
      </c>
      <c r="D326" s="2" t="s">
        <v>3750</v>
      </c>
      <c r="E326" s="2" t="s">
        <v>3751</v>
      </c>
      <c r="J326" s="2" t="s">
        <v>3752</v>
      </c>
      <c r="L326" s="2" t="s">
        <v>3753</v>
      </c>
      <c r="M326" s="2" t="s">
        <v>1385</v>
      </c>
      <c r="N326" s="2" t="s">
        <v>1386</v>
      </c>
      <c r="AB326" s="2" t="s">
        <v>2291</v>
      </c>
      <c r="AN326" s="2" t="s">
        <v>1368</v>
      </c>
    </row>
    <row r="327" ht="15.75" customHeight="1">
      <c r="A327" s="2" t="s">
        <v>3754</v>
      </c>
      <c r="B327" s="2" t="s">
        <v>1361</v>
      </c>
      <c r="C327" s="2">
        <v>1999.0</v>
      </c>
      <c r="D327" s="2" t="s">
        <v>3755</v>
      </c>
      <c r="E327" s="2" t="s">
        <v>3756</v>
      </c>
      <c r="F327" s="2" t="s">
        <v>1863</v>
      </c>
      <c r="H327" s="2" t="s">
        <v>1864</v>
      </c>
      <c r="I327" s="2" t="s">
        <v>3757</v>
      </c>
      <c r="K327" s="2" t="s">
        <v>3758</v>
      </c>
      <c r="L327" s="2" t="s">
        <v>1434</v>
      </c>
      <c r="M327" s="2" t="s">
        <v>1385</v>
      </c>
      <c r="N327" s="2" t="s">
        <v>1386</v>
      </c>
      <c r="P327" s="2" t="s">
        <v>3759</v>
      </c>
      <c r="R327" s="2">
        <v>5.0</v>
      </c>
      <c r="S327" s="2">
        <v>27.0</v>
      </c>
      <c r="AN327" s="2" t="s">
        <v>1368</v>
      </c>
    </row>
    <row r="328" ht="15.75" customHeight="1">
      <c r="A328" s="2" t="s">
        <v>3760</v>
      </c>
      <c r="B328" s="2" t="s">
        <v>1396</v>
      </c>
      <c r="C328" s="2">
        <v>2004.0</v>
      </c>
      <c r="D328" s="2" t="s">
        <v>3761</v>
      </c>
      <c r="E328" s="2" t="s">
        <v>3762</v>
      </c>
      <c r="G328" s="2" t="s">
        <v>3763</v>
      </c>
      <c r="L328" s="2" t="s">
        <v>2373</v>
      </c>
      <c r="M328" s="2" t="s">
        <v>1385</v>
      </c>
      <c r="N328" s="2" t="s">
        <v>1386</v>
      </c>
      <c r="Q328" s="2">
        <v>558.0</v>
      </c>
      <c r="AA328" s="2" t="s">
        <v>3764</v>
      </c>
      <c r="AN328" s="2" t="s">
        <v>1368</v>
      </c>
    </row>
    <row r="329" ht="15.75" customHeight="1">
      <c r="A329" s="2" t="s">
        <v>3765</v>
      </c>
      <c r="B329" s="2" t="s">
        <v>1361</v>
      </c>
      <c r="C329" s="2">
        <v>2014.0</v>
      </c>
      <c r="D329" s="2" t="s">
        <v>3766</v>
      </c>
      <c r="E329" s="2" t="s">
        <v>3767</v>
      </c>
      <c r="F329" s="2" t="s">
        <v>2036</v>
      </c>
      <c r="H329" s="2" t="s">
        <v>2585</v>
      </c>
      <c r="I329" s="2" t="s">
        <v>3768</v>
      </c>
      <c r="K329" s="2" t="s">
        <v>3769</v>
      </c>
      <c r="L329" s="2" t="s">
        <v>1476</v>
      </c>
      <c r="M329" s="2" t="s">
        <v>1385</v>
      </c>
      <c r="N329" s="2" t="s">
        <v>1386</v>
      </c>
      <c r="P329" s="2" t="s">
        <v>3770</v>
      </c>
      <c r="R329" s="2">
        <v>1.0</v>
      </c>
      <c r="S329" s="2">
        <v>64.0</v>
      </c>
      <c r="AN329" s="2" t="s">
        <v>1368</v>
      </c>
    </row>
    <row r="330" ht="15.75" customHeight="1">
      <c r="A330" s="2" t="s">
        <v>3771</v>
      </c>
      <c r="B330" s="2" t="s">
        <v>1361</v>
      </c>
      <c r="C330" s="2">
        <v>2004.0</v>
      </c>
      <c r="D330" s="2" t="s">
        <v>3772</v>
      </c>
      <c r="E330" s="2" t="s">
        <v>3773</v>
      </c>
      <c r="F330" s="2" t="s">
        <v>3774</v>
      </c>
      <c r="H330" s="2" t="s">
        <v>3775</v>
      </c>
      <c r="I330" s="2" t="s">
        <v>3776</v>
      </c>
      <c r="J330" s="2" t="s">
        <v>3777</v>
      </c>
      <c r="K330" s="2" t="s">
        <v>3778</v>
      </c>
      <c r="L330" s="2" t="s">
        <v>3779</v>
      </c>
      <c r="M330" s="2" t="s">
        <v>1385</v>
      </c>
      <c r="N330" s="2" t="s">
        <v>1386</v>
      </c>
      <c r="P330" s="2" t="s">
        <v>3780</v>
      </c>
      <c r="R330" s="2">
        <v>1.0</v>
      </c>
      <c r="S330" s="2">
        <v>33.0</v>
      </c>
      <c r="AN330" s="2" t="s">
        <v>1368</v>
      </c>
    </row>
    <row r="331" ht="15.75" customHeight="1">
      <c r="A331" s="2" t="s">
        <v>3781</v>
      </c>
      <c r="B331" s="2" t="s">
        <v>1396</v>
      </c>
      <c r="C331" s="2">
        <v>2007.0</v>
      </c>
      <c r="D331" s="2" t="s">
        <v>3782</v>
      </c>
      <c r="E331" s="2" t="s">
        <v>3783</v>
      </c>
      <c r="L331" s="2" t="s">
        <v>2380</v>
      </c>
      <c r="M331" s="2" t="s">
        <v>1385</v>
      </c>
      <c r="N331" s="2" t="s">
        <v>1386</v>
      </c>
      <c r="X331" s="2">
        <v>1812.0</v>
      </c>
      <c r="AA331" s="2" t="s">
        <v>3784</v>
      </c>
      <c r="AN331" s="2" t="s">
        <v>1368</v>
      </c>
    </row>
    <row r="332" ht="15.75" customHeight="1">
      <c r="A332" s="2" t="s">
        <v>3785</v>
      </c>
      <c r="B332" s="2" t="s">
        <v>1361</v>
      </c>
      <c r="C332" s="2">
        <v>2010.0</v>
      </c>
      <c r="D332" s="2" t="s">
        <v>3786</v>
      </c>
      <c r="E332" s="2" t="s">
        <v>3787</v>
      </c>
      <c r="L332" s="2" t="s">
        <v>1449</v>
      </c>
      <c r="M332" s="2" t="s">
        <v>3788</v>
      </c>
      <c r="N332" s="2" t="s">
        <v>3789</v>
      </c>
      <c r="AN332" s="2" t="s">
        <v>1368</v>
      </c>
    </row>
    <row r="333" ht="15.75" customHeight="1">
      <c r="A333" s="2" t="s">
        <v>3790</v>
      </c>
      <c r="B333" s="2" t="s">
        <v>1361</v>
      </c>
      <c r="C333" s="2">
        <v>2008.0</v>
      </c>
      <c r="D333" s="2" t="s">
        <v>3791</v>
      </c>
      <c r="E333" s="2" t="s">
        <v>3792</v>
      </c>
      <c r="F333" s="2" t="s">
        <v>3793</v>
      </c>
      <c r="I333" s="2" t="s">
        <v>3794</v>
      </c>
      <c r="L333" s="2" t="s">
        <v>1458</v>
      </c>
      <c r="M333" s="2" t="s">
        <v>3795</v>
      </c>
      <c r="N333" s="2" t="s">
        <v>3796</v>
      </c>
      <c r="P333" s="2" t="s">
        <v>3797</v>
      </c>
      <c r="R333" s="2">
        <v>1.0</v>
      </c>
      <c r="S333" s="2">
        <v>40.0</v>
      </c>
      <c r="AN333" s="2" t="s">
        <v>1368</v>
      </c>
    </row>
    <row r="334" ht="15.75" customHeight="1">
      <c r="A334" s="2" t="s">
        <v>3798</v>
      </c>
      <c r="B334" s="2" t="s">
        <v>1361</v>
      </c>
      <c r="C334" s="2">
        <v>2009.0</v>
      </c>
      <c r="D334" s="2" t="s">
        <v>3799</v>
      </c>
      <c r="E334" s="2" t="s">
        <v>3800</v>
      </c>
      <c r="F334" s="2" t="s">
        <v>3801</v>
      </c>
      <c r="I334" s="2" t="s">
        <v>3802</v>
      </c>
      <c r="K334" s="2" t="s">
        <v>3803</v>
      </c>
      <c r="L334" s="2" t="s">
        <v>1364</v>
      </c>
      <c r="M334" s="2" t="s">
        <v>3804</v>
      </c>
      <c r="N334" s="2" t="s">
        <v>3805</v>
      </c>
      <c r="P334" s="2" t="s">
        <v>3806</v>
      </c>
      <c r="R334" s="2">
        <v>6.0</v>
      </c>
      <c r="S334" s="2">
        <v>34.0</v>
      </c>
      <c r="AN334" s="2" t="s">
        <v>1368</v>
      </c>
    </row>
    <row r="335" ht="15.75" customHeight="1">
      <c r="A335" s="2" t="s">
        <v>3807</v>
      </c>
      <c r="B335" s="2" t="s">
        <v>1361</v>
      </c>
      <c r="C335" s="2">
        <v>2012.0</v>
      </c>
      <c r="D335" s="2" t="s">
        <v>3808</v>
      </c>
      <c r="E335" s="2" t="s">
        <v>3809</v>
      </c>
      <c r="F335" s="2" t="s">
        <v>1688</v>
      </c>
      <c r="H335" s="2" t="s">
        <v>2892</v>
      </c>
      <c r="I335" s="2" t="s">
        <v>3810</v>
      </c>
      <c r="J335" s="2" t="s">
        <v>3811</v>
      </c>
      <c r="K335" s="2" t="s">
        <v>3812</v>
      </c>
      <c r="L335" s="2" t="s">
        <v>3813</v>
      </c>
      <c r="M335" s="2" t="s">
        <v>3814</v>
      </c>
      <c r="N335" s="2" t="s">
        <v>3815</v>
      </c>
      <c r="O335" s="2" t="s">
        <v>3816</v>
      </c>
      <c r="P335" s="2" t="s">
        <v>3817</v>
      </c>
      <c r="R335" s="2">
        <v>52.0</v>
      </c>
      <c r="S335" s="2">
        <v>109.0</v>
      </c>
      <c r="U335" s="2" t="s">
        <v>2901</v>
      </c>
      <c r="AC335" s="2" t="s">
        <v>1540</v>
      </c>
      <c r="AH335" s="2" t="s">
        <v>1541</v>
      </c>
      <c r="AN335" s="2" t="s">
        <v>1885</v>
      </c>
    </row>
    <row r="336" ht="15.75" customHeight="1">
      <c r="A336" s="2" t="s">
        <v>3818</v>
      </c>
      <c r="B336" s="2" t="s">
        <v>1361</v>
      </c>
      <c r="C336" s="2">
        <v>2007.0</v>
      </c>
      <c r="D336" s="2" t="s">
        <v>3819</v>
      </c>
      <c r="E336" s="2" t="s">
        <v>3820</v>
      </c>
      <c r="F336" s="2" t="s">
        <v>1587</v>
      </c>
      <c r="H336" s="2" t="s">
        <v>3516</v>
      </c>
      <c r="I336" s="2" t="s">
        <v>3821</v>
      </c>
      <c r="K336" s="2" t="s">
        <v>3822</v>
      </c>
      <c r="L336" s="2" t="s">
        <v>2380</v>
      </c>
      <c r="M336" s="2" t="s">
        <v>1385</v>
      </c>
      <c r="N336" s="2" t="s">
        <v>1386</v>
      </c>
      <c r="P336" s="2" t="s">
        <v>3823</v>
      </c>
      <c r="R336" s="2">
        <v>3.0</v>
      </c>
      <c r="S336" s="2">
        <v>21.0</v>
      </c>
      <c r="AN336" s="2" t="s">
        <v>1368</v>
      </c>
    </row>
    <row r="337" ht="15.75" customHeight="1">
      <c r="A337" s="2" t="s">
        <v>3824</v>
      </c>
      <c r="B337" s="2" t="s">
        <v>1361</v>
      </c>
      <c r="C337" s="2">
        <v>2012.0</v>
      </c>
      <c r="D337" s="2" t="s">
        <v>3825</v>
      </c>
      <c r="E337" s="2" t="s">
        <v>3826</v>
      </c>
      <c r="F337" s="2" t="s">
        <v>3827</v>
      </c>
      <c r="I337" s="2" t="s">
        <v>3828</v>
      </c>
      <c r="K337" s="2" t="s">
        <v>3829</v>
      </c>
      <c r="L337" s="2" t="s">
        <v>1405</v>
      </c>
      <c r="M337" s="2" t="s">
        <v>1385</v>
      </c>
      <c r="N337" s="2" t="s">
        <v>1386</v>
      </c>
      <c r="AN337" s="2" t="s">
        <v>1368</v>
      </c>
    </row>
    <row r="338" ht="15.75" customHeight="1">
      <c r="A338" s="2" t="s">
        <v>3830</v>
      </c>
      <c r="B338" s="2" t="s">
        <v>1396</v>
      </c>
      <c r="C338" s="2">
        <v>1992.0</v>
      </c>
      <c r="D338" s="2" t="s">
        <v>3831</v>
      </c>
      <c r="E338" s="2" t="s">
        <v>3832</v>
      </c>
      <c r="G338" s="2" t="s">
        <v>3833</v>
      </c>
      <c r="L338" s="2" t="s">
        <v>3458</v>
      </c>
      <c r="M338" s="2" t="s">
        <v>1385</v>
      </c>
      <c r="N338" s="2" t="s">
        <v>1386</v>
      </c>
      <c r="Q338" s="2">
        <v>339.0</v>
      </c>
      <c r="AA338" s="2" t="s">
        <v>3834</v>
      </c>
      <c r="AN338" s="2" t="s">
        <v>1368</v>
      </c>
    </row>
    <row r="339" ht="15.75" customHeight="1">
      <c r="A339" s="2" t="s">
        <v>3835</v>
      </c>
      <c r="B339" s="2" t="s">
        <v>1361</v>
      </c>
      <c r="C339" s="2">
        <v>2014.0</v>
      </c>
      <c r="D339" s="2" t="s">
        <v>3836</v>
      </c>
      <c r="E339" s="2" t="s">
        <v>3837</v>
      </c>
      <c r="F339" s="2" t="s">
        <v>1363</v>
      </c>
      <c r="H339" s="2" t="s">
        <v>1775</v>
      </c>
      <c r="I339" s="2" t="s">
        <v>459</v>
      </c>
      <c r="K339" s="2" t="s">
        <v>458</v>
      </c>
      <c r="L339" s="2" t="s">
        <v>1476</v>
      </c>
      <c r="M339" s="2" t="s">
        <v>1385</v>
      </c>
      <c r="N339" s="2" t="s">
        <v>1386</v>
      </c>
      <c r="R339" s="2">
        <v>1656.0</v>
      </c>
      <c r="S339" s="2">
        <v>369.0</v>
      </c>
      <c r="AN339" s="2" t="s">
        <v>1368</v>
      </c>
    </row>
    <row r="340" ht="15.75" customHeight="1">
      <c r="A340" s="2" t="s">
        <v>3838</v>
      </c>
      <c r="B340" s="2" t="s">
        <v>1361</v>
      </c>
      <c r="C340" s="2">
        <v>2016.0</v>
      </c>
      <c r="D340" s="2" t="s">
        <v>3839</v>
      </c>
      <c r="E340" s="2" t="s">
        <v>3840</v>
      </c>
      <c r="F340" s="2" t="s">
        <v>3841</v>
      </c>
      <c r="H340" s="2" t="s">
        <v>3842</v>
      </c>
      <c r="I340" s="2" t="s">
        <v>3843</v>
      </c>
      <c r="K340" s="2" t="s">
        <v>3844</v>
      </c>
      <c r="L340" s="2" t="s">
        <v>1502</v>
      </c>
      <c r="M340" s="2" t="s">
        <v>1385</v>
      </c>
      <c r="N340" s="2" t="s">
        <v>1386</v>
      </c>
      <c r="P340" s="2" t="s">
        <v>3845</v>
      </c>
      <c r="S340" s="2">
        <v>179.0</v>
      </c>
      <c r="AN340" s="2" t="s">
        <v>1368</v>
      </c>
    </row>
    <row r="341" ht="15.75" customHeight="1">
      <c r="A341" s="2" t="s">
        <v>3846</v>
      </c>
      <c r="B341" s="2" t="s">
        <v>1361</v>
      </c>
      <c r="C341" s="2">
        <v>2009.0</v>
      </c>
      <c r="D341" s="2" t="s">
        <v>3847</v>
      </c>
      <c r="E341" s="2" t="s">
        <v>945</v>
      </c>
      <c r="F341" s="2" t="s">
        <v>3848</v>
      </c>
      <c r="H341" s="2" t="s">
        <v>3849</v>
      </c>
      <c r="I341" s="2" t="s">
        <v>948</v>
      </c>
      <c r="K341" s="2" t="s">
        <v>3850</v>
      </c>
      <c r="L341" s="2" t="s">
        <v>1364</v>
      </c>
      <c r="M341" s="2" t="s">
        <v>1385</v>
      </c>
      <c r="N341" s="2" t="s">
        <v>1386</v>
      </c>
      <c r="AN341" s="2" t="s">
        <v>1368</v>
      </c>
    </row>
    <row r="342" ht="15.75" customHeight="1">
      <c r="A342" s="2" t="s">
        <v>3851</v>
      </c>
      <c r="B342" s="2" t="s">
        <v>1361</v>
      </c>
      <c r="C342" s="2">
        <v>2011.0</v>
      </c>
      <c r="D342" s="2" t="s">
        <v>3852</v>
      </c>
      <c r="E342" s="2" t="s">
        <v>3853</v>
      </c>
      <c r="F342" s="2" t="s">
        <v>1633</v>
      </c>
      <c r="I342" s="2" t="s">
        <v>3854</v>
      </c>
      <c r="L342" s="2" t="s">
        <v>1627</v>
      </c>
      <c r="M342" s="2" t="s">
        <v>3855</v>
      </c>
      <c r="N342" s="2" t="s">
        <v>3856</v>
      </c>
      <c r="P342" s="2" t="s">
        <v>3857</v>
      </c>
      <c r="R342" s="2" t="s">
        <v>1453</v>
      </c>
      <c r="S342" s="2">
        <v>87.0</v>
      </c>
      <c r="AN342" s="2" t="s">
        <v>1368</v>
      </c>
    </row>
    <row r="343" ht="15.75" customHeight="1">
      <c r="A343" s="2" t="s">
        <v>3858</v>
      </c>
      <c r="B343" s="2" t="s">
        <v>1361</v>
      </c>
      <c r="C343" s="2">
        <v>1999.0</v>
      </c>
      <c r="D343" s="2" t="s">
        <v>3859</v>
      </c>
      <c r="E343" s="2" t="s">
        <v>3860</v>
      </c>
      <c r="F343" s="2" t="s">
        <v>2665</v>
      </c>
      <c r="I343" s="2" t="s">
        <v>3861</v>
      </c>
      <c r="L343" s="2" t="s">
        <v>1434</v>
      </c>
      <c r="M343" s="2" t="s">
        <v>3862</v>
      </c>
      <c r="N343" s="2" t="s">
        <v>3863</v>
      </c>
      <c r="P343" s="2" t="s">
        <v>3864</v>
      </c>
      <c r="R343" s="2" t="s">
        <v>1600</v>
      </c>
      <c r="S343" s="2">
        <v>27.0</v>
      </c>
      <c r="AN343" s="2" t="s">
        <v>1368</v>
      </c>
    </row>
    <row r="344" ht="15.75" customHeight="1">
      <c r="A344" s="2" t="s">
        <v>3865</v>
      </c>
      <c r="B344" s="2" t="s">
        <v>1361</v>
      </c>
      <c r="C344" s="2">
        <v>2011.0</v>
      </c>
      <c r="D344" s="2" t="s">
        <v>3866</v>
      </c>
      <c r="E344" s="2" t="s">
        <v>3867</v>
      </c>
      <c r="F344" s="2" t="s">
        <v>3868</v>
      </c>
      <c r="I344" s="2" t="s">
        <v>3869</v>
      </c>
      <c r="L344" s="2" t="s">
        <v>1627</v>
      </c>
      <c r="M344" s="2" t="s">
        <v>3870</v>
      </c>
      <c r="N344" s="2" t="s">
        <v>3871</v>
      </c>
      <c r="P344" s="2" t="s">
        <v>3872</v>
      </c>
      <c r="R344" s="2" t="s">
        <v>3873</v>
      </c>
      <c r="S344" s="2">
        <v>7.0</v>
      </c>
      <c r="AN344" s="2" t="s">
        <v>1368</v>
      </c>
    </row>
    <row r="345" ht="15.75" customHeight="1">
      <c r="A345" s="2" t="s">
        <v>3874</v>
      </c>
      <c r="B345" s="2" t="s">
        <v>1361</v>
      </c>
      <c r="C345" s="2">
        <v>2002.0</v>
      </c>
      <c r="D345" s="2" t="s">
        <v>3859</v>
      </c>
      <c r="E345" s="2" t="s">
        <v>3875</v>
      </c>
      <c r="F345" s="2" t="s">
        <v>3774</v>
      </c>
      <c r="I345" s="2" t="s">
        <v>3876</v>
      </c>
      <c r="L345" s="2" t="s">
        <v>1493</v>
      </c>
      <c r="M345" s="2" t="s">
        <v>3877</v>
      </c>
      <c r="N345" s="2" t="s">
        <v>3878</v>
      </c>
      <c r="P345" s="2" t="s">
        <v>3879</v>
      </c>
      <c r="R345" s="2" t="s">
        <v>1506</v>
      </c>
      <c r="S345" s="2">
        <v>31.0</v>
      </c>
      <c r="AN345" s="2" t="s">
        <v>1368</v>
      </c>
    </row>
    <row r="346" ht="15.75" customHeight="1">
      <c r="A346" s="2" t="s">
        <v>3880</v>
      </c>
      <c r="B346" s="2" t="s">
        <v>1361</v>
      </c>
      <c r="C346" s="2">
        <v>2013.0</v>
      </c>
      <c r="D346" s="2" t="s">
        <v>3881</v>
      </c>
      <c r="E346" s="2" t="s">
        <v>3882</v>
      </c>
      <c r="F346" s="2" t="s">
        <v>1965</v>
      </c>
      <c r="H346" s="2" t="s">
        <v>3883</v>
      </c>
      <c r="I346" s="2" t="s">
        <v>3884</v>
      </c>
      <c r="J346" s="2" t="s">
        <v>3885</v>
      </c>
      <c r="L346" s="2" t="s">
        <v>2209</v>
      </c>
      <c r="M346" s="2" t="s">
        <v>3886</v>
      </c>
      <c r="N346" s="2" t="s">
        <v>3887</v>
      </c>
      <c r="P346" s="2" t="s">
        <v>3888</v>
      </c>
      <c r="R346" s="2" t="s">
        <v>1600</v>
      </c>
      <c r="S346" s="2">
        <v>21.0</v>
      </c>
      <c r="AN346" s="2" t="s">
        <v>1621</v>
      </c>
    </row>
    <row r="347" ht="15.75" customHeight="1">
      <c r="A347" s="2" t="s">
        <v>3889</v>
      </c>
      <c r="B347" s="2" t="s">
        <v>1396</v>
      </c>
      <c r="C347" s="2">
        <v>2004.0</v>
      </c>
      <c r="D347" s="2" t="s">
        <v>3890</v>
      </c>
      <c r="E347" s="2" t="s">
        <v>3891</v>
      </c>
      <c r="G347" s="2">
        <v>384941.0</v>
      </c>
      <c r="K347" s="2" t="s">
        <v>3892</v>
      </c>
      <c r="L347" s="2" t="s">
        <v>2373</v>
      </c>
      <c r="M347" s="2" t="s">
        <v>1385</v>
      </c>
      <c r="N347" s="2" t="s">
        <v>1386</v>
      </c>
      <c r="AN347" s="2" t="s">
        <v>1368</v>
      </c>
    </row>
    <row r="348" ht="15.75" customHeight="1">
      <c r="A348" s="2" t="s">
        <v>3893</v>
      </c>
      <c r="B348" s="2" t="s">
        <v>1361</v>
      </c>
      <c r="C348" s="2">
        <v>2012.0</v>
      </c>
      <c r="D348" s="2" t="s">
        <v>3894</v>
      </c>
      <c r="E348" s="2" t="s">
        <v>3895</v>
      </c>
      <c r="F348" s="2" t="s">
        <v>2072</v>
      </c>
      <c r="I348" s="2" t="s">
        <v>3896</v>
      </c>
      <c r="L348" s="2" t="s">
        <v>1405</v>
      </c>
      <c r="M348" s="2" t="s">
        <v>1385</v>
      </c>
      <c r="N348" s="2" t="s">
        <v>1386</v>
      </c>
      <c r="P348" s="2" t="s">
        <v>3897</v>
      </c>
      <c r="R348" s="2" t="s">
        <v>1462</v>
      </c>
      <c r="S348" s="2">
        <v>28.0</v>
      </c>
      <c r="AN348" s="2" t="s">
        <v>1368</v>
      </c>
    </row>
    <row r="349" ht="15.75" customHeight="1">
      <c r="A349" s="2" t="s">
        <v>3898</v>
      </c>
      <c r="B349" s="2" t="s">
        <v>1361</v>
      </c>
      <c r="C349" s="2">
        <v>2013.0</v>
      </c>
      <c r="D349" s="2" t="s">
        <v>3899</v>
      </c>
      <c r="E349" s="2" t="s">
        <v>3900</v>
      </c>
      <c r="F349" s="2" t="s">
        <v>1688</v>
      </c>
      <c r="H349" s="2" t="s">
        <v>1689</v>
      </c>
      <c r="I349" s="2" t="s">
        <v>3901</v>
      </c>
      <c r="K349" s="2" t="s">
        <v>3902</v>
      </c>
      <c r="L349" s="2" t="s">
        <v>1429</v>
      </c>
      <c r="M349" s="2" t="s">
        <v>1385</v>
      </c>
      <c r="N349" s="2" t="s">
        <v>1386</v>
      </c>
      <c r="AN349" s="2" t="s">
        <v>1368</v>
      </c>
    </row>
    <row r="350" ht="15.75" customHeight="1">
      <c r="A350" s="2" t="s">
        <v>3903</v>
      </c>
      <c r="B350" s="2" t="s">
        <v>1781</v>
      </c>
      <c r="C350" s="2">
        <v>2016.0</v>
      </c>
      <c r="D350" s="2" t="s">
        <v>3904</v>
      </c>
      <c r="E350" s="2" t="s">
        <v>3905</v>
      </c>
      <c r="K350" s="2" t="s">
        <v>3906</v>
      </c>
      <c r="L350" s="2" t="s">
        <v>1502</v>
      </c>
      <c r="M350" s="2" t="s">
        <v>1385</v>
      </c>
      <c r="N350" s="2" t="s">
        <v>1386</v>
      </c>
      <c r="AN350" s="2" t="s">
        <v>1368</v>
      </c>
    </row>
    <row r="351" ht="15.75" customHeight="1">
      <c r="A351" s="2" t="s">
        <v>3907</v>
      </c>
      <c r="B351" s="2" t="s">
        <v>1361</v>
      </c>
      <c r="C351" s="2">
        <v>2017.0</v>
      </c>
      <c r="D351" s="2" t="s">
        <v>3908</v>
      </c>
      <c r="E351" s="2" t="s">
        <v>122</v>
      </c>
      <c r="F351" s="2" t="s">
        <v>3909</v>
      </c>
      <c r="H351" s="2" t="s">
        <v>3910</v>
      </c>
      <c r="I351" s="2" t="s">
        <v>125</v>
      </c>
      <c r="L351" s="2" t="s">
        <v>3911</v>
      </c>
      <c r="M351" s="2" t="s">
        <v>1385</v>
      </c>
      <c r="N351" s="2" t="s">
        <v>1386</v>
      </c>
      <c r="P351" s="2" t="s">
        <v>3912</v>
      </c>
      <c r="R351" s="2" t="s">
        <v>1453</v>
      </c>
      <c r="S351" s="2">
        <v>62.0</v>
      </c>
      <c r="AN351" s="2" t="s">
        <v>1368</v>
      </c>
    </row>
    <row r="352" ht="15.75" customHeight="1">
      <c r="A352" s="2" t="s">
        <v>3913</v>
      </c>
      <c r="B352" s="2" t="s">
        <v>1361</v>
      </c>
      <c r="C352" s="2">
        <v>2018.0</v>
      </c>
      <c r="D352" s="2" t="s">
        <v>3914</v>
      </c>
      <c r="E352" s="2" t="s">
        <v>3915</v>
      </c>
      <c r="F352" s="2" t="s">
        <v>3916</v>
      </c>
      <c r="I352" s="2" t="s">
        <v>3917</v>
      </c>
      <c r="L352" s="2" t="s">
        <v>1420</v>
      </c>
      <c r="M352" s="2" t="s">
        <v>3918</v>
      </c>
      <c r="N352" s="2" t="s">
        <v>3919</v>
      </c>
      <c r="P352" s="2" t="s">
        <v>3920</v>
      </c>
      <c r="S352" s="2">
        <v>17.0</v>
      </c>
      <c r="AN352" s="2" t="s">
        <v>1368</v>
      </c>
    </row>
    <row r="353" ht="15.75" customHeight="1">
      <c r="A353" s="2" t="s">
        <v>3921</v>
      </c>
      <c r="B353" s="2" t="s">
        <v>1361</v>
      </c>
      <c r="C353" s="2">
        <v>2010.0</v>
      </c>
      <c r="D353" s="2" t="s">
        <v>3922</v>
      </c>
      <c r="E353" s="2" t="s">
        <v>3923</v>
      </c>
      <c r="F353" s="2" t="s">
        <v>3924</v>
      </c>
      <c r="I353" s="2" t="s">
        <v>851</v>
      </c>
      <c r="L353" s="2" t="s">
        <v>1449</v>
      </c>
      <c r="M353" s="2" t="s">
        <v>3925</v>
      </c>
      <c r="N353" s="2" t="s">
        <v>3926</v>
      </c>
      <c r="P353" s="2" t="s">
        <v>3927</v>
      </c>
      <c r="R353" s="2" t="s">
        <v>2565</v>
      </c>
      <c r="S353" s="2">
        <v>57.0</v>
      </c>
      <c r="AN353" s="2" t="s">
        <v>1368</v>
      </c>
    </row>
    <row r="354" ht="15.75" customHeight="1">
      <c r="A354" s="2" t="s">
        <v>3928</v>
      </c>
      <c r="B354" s="2" t="s">
        <v>1361</v>
      </c>
      <c r="C354" s="2">
        <v>2004.0</v>
      </c>
      <c r="D354" s="2" t="s">
        <v>3929</v>
      </c>
      <c r="E354" s="2" t="s">
        <v>3930</v>
      </c>
      <c r="F354" s="2" t="s">
        <v>3931</v>
      </c>
      <c r="I354" s="2" t="s">
        <v>3932</v>
      </c>
      <c r="L354" s="2" t="s">
        <v>2373</v>
      </c>
      <c r="M354" s="2" t="s">
        <v>3933</v>
      </c>
      <c r="N354" s="2" t="s">
        <v>3934</v>
      </c>
      <c r="P354" s="2" t="s">
        <v>3935</v>
      </c>
      <c r="R354" s="2" t="s">
        <v>1600</v>
      </c>
      <c r="S354" s="2">
        <v>18.0</v>
      </c>
      <c r="AN354" s="2" t="s">
        <v>1368</v>
      </c>
    </row>
    <row r="355" ht="15.75" customHeight="1">
      <c r="A355" s="2" t="s">
        <v>3936</v>
      </c>
      <c r="B355" s="2" t="s">
        <v>1361</v>
      </c>
      <c r="C355" s="2">
        <v>2004.0</v>
      </c>
      <c r="D355" s="2" t="s">
        <v>3937</v>
      </c>
      <c r="E355" s="2" t="s">
        <v>3938</v>
      </c>
      <c r="L355" s="2" t="s">
        <v>2373</v>
      </c>
      <c r="M355" s="2" t="s">
        <v>3939</v>
      </c>
      <c r="N355" s="2" t="s">
        <v>3940</v>
      </c>
      <c r="AN355" s="2" t="s">
        <v>1368</v>
      </c>
    </row>
    <row r="356" ht="15.75" customHeight="1">
      <c r="A356" s="2" t="s">
        <v>3941</v>
      </c>
      <c r="B356" s="2" t="s">
        <v>1361</v>
      </c>
      <c r="C356" s="2">
        <v>2008.0</v>
      </c>
      <c r="D356" s="2" t="s">
        <v>3942</v>
      </c>
      <c r="E356" s="2" t="s">
        <v>3943</v>
      </c>
      <c r="F356" s="2" t="s">
        <v>3944</v>
      </c>
      <c r="I356" s="2" t="s">
        <v>3945</v>
      </c>
      <c r="L356" s="2" t="s">
        <v>1458</v>
      </c>
      <c r="M356" s="2" t="s">
        <v>3855</v>
      </c>
      <c r="N356" s="2" t="s">
        <v>3856</v>
      </c>
      <c r="P356" s="2" t="s">
        <v>3946</v>
      </c>
      <c r="R356" s="2" t="s">
        <v>1600</v>
      </c>
      <c r="S356" s="2">
        <v>39.0</v>
      </c>
      <c r="AN356" s="2" t="s">
        <v>1368</v>
      </c>
    </row>
    <row r="357" ht="15.75" customHeight="1">
      <c r="A357" s="2" t="s">
        <v>3947</v>
      </c>
      <c r="B357" s="2" t="s">
        <v>1361</v>
      </c>
      <c r="C357" s="2">
        <v>1996.0</v>
      </c>
      <c r="D357" s="2" t="s">
        <v>3948</v>
      </c>
      <c r="E357" s="2" t="s">
        <v>3949</v>
      </c>
      <c r="F357" s="2" t="s">
        <v>3950</v>
      </c>
      <c r="I357" s="2" t="s">
        <v>3951</v>
      </c>
      <c r="K357" s="2" t="s">
        <v>3952</v>
      </c>
      <c r="L357" s="2" t="s">
        <v>2492</v>
      </c>
      <c r="M357" s="2" t="s">
        <v>3953</v>
      </c>
      <c r="N357" s="2" t="s">
        <v>3954</v>
      </c>
      <c r="P357" s="2" t="s">
        <v>3955</v>
      </c>
      <c r="R357" s="2" t="s">
        <v>1506</v>
      </c>
      <c r="S357" s="2">
        <v>104.0</v>
      </c>
      <c r="AN357" s="2" t="s">
        <v>1368</v>
      </c>
    </row>
    <row r="358" ht="15.75" customHeight="1">
      <c r="A358" s="2" t="s">
        <v>3956</v>
      </c>
      <c r="B358" s="2" t="s">
        <v>1361</v>
      </c>
      <c r="C358" s="2">
        <v>2000.0</v>
      </c>
      <c r="D358" s="2" t="s">
        <v>3957</v>
      </c>
      <c r="E358" s="2" t="s">
        <v>3958</v>
      </c>
      <c r="F358" s="2" t="s">
        <v>3959</v>
      </c>
      <c r="I358" s="2" t="s">
        <v>3960</v>
      </c>
      <c r="L358" s="2" t="s">
        <v>2429</v>
      </c>
      <c r="M358" s="2" t="s">
        <v>3961</v>
      </c>
      <c r="N358" s="2" t="s">
        <v>3962</v>
      </c>
      <c r="P358" s="2" t="s">
        <v>3963</v>
      </c>
      <c r="R358" s="2" t="s">
        <v>1600</v>
      </c>
      <c r="S358" s="2">
        <v>52.0</v>
      </c>
      <c r="AN358" s="2" t="s">
        <v>1368</v>
      </c>
    </row>
    <row r="359" ht="15.75" customHeight="1">
      <c r="A359" s="2" t="s">
        <v>3964</v>
      </c>
      <c r="B359" s="2" t="s">
        <v>1361</v>
      </c>
      <c r="C359" s="2">
        <v>2010.0</v>
      </c>
      <c r="D359" s="2" t="s">
        <v>3965</v>
      </c>
      <c r="E359" s="2" t="s">
        <v>886</v>
      </c>
      <c r="F359" s="2" t="s">
        <v>1594</v>
      </c>
      <c r="I359" s="2" t="s">
        <v>888</v>
      </c>
      <c r="L359" s="2" t="s">
        <v>1449</v>
      </c>
      <c r="M359" s="2" t="s">
        <v>3966</v>
      </c>
      <c r="N359" s="2" t="s">
        <v>3967</v>
      </c>
      <c r="P359" s="2" t="s">
        <v>3968</v>
      </c>
      <c r="R359" s="2" t="s">
        <v>1480</v>
      </c>
      <c r="S359" s="2">
        <v>3.0</v>
      </c>
      <c r="AN359" s="2" t="s">
        <v>1368</v>
      </c>
    </row>
    <row r="360" ht="15.75" customHeight="1">
      <c r="A360" s="2" t="s">
        <v>3969</v>
      </c>
      <c r="B360" s="2" t="s">
        <v>1361</v>
      </c>
      <c r="C360" s="2">
        <v>2018.0</v>
      </c>
      <c r="D360" s="2" t="s">
        <v>3970</v>
      </c>
      <c r="E360" s="2" t="s">
        <v>3971</v>
      </c>
      <c r="F360" s="2" t="s">
        <v>2549</v>
      </c>
      <c r="I360" s="2" t="s">
        <v>3972</v>
      </c>
      <c r="L360" s="2" t="s">
        <v>1420</v>
      </c>
      <c r="M360" s="2" t="s">
        <v>3973</v>
      </c>
      <c r="N360" s="2" t="s">
        <v>3974</v>
      </c>
      <c r="R360" s="2" t="s">
        <v>1453</v>
      </c>
      <c r="S360" s="2">
        <v>23.0</v>
      </c>
      <c r="AN360" s="2" t="s">
        <v>1368</v>
      </c>
    </row>
    <row r="361" ht="15.75" customHeight="1">
      <c r="A361" s="2" t="s">
        <v>3975</v>
      </c>
      <c r="B361" s="2" t="s">
        <v>1361</v>
      </c>
      <c r="C361" s="2">
        <v>2007.0</v>
      </c>
      <c r="D361" s="2" t="s">
        <v>3976</v>
      </c>
      <c r="E361" s="2" t="s">
        <v>3977</v>
      </c>
      <c r="F361" s="2" t="s">
        <v>3978</v>
      </c>
      <c r="L361" s="2" t="s">
        <v>2380</v>
      </c>
      <c r="M361" s="2" t="s">
        <v>3979</v>
      </c>
      <c r="N361" s="2" t="s">
        <v>3980</v>
      </c>
      <c r="R361" s="2" t="s">
        <v>1462</v>
      </c>
      <c r="S361" s="2">
        <v>6.0</v>
      </c>
      <c r="AN361" s="2" t="s">
        <v>1368</v>
      </c>
    </row>
    <row r="362" ht="15.75" customHeight="1">
      <c r="A362" s="2" t="s">
        <v>3981</v>
      </c>
      <c r="B362" s="2" t="s">
        <v>1361</v>
      </c>
      <c r="C362" s="2">
        <v>2015.0</v>
      </c>
      <c r="D362" s="2" t="s">
        <v>3982</v>
      </c>
      <c r="E362" s="2" t="s">
        <v>3983</v>
      </c>
      <c r="F362" s="2" t="s">
        <v>3256</v>
      </c>
      <c r="I362" s="2" t="s">
        <v>3984</v>
      </c>
      <c r="L362" s="2" t="s">
        <v>1373</v>
      </c>
      <c r="M362" s="2" t="s">
        <v>3985</v>
      </c>
      <c r="N362" s="2" t="s">
        <v>3986</v>
      </c>
      <c r="P362" s="2" t="s">
        <v>3987</v>
      </c>
      <c r="R362" s="2" t="s">
        <v>1600</v>
      </c>
      <c r="S362" s="2">
        <v>20.0</v>
      </c>
      <c r="AN362" s="2" t="s">
        <v>1368</v>
      </c>
    </row>
    <row r="363" ht="15.75" customHeight="1">
      <c r="A363" s="2" t="s">
        <v>3988</v>
      </c>
      <c r="B363" s="2" t="s">
        <v>1361</v>
      </c>
      <c r="C363" s="2">
        <v>1962.0</v>
      </c>
      <c r="D363" s="2" t="s">
        <v>3989</v>
      </c>
      <c r="E363" s="2" t="s">
        <v>3990</v>
      </c>
      <c r="F363" s="2" t="s">
        <v>3991</v>
      </c>
      <c r="I363" s="2" t="s">
        <v>3992</v>
      </c>
      <c r="L363" s="2" t="s">
        <v>3993</v>
      </c>
      <c r="M363" s="2" t="s">
        <v>3994</v>
      </c>
      <c r="N363" s="2" t="s">
        <v>3995</v>
      </c>
      <c r="P363" s="2" t="s">
        <v>3996</v>
      </c>
      <c r="R363" s="2" t="s">
        <v>1462</v>
      </c>
      <c r="S363" s="2">
        <v>21.0</v>
      </c>
      <c r="AN363" s="2" t="s">
        <v>1368</v>
      </c>
    </row>
    <row r="364" ht="15.75" customHeight="1">
      <c r="A364" s="2" t="s">
        <v>3997</v>
      </c>
      <c r="B364" s="2" t="s">
        <v>1361</v>
      </c>
      <c r="C364" s="2">
        <v>2013.0</v>
      </c>
      <c r="D364" s="2" t="s">
        <v>3998</v>
      </c>
      <c r="E364" s="2" t="s">
        <v>3999</v>
      </c>
      <c r="F364" s="2" t="s">
        <v>1949</v>
      </c>
      <c r="I364" s="2" t="s">
        <v>4000</v>
      </c>
      <c r="L364" s="2" t="s">
        <v>1429</v>
      </c>
      <c r="M364" s="2" t="s">
        <v>4001</v>
      </c>
      <c r="N364" s="2" t="s">
        <v>4002</v>
      </c>
      <c r="P364" s="2" t="s">
        <v>4003</v>
      </c>
      <c r="S364" s="2">
        <v>6.0</v>
      </c>
      <c r="AN364" s="2" t="s">
        <v>1368</v>
      </c>
    </row>
    <row r="365" ht="15.75" customHeight="1">
      <c r="A365" s="2" t="s">
        <v>4004</v>
      </c>
      <c r="B365" s="2" t="s">
        <v>1361</v>
      </c>
      <c r="C365" s="2">
        <v>1973.0</v>
      </c>
      <c r="D365" s="2" t="s">
        <v>4005</v>
      </c>
      <c r="E365" s="2" t="s">
        <v>4006</v>
      </c>
      <c r="F365" s="2" t="s">
        <v>4007</v>
      </c>
      <c r="I365" s="2" t="s">
        <v>4008</v>
      </c>
      <c r="L365" s="2" t="s">
        <v>3607</v>
      </c>
      <c r="M365" s="2" t="s">
        <v>4009</v>
      </c>
      <c r="N365" s="2" t="s">
        <v>4010</v>
      </c>
      <c r="P365" s="2" t="s">
        <v>4011</v>
      </c>
      <c r="R365" s="2" t="s">
        <v>2271</v>
      </c>
      <c r="S365" s="2">
        <v>30.0</v>
      </c>
      <c r="AN365" s="2" t="s">
        <v>1368</v>
      </c>
    </row>
    <row r="366" ht="15.75" customHeight="1">
      <c r="A366" s="2" t="s">
        <v>4012</v>
      </c>
      <c r="B366" s="2" t="s">
        <v>1361</v>
      </c>
      <c r="C366" s="2">
        <v>2017.0</v>
      </c>
      <c r="D366" s="2" t="s">
        <v>4013</v>
      </c>
      <c r="E366" s="2" t="s">
        <v>4014</v>
      </c>
      <c r="F366" s="2" t="s">
        <v>4015</v>
      </c>
      <c r="L366" s="2" t="s">
        <v>1658</v>
      </c>
      <c r="M366" s="2" t="s">
        <v>4016</v>
      </c>
      <c r="N366" s="2" t="s">
        <v>4017</v>
      </c>
      <c r="R366" s="2" t="s">
        <v>2739</v>
      </c>
      <c r="AN366" s="2" t="s">
        <v>1368</v>
      </c>
    </row>
    <row r="367" ht="15.75" customHeight="1">
      <c r="A367" s="2" t="s">
        <v>4018</v>
      </c>
      <c r="B367" s="2" t="s">
        <v>1361</v>
      </c>
      <c r="C367" s="2">
        <v>2017.0</v>
      </c>
      <c r="D367" s="2" t="s">
        <v>4019</v>
      </c>
      <c r="E367" s="2" t="s">
        <v>4020</v>
      </c>
      <c r="F367" s="2" t="s">
        <v>4021</v>
      </c>
      <c r="I367" s="2" t="s">
        <v>4022</v>
      </c>
      <c r="L367" s="2" t="s">
        <v>1658</v>
      </c>
      <c r="M367" s="2" t="s">
        <v>4023</v>
      </c>
      <c r="N367" s="2" t="s">
        <v>4024</v>
      </c>
      <c r="P367" s="2" t="s">
        <v>4025</v>
      </c>
      <c r="R367" s="2" t="s">
        <v>1600</v>
      </c>
      <c r="S367" s="2">
        <v>4.0</v>
      </c>
      <c r="AN367" s="2" t="s">
        <v>1368</v>
      </c>
    </row>
    <row r="368" ht="15.75" customHeight="1">
      <c r="A368" s="2" t="s">
        <v>4026</v>
      </c>
      <c r="B368" s="2" t="s">
        <v>1361</v>
      </c>
      <c r="C368" s="2">
        <v>2005.0</v>
      </c>
      <c r="D368" s="2" t="s">
        <v>4027</v>
      </c>
      <c r="E368" s="2" t="s">
        <v>4028</v>
      </c>
      <c r="F368" s="2" t="s">
        <v>4029</v>
      </c>
      <c r="I368" s="2" t="s">
        <v>4030</v>
      </c>
      <c r="L368" s="2" t="s">
        <v>1394</v>
      </c>
      <c r="M368" s="2" t="s">
        <v>4031</v>
      </c>
      <c r="N368" s="2" t="s">
        <v>4032</v>
      </c>
      <c r="P368" s="2" t="s">
        <v>4033</v>
      </c>
      <c r="R368" s="2" t="s">
        <v>1453</v>
      </c>
      <c r="S368" s="2">
        <v>49.0</v>
      </c>
      <c r="AN368" s="2" t="s">
        <v>1368</v>
      </c>
    </row>
    <row r="369" ht="15.75" customHeight="1">
      <c r="A369" s="2" t="s">
        <v>4034</v>
      </c>
      <c r="B369" s="2" t="s">
        <v>1361</v>
      </c>
      <c r="C369" s="2">
        <v>2013.0</v>
      </c>
      <c r="D369" s="2" t="s">
        <v>4035</v>
      </c>
      <c r="E369" s="2" t="s">
        <v>4036</v>
      </c>
      <c r="F369" s="2" t="s">
        <v>4037</v>
      </c>
      <c r="K369" s="2" t="s">
        <v>4038</v>
      </c>
      <c r="L369" s="2" t="s">
        <v>1429</v>
      </c>
      <c r="M369" s="2" t="s">
        <v>4039</v>
      </c>
      <c r="N369" s="2" t="s">
        <v>4040</v>
      </c>
      <c r="P369" s="2" t="s">
        <v>4041</v>
      </c>
      <c r="R369" s="2" t="s">
        <v>1453</v>
      </c>
      <c r="S369" s="2">
        <v>13.0</v>
      </c>
      <c r="AN369" s="2" t="s">
        <v>1368</v>
      </c>
    </row>
    <row r="370" ht="15.75" customHeight="1">
      <c r="A370" s="2" t="s">
        <v>4042</v>
      </c>
      <c r="B370" s="2" t="s">
        <v>1361</v>
      </c>
      <c r="C370" s="2">
        <v>2004.0</v>
      </c>
      <c r="D370" s="2" t="s">
        <v>4043</v>
      </c>
      <c r="E370" s="2" t="s">
        <v>4044</v>
      </c>
      <c r="F370" s="2" t="s">
        <v>1688</v>
      </c>
      <c r="H370" s="2" t="s">
        <v>1689</v>
      </c>
      <c r="I370" s="2" t="s">
        <v>4045</v>
      </c>
      <c r="L370" s="2" t="s">
        <v>2373</v>
      </c>
      <c r="M370" s="2" t="s">
        <v>4046</v>
      </c>
      <c r="N370" s="2" t="s">
        <v>4047</v>
      </c>
      <c r="P370" s="2" t="s">
        <v>4048</v>
      </c>
      <c r="R370" s="2" t="s">
        <v>4049</v>
      </c>
      <c r="S370" s="2">
        <v>101.0</v>
      </c>
      <c r="AN370" s="2" t="s">
        <v>1368</v>
      </c>
    </row>
    <row r="371" ht="15.75" customHeight="1">
      <c r="A371" s="2" t="s">
        <v>4050</v>
      </c>
      <c r="B371" s="2" t="s">
        <v>1361</v>
      </c>
      <c r="C371" s="2">
        <v>1988.0</v>
      </c>
      <c r="D371" s="2" t="s">
        <v>4051</v>
      </c>
      <c r="E371" s="2" t="s">
        <v>4052</v>
      </c>
      <c r="F371" s="2" t="s">
        <v>4053</v>
      </c>
      <c r="I371" s="2" t="s">
        <v>4054</v>
      </c>
      <c r="L371" s="2" t="s">
        <v>4055</v>
      </c>
      <c r="M371" s="2" t="s">
        <v>4056</v>
      </c>
      <c r="N371" s="2" t="s">
        <v>4057</v>
      </c>
      <c r="P371" s="2" t="s">
        <v>4058</v>
      </c>
      <c r="R371" s="2" t="s">
        <v>1600</v>
      </c>
      <c r="S371" s="2">
        <v>82.0</v>
      </c>
      <c r="AN371" s="2" t="s">
        <v>1368</v>
      </c>
    </row>
    <row r="372" ht="15.75" customHeight="1">
      <c r="A372" s="2" t="s">
        <v>4059</v>
      </c>
      <c r="B372" s="2" t="s">
        <v>1361</v>
      </c>
      <c r="C372" s="2">
        <v>2013.0</v>
      </c>
      <c r="D372" s="2" t="s">
        <v>4060</v>
      </c>
      <c r="E372" s="2" t="s">
        <v>4061</v>
      </c>
      <c r="F372" s="2" t="s">
        <v>4062</v>
      </c>
      <c r="H372" s="2" t="s">
        <v>4063</v>
      </c>
      <c r="I372" s="2" t="s">
        <v>4064</v>
      </c>
      <c r="K372" s="2" t="s">
        <v>4065</v>
      </c>
      <c r="L372" s="2" t="s">
        <v>1429</v>
      </c>
      <c r="M372" s="2" t="s">
        <v>4066</v>
      </c>
      <c r="N372" s="2" t="s">
        <v>4067</v>
      </c>
      <c r="P372" s="2" t="s">
        <v>4068</v>
      </c>
      <c r="R372" s="2" t="s">
        <v>1462</v>
      </c>
      <c r="S372" s="2">
        <v>12.0</v>
      </c>
      <c r="AN372" s="2" t="s">
        <v>1368</v>
      </c>
    </row>
    <row r="373" ht="15.75" customHeight="1">
      <c r="A373" s="2" t="s">
        <v>4069</v>
      </c>
      <c r="B373" s="2" t="s">
        <v>1361</v>
      </c>
      <c r="C373" s="2">
        <v>2012.0</v>
      </c>
      <c r="D373" s="2" t="s">
        <v>4070</v>
      </c>
      <c r="E373" s="2" t="s">
        <v>4071</v>
      </c>
      <c r="F373" s="2" t="s">
        <v>1715</v>
      </c>
      <c r="I373" s="2" t="s">
        <v>4072</v>
      </c>
      <c r="L373" s="2" t="s">
        <v>1405</v>
      </c>
      <c r="M373" s="2" t="s">
        <v>4073</v>
      </c>
      <c r="N373" s="2" t="s">
        <v>4074</v>
      </c>
      <c r="P373" s="2" t="s">
        <v>4075</v>
      </c>
      <c r="R373" s="2" t="s">
        <v>1453</v>
      </c>
      <c r="S373" s="2">
        <v>97.0</v>
      </c>
      <c r="AN373" s="2" t="s">
        <v>1368</v>
      </c>
    </row>
    <row r="374" ht="15.75" customHeight="1">
      <c r="A374" s="2" t="s">
        <v>4076</v>
      </c>
      <c r="B374" s="2" t="s">
        <v>1361</v>
      </c>
      <c r="C374" s="2">
        <v>2007.0</v>
      </c>
      <c r="D374" s="2" t="s">
        <v>4077</v>
      </c>
      <c r="E374" s="2" t="s">
        <v>4078</v>
      </c>
      <c r="F374" s="2" t="s">
        <v>3841</v>
      </c>
      <c r="I374" s="2" t="s">
        <v>4079</v>
      </c>
      <c r="L374" s="2" t="s">
        <v>2380</v>
      </c>
      <c r="M374" s="2" t="s">
        <v>4080</v>
      </c>
      <c r="N374" s="2" t="s">
        <v>4081</v>
      </c>
      <c r="P374" s="2" t="s">
        <v>4082</v>
      </c>
      <c r="R374" s="2" t="s">
        <v>1462</v>
      </c>
      <c r="S374" s="2">
        <v>87.0</v>
      </c>
      <c r="AN374" s="2" t="s">
        <v>1368</v>
      </c>
    </row>
    <row r="375" ht="15.75" customHeight="1">
      <c r="A375" s="2" t="s">
        <v>4083</v>
      </c>
      <c r="B375" s="2" t="s">
        <v>1361</v>
      </c>
      <c r="C375" s="2">
        <v>2002.0</v>
      </c>
      <c r="D375" s="2" t="s">
        <v>4084</v>
      </c>
      <c r="E375" s="2" t="s">
        <v>4085</v>
      </c>
      <c r="F375" s="2" t="s">
        <v>4086</v>
      </c>
      <c r="I375" s="2" t="s">
        <v>4087</v>
      </c>
      <c r="L375" s="2" t="s">
        <v>1493</v>
      </c>
      <c r="M375" s="2" t="s">
        <v>4088</v>
      </c>
      <c r="N375" s="2" t="s">
        <v>4089</v>
      </c>
      <c r="P375" s="2" t="s">
        <v>4090</v>
      </c>
      <c r="R375" s="2" t="s">
        <v>1462</v>
      </c>
      <c r="S375" s="2">
        <v>92.0</v>
      </c>
      <c r="AN375" s="2" t="s">
        <v>1368</v>
      </c>
    </row>
    <row r="376" ht="15.75" customHeight="1">
      <c r="A376" s="2" t="s">
        <v>4091</v>
      </c>
      <c r="B376" s="2" t="s">
        <v>1361</v>
      </c>
      <c r="C376" s="2">
        <v>1997.0</v>
      </c>
      <c r="D376" s="2" t="s">
        <v>4092</v>
      </c>
      <c r="E376" s="2" t="s">
        <v>4093</v>
      </c>
      <c r="F376" s="2" t="s">
        <v>1672</v>
      </c>
      <c r="I376" s="2" t="s">
        <v>4094</v>
      </c>
      <c r="L376" s="2" t="s">
        <v>1804</v>
      </c>
      <c r="M376" s="2" t="s">
        <v>4095</v>
      </c>
      <c r="N376" s="2" t="s">
        <v>4096</v>
      </c>
      <c r="P376" s="2" t="s">
        <v>4097</v>
      </c>
      <c r="R376" s="2" t="s">
        <v>1462</v>
      </c>
      <c r="S376" s="2">
        <v>28.0</v>
      </c>
      <c r="AN376" s="2" t="s">
        <v>1368</v>
      </c>
    </row>
    <row r="377" ht="15.75" customHeight="1">
      <c r="A377" s="2" t="s">
        <v>4098</v>
      </c>
      <c r="B377" s="2" t="s">
        <v>1361</v>
      </c>
      <c r="C377" s="2">
        <v>2017.0</v>
      </c>
      <c r="D377" s="2" t="s">
        <v>4099</v>
      </c>
      <c r="E377" s="2" t="s">
        <v>4100</v>
      </c>
      <c r="F377" s="2" t="s">
        <v>4101</v>
      </c>
      <c r="I377" s="2" t="s">
        <v>4102</v>
      </c>
      <c r="L377" s="2" t="s">
        <v>1658</v>
      </c>
      <c r="M377" s="2" t="s">
        <v>4103</v>
      </c>
      <c r="N377" s="2" t="s">
        <v>4104</v>
      </c>
      <c r="P377" s="2" t="s">
        <v>3528</v>
      </c>
      <c r="AN377" s="2" t="s">
        <v>1368</v>
      </c>
    </row>
    <row r="378" ht="15.75" customHeight="1">
      <c r="A378" s="2" t="s">
        <v>4105</v>
      </c>
      <c r="B378" s="2" t="s">
        <v>1361</v>
      </c>
      <c r="C378" s="2">
        <v>2004.0</v>
      </c>
      <c r="D378" s="2" t="s">
        <v>4106</v>
      </c>
      <c r="E378" s="2" t="s">
        <v>4107</v>
      </c>
      <c r="F378" s="2" t="s">
        <v>1380</v>
      </c>
      <c r="I378" s="2" t="s">
        <v>4108</v>
      </c>
      <c r="L378" s="2" t="s">
        <v>2373</v>
      </c>
      <c r="M378" s="2" t="s">
        <v>4109</v>
      </c>
      <c r="N378" s="2" t="s">
        <v>4110</v>
      </c>
      <c r="P378" s="2" t="s">
        <v>4111</v>
      </c>
      <c r="R378" s="2" t="s">
        <v>4112</v>
      </c>
      <c r="S378" s="2">
        <v>428.0</v>
      </c>
      <c r="AN378" s="2" t="s">
        <v>1368</v>
      </c>
    </row>
    <row r="379" ht="15.75" customHeight="1">
      <c r="A379" s="2" t="s">
        <v>4113</v>
      </c>
      <c r="B379" s="2" t="s">
        <v>1361</v>
      </c>
      <c r="C379" s="2">
        <v>2014.0</v>
      </c>
      <c r="D379" s="2" t="s">
        <v>4114</v>
      </c>
      <c r="E379" s="2" t="s">
        <v>4115</v>
      </c>
      <c r="F379" s="2" t="s">
        <v>2020</v>
      </c>
      <c r="I379" s="2" t="s">
        <v>4116</v>
      </c>
      <c r="L379" s="2" t="s">
        <v>1476</v>
      </c>
      <c r="M379" s="2" t="s">
        <v>4117</v>
      </c>
      <c r="N379" s="2" t="s">
        <v>4118</v>
      </c>
      <c r="P379" s="2" t="s">
        <v>4119</v>
      </c>
      <c r="S379" s="2">
        <v>33.0</v>
      </c>
      <c r="AN379" s="2" t="s">
        <v>1368</v>
      </c>
    </row>
    <row r="380" ht="15.75" customHeight="1">
      <c r="A380" s="2" t="s">
        <v>4120</v>
      </c>
      <c r="B380" s="2" t="s">
        <v>1361</v>
      </c>
      <c r="C380" s="2">
        <v>2007.0</v>
      </c>
      <c r="D380" s="2" t="s">
        <v>4121</v>
      </c>
      <c r="E380" s="2" t="s">
        <v>4122</v>
      </c>
      <c r="F380" s="2" t="s">
        <v>4123</v>
      </c>
      <c r="I380" s="2" t="s">
        <v>4124</v>
      </c>
      <c r="L380" s="2" t="s">
        <v>2380</v>
      </c>
      <c r="M380" s="2" t="s">
        <v>4125</v>
      </c>
      <c r="N380" s="2" t="s">
        <v>4126</v>
      </c>
      <c r="P380" s="2" t="s">
        <v>4127</v>
      </c>
      <c r="R380" s="2" t="s">
        <v>1453</v>
      </c>
      <c r="S380" s="2">
        <v>24.0</v>
      </c>
      <c r="AN380" s="2" t="s">
        <v>1368</v>
      </c>
    </row>
    <row r="381" ht="15.75" customHeight="1">
      <c r="A381" s="2" t="s">
        <v>4128</v>
      </c>
      <c r="B381" s="2" t="s">
        <v>1361</v>
      </c>
      <c r="C381" s="2">
        <v>2018.0</v>
      </c>
      <c r="D381" s="2" t="s">
        <v>4129</v>
      </c>
      <c r="E381" s="2" t="s">
        <v>4130</v>
      </c>
      <c r="F381" s="2" t="s">
        <v>2905</v>
      </c>
      <c r="I381" s="2" t="s">
        <v>4131</v>
      </c>
      <c r="L381" s="2" t="s">
        <v>1420</v>
      </c>
      <c r="M381" s="2" t="s">
        <v>4132</v>
      </c>
      <c r="N381" s="2" t="s">
        <v>4133</v>
      </c>
      <c r="P381" s="2" t="s">
        <v>4134</v>
      </c>
      <c r="R381" s="2" t="s">
        <v>1937</v>
      </c>
      <c r="S381" s="2">
        <v>1.0</v>
      </c>
      <c r="AN381" s="2" t="s">
        <v>1368</v>
      </c>
    </row>
    <row r="382" ht="15.75" customHeight="1">
      <c r="A382" s="2" t="s">
        <v>4135</v>
      </c>
      <c r="B382" s="2" t="s">
        <v>1361</v>
      </c>
      <c r="C382" s="2">
        <v>2013.0</v>
      </c>
      <c r="D382" s="2" t="s">
        <v>4136</v>
      </c>
      <c r="E382" s="2" t="s">
        <v>549</v>
      </c>
      <c r="F382" s="2" t="s">
        <v>4137</v>
      </c>
      <c r="H382" s="2" t="s">
        <v>4138</v>
      </c>
      <c r="I382" s="2" t="s">
        <v>552</v>
      </c>
      <c r="J382" s="2" t="s">
        <v>4139</v>
      </c>
      <c r="K382" s="2" t="s">
        <v>4140</v>
      </c>
      <c r="L382" s="2" t="s">
        <v>4141</v>
      </c>
      <c r="M382" s="2" t="s">
        <v>4142</v>
      </c>
      <c r="N382" s="2" t="s">
        <v>4143</v>
      </c>
      <c r="O382" s="2" t="s">
        <v>4144</v>
      </c>
      <c r="P382" s="2" t="s">
        <v>4145</v>
      </c>
      <c r="S382" s="2">
        <v>130.0</v>
      </c>
      <c r="U382" s="2" t="s">
        <v>4137</v>
      </c>
      <c r="AC382" s="2" t="s">
        <v>1540</v>
      </c>
      <c r="AH382" s="2" t="s">
        <v>1541</v>
      </c>
      <c r="AN382" s="2" t="s">
        <v>1885</v>
      </c>
    </row>
    <row r="383" ht="15.75" customHeight="1">
      <c r="A383" s="2" t="s">
        <v>4146</v>
      </c>
      <c r="B383" s="2" t="s">
        <v>1361</v>
      </c>
      <c r="C383" s="2">
        <v>2013.0</v>
      </c>
      <c r="D383" s="2" t="s">
        <v>4147</v>
      </c>
      <c r="E383" s="2" t="s">
        <v>4148</v>
      </c>
      <c r="F383" s="2" t="s">
        <v>1688</v>
      </c>
      <c r="H383" s="2" t="s">
        <v>2892</v>
      </c>
      <c r="I383" s="2" t="s">
        <v>4149</v>
      </c>
      <c r="J383" s="2" t="s">
        <v>4150</v>
      </c>
      <c r="K383" s="2" t="s">
        <v>4151</v>
      </c>
      <c r="L383" s="2" t="s">
        <v>4152</v>
      </c>
      <c r="M383" s="2" t="s">
        <v>4153</v>
      </c>
      <c r="N383" s="2" t="s">
        <v>4154</v>
      </c>
      <c r="O383" s="2" t="s">
        <v>4155</v>
      </c>
      <c r="P383" s="2" t="s">
        <v>4156</v>
      </c>
      <c r="R383" s="2" t="s">
        <v>1600</v>
      </c>
      <c r="S383" s="2">
        <v>110.0</v>
      </c>
      <c r="U383" s="2" t="s">
        <v>2901</v>
      </c>
      <c r="AC383" s="2" t="s">
        <v>1540</v>
      </c>
      <c r="AH383" s="2" t="s">
        <v>1541</v>
      </c>
      <c r="AN383" s="2" t="s">
        <v>4157</v>
      </c>
    </row>
    <row r="384" ht="15.75" customHeight="1">
      <c r="A384" s="2" t="s">
        <v>4158</v>
      </c>
      <c r="B384" s="2" t="s">
        <v>1361</v>
      </c>
      <c r="C384" s="2">
        <v>2018.0</v>
      </c>
      <c r="D384" s="2" t="s">
        <v>4159</v>
      </c>
      <c r="E384" s="2" t="s">
        <v>4160</v>
      </c>
      <c r="F384" s="2" t="s">
        <v>3295</v>
      </c>
      <c r="H384" s="2" t="s">
        <v>3296</v>
      </c>
      <c r="I384" s="2" t="s">
        <v>4161</v>
      </c>
      <c r="J384" s="2" t="s">
        <v>4162</v>
      </c>
      <c r="L384" s="2" t="s">
        <v>4163</v>
      </c>
      <c r="M384" s="2" t="s">
        <v>4164</v>
      </c>
      <c r="N384" s="2" t="s">
        <v>4165</v>
      </c>
      <c r="O384" s="2" t="s">
        <v>4166</v>
      </c>
      <c r="P384" s="2" t="s">
        <v>4167</v>
      </c>
      <c r="R384" s="2" t="s">
        <v>1453</v>
      </c>
      <c r="S384" s="2">
        <v>11.0</v>
      </c>
      <c r="U384" s="2" t="s">
        <v>4168</v>
      </c>
      <c r="V384" s="2" t="s">
        <v>4169</v>
      </c>
      <c r="AC384" s="2" t="s">
        <v>1540</v>
      </c>
      <c r="AH384" s="2" t="s">
        <v>1541</v>
      </c>
      <c r="AN384" s="2" t="s">
        <v>1872</v>
      </c>
    </row>
    <row r="385" ht="15.75" customHeight="1">
      <c r="A385" s="2" t="s">
        <v>4170</v>
      </c>
      <c r="B385" s="2" t="s">
        <v>1361</v>
      </c>
      <c r="C385" s="2">
        <v>2007.0</v>
      </c>
      <c r="D385" s="2" t="s">
        <v>4171</v>
      </c>
      <c r="E385" s="2" t="s">
        <v>4172</v>
      </c>
      <c r="F385" s="2" t="s">
        <v>2665</v>
      </c>
      <c r="H385" s="2" t="s">
        <v>4173</v>
      </c>
      <c r="I385" s="2" t="s">
        <v>4174</v>
      </c>
      <c r="J385" s="2" t="s">
        <v>4175</v>
      </c>
      <c r="L385" s="2" t="s">
        <v>4176</v>
      </c>
      <c r="M385" s="2" t="s">
        <v>4177</v>
      </c>
      <c r="N385" s="2" t="s">
        <v>4178</v>
      </c>
      <c r="O385" s="2" t="s">
        <v>4179</v>
      </c>
      <c r="P385" s="2" t="s">
        <v>4180</v>
      </c>
      <c r="R385" s="2" t="s">
        <v>1600</v>
      </c>
      <c r="S385" s="2">
        <v>35.0</v>
      </c>
      <c r="U385" s="2" t="s">
        <v>4181</v>
      </c>
      <c r="V385" s="2" t="s">
        <v>4182</v>
      </c>
      <c r="AC385" s="2" t="s">
        <v>1540</v>
      </c>
      <c r="AH385" s="2" t="s">
        <v>1541</v>
      </c>
      <c r="AN385" s="2" t="s">
        <v>1872</v>
      </c>
    </row>
    <row r="386" ht="15.75" customHeight="1">
      <c r="A386" s="2" t="s">
        <v>4183</v>
      </c>
      <c r="B386" s="2" t="s">
        <v>1361</v>
      </c>
      <c r="C386" s="2">
        <v>2012.0</v>
      </c>
      <c r="D386" s="2" t="s">
        <v>4184</v>
      </c>
      <c r="E386" s="2" t="s">
        <v>4185</v>
      </c>
      <c r="F386" s="2" t="s">
        <v>4186</v>
      </c>
      <c r="H386" s="2" t="s">
        <v>4187</v>
      </c>
      <c r="I386" s="2" t="s">
        <v>4188</v>
      </c>
      <c r="J386" s="2" t="s">
        <v>4189</v>
      </c>
      <c r="L386" s="2" t="s">
        <v>1405</v>
      </c>
      <c r="M386" s="2" t="s">
        <v>4190</v>
      </c>
      <c r="N386" s="2" t="s">
        <v>4191</v>
      </c>
      <c r="P386" s="2" t="s">
        <v>4192</v>
      </c>
      <c r="R386" s="2" t="s">
        <v>1937</v>
      </c>
      <c r="S386" s="2">
        <v>15.0</v>
      </c>
      <c r="AN386" s="2" t="s">
        <v>1609</v>
      </c>
    </row>
    <row r="387" ht="15.75" customHeight="1">
      <c r="A387" s="2" t="s">
        <v>4193</v>
      </c>
      <c r="B387" s="2" t="s">
        <v>1396</v>
      </c>
      <c r="C387" s="2">
        <v>2016.0</v>
      </c>
      <c r="D387" s="2" t="s">
        <v>4194</v>
      </c>
      <c r="E387" s="2" t="s">
        <v>4195</v>
      </c>
      <c r="J387" s="2" t="s">
        <v>4196</v>
      </c>
      <c r="L387" s="2" t="s">
        <v>4197</v>
      </c>
      <c r="M387" s="2" t="s">
        <v>4198</v>
      </c>
      <c r="N387" s="2" t="s">
        <v>4199</v>
      </c>
      <c r="O387" s="2" t="s">
        <v>4200</v>
      </c>
      <c r="AC387" s="2" t="s">
        <v>1540</v>
      </c>
      <c r="AH387" s="2" t="s">
        <v>4201</v>
      </c>
      <c r="AN387" s="2" t="s">
        <v>1885</v>
      </c>
    </row>
    <row r="388" ht="15.75" customHeight="1">
      <c r="A388" s="2" t="s">
        <v>4202</v>
      </c>
      <c r="B388" s="2" t="s">
        <v>1361</v>
      </c>
      <c r="C388" s="2">
        <v>2003.0</v>
      </c>
      <c r="D388" s="2" t="s">
        <v>4203</v>
      </c>
      <c r="E388" s="2" t="s">
        <v>4204</v>
      </c>
      <c r="F388" s="2" t="s">
        <v>4205</v>
      </c>
      <c r="H388" s="2" t="s">
        <v>4206</v>
      </c>
      <c r="I388" s="2" t="s">
        <v>4207</v>
      </c>
      <c r="J388" s="2" t="s">
        <v>4208</v>
      </c>
      <c r="L388" s="2" t="s">
        <v>4209</v>
      </c>
      <c r="M388" s="2" t="s">
        <v>4210</v>
      </c>
      <c r="N388" s="2" t="s">
        <v>4211</v>
      </c>
      <c r="O388" s="2" t="s">
        <v>1870</v>
      </c>
      <c r="P388" s="2" t="s">
        <v>4212</v>
      </c>
      <c r="R388" s="2" t="s">
        <v>1462</v>
      </c>
      <c r="S388" s="2">
        <v>67.0</v>
      </c>
      <c r="U388" s="2" t="s">
        <v>4205</v>
      </c>
      <c r="AC388" s="2" t="s">
        <v>1540</v>
      </c>
      <c r="AH388" s="2" t="s">
        <v>1541</v>
      </c>
      <c r="AN388" s="2" t="s">
        <v>1872</v>
      </c>
    </row>
    <row r="389" ht="15.75" customHeight="1">
      <c r="A389" s="2" t="s">
        <v>4213</v>
      </c>
      <c r="B389" s="2" t="s">
        <v>1361</v>
      </c>
      <c r="C389" s="2">
        <v>2010.0</v>
      </c>
      <c r="D389" s="2" t="s">
        <v>4214</v>
      </c>
      <c r="E389" s="2" t="s">
        <v>930</v>
      </c>
      <c r="F389" s="2" t="s">
        <v>4215</v>
      </c>
      <c r="H389" s="2" t="s">
        <v>4216</v>
      </c>
      <c r="I389" s="2" t="s">
        <v>933</v>
      </c>
      <c r="J389" s="2" t="s">
        <v>4217</v>
      </c>
      <c r="K389" s="2" t="s">
        <v>932</v>
      </c>
      <c r="L389" s="2" t="s">
        <v>4218</v>
      </c>
      <c r="M389" s="2" t="s">
        <v>4219</v>
      </c>
      <c r="N389" s="2" t="s">
        <v>4220</v>
      </c>
      <c r="P389" s="2" t="s">
        <v>4221</v>
      </c>
      <c r="R389" s="2" t="s">
        <v>1462</v>
      </c>
      <c r="S389" s="2">
        <v>35.0</v>
      </c>
      <c r="AN389" s="2" t="s">
        <v>2169</v>
      </c>
    </row>
    <row r="390" ht="15.75" customHeight="1">
      <c r="A390" s="2" t="s">
        <v>4222</v>
      </c>
      <c r="B390" s="2" t="s">
        <v>1361</v>
      </c>
      <c r="C390" s="2">
        <v>2014.0</v>
      </c>
      <c r="D390" s="2" t="s">
        <v>4223</v>
      </c>
      <c r="E390" s="2" t="s">
        <v>4224</v>
      </c>
      <c r="F390" s="2" t="s">
        <v>4225</v>
      </c>
      <c r="H390" s="2" t="s">
        <v>4226</v>
      </c>
      <c r="I390" s="2" t="s">
        <v>4227</v>
      </c>
      <c r="K390" s="2" t="s">
        <v>4228</v>
      </c>
      <c r="L390" s="2" t="s">
        <v>1476</v>
      </c>
      <c r="M390" s="2" t="s">
        <v>1385</v>
      </c>
      <c r="N390" s="2" t="s">
        <v>1386</v>
      </c>
      <c r="P390" s="2" t="s">
        <v>4229</v>
      </c>
      <c r="R390" s="2" t="s">
        <v>1453</v>
      </c>
      <c r="S390" s="2">
        <v>73.0</v>
      </c>
      <c r="AJ390" s="2" t="s">
        <v>4230</v>
      </c>
      <c r="AN390" s="2" t="s">
        <v>1368</v>
      </c>
    </row>
    <row r="391" ht="15.75" customHeight="1">
      <c r="A391" s="2" t="s">
        <v>4231</v>
      </c>
      <c r="B391" s="2" t="s">
        <v>1361</v>
      </c>
      <c r="C391" s="2">
        <v>2009.0</v>
      </c>
      <c r="D391" s="2" t="s">
        <v>4232</v>
      </c>
      <c r="E391" s="2" t="s">
        <v>4233</v>
      </c>
      <c r="F391" s="2" t="s">
        <v>1587</v>
      </c>
      <c r="H391" s="2" t="s">
        <v>3516</v>
      </c>
      <c r="I391" s="2" t="s">
        <v>4234</v>
      </c>
      <c r="K391" s="2" t="s">
        <v>4235</v>
      </c>
      <c r="L391" s="2" t="s">
        <v>1364</v>
      </c>
      <c r="M391" s="2" t="s">
        <v>1385</v>
      </c>
      <c r="N391" s="2" t="s">
        <v>1386</v>
      </c>
      <c r="P391" s="2" t="s">
        <v>4236</v>
      </c>
      <c r="R391" s="2" t="s">
        <v>1937</v>
      </c>
      <c r="S391" s="2">
        <v>23.0</v>
      </c>
      <c r="AN391" s="2" t="s">
        <v>1368</v>
      </c>
    </row>
    <row r="392" ht="15.75" customHeight="1">
      <c r="A392" s="2" t="s">
        <v>4237</v>
      </c>
      <c r="B392" s="2" t="s">
        <v>1361</v>
      </c>
      <c r="C392" s="2">
        <v>2008.0</v>
      </c>
      <c r="D392" s="2" t="s">
        <v>4238</v>
      </c>
      <c r="E392" s="2" t="s">
        <v>4239</v>
      </c>
      <c r="F392" s="2" t="s">
        <v>1890</v>
      </c>
      <c r="H392" s="2" t="s">
        <v>1891</v>
      </c>
      <c r="I392" s="2" t="s">
        <v>4240</v>
      </c>
      <c r="K392" s="2" t="s">
        <v>4241</v>
      </c>
      <c r="L392" s="2" t="s">
        <v>1458</v>
      </c>
      <c r="M392" s="2" t="s">
        <v>1385</v>
      </c>
      <c r="N392" s="2" t="s">
        <v>1386</v>
      </c>
      <c r="P392" s="2" t="s">
        <v>4242</v>
      </c>
      <c r="R392" s="2" t="s">
        <v>1506</v>
      </c>
      <c r="S392" s="2">
        <v>6.0</v>
      </c>
      <c r="AN392" s="2" t="s">
        <v>1368</v>
      </c>
    </row>
    <row r="393" ht="15.75" customHeight="1">
      <c r="A393" s="2" t="s">
        <v>4243</v>
      </c>
      <c r="B393" s="2" t="s">
        <v>1361</v>
      </c>
      <c r="C393" s="2">
        <v>2005.0</v>
      </c>
      <c r="D393" s="2" t="s">
        <v>4244</v>
      </c>
      <c r="E393" s="2" t="s">
        <v>4245</v>
      </c>
      <c r="F393" s="2" t="s">
        <v>1789</v>
      </c>
      <c r="H393" s="2" t="s">
        <v>1790</v>
      </c>
      <c r="I393" s="2" t="s">
        <v>4246</v>
      </c>
      <c r="K393" s="2" t="s">
        <v>4247</v>
      </c>
      <c r="L393" s="2" t="s">
        <v>1394</v>
      </c>
      <c r="M393" s="2" t="s">
        <v>1385</v>
      </c>
      <c r="N393" s="2" t="s">
        <v>1386</v>
      </c>
      <c r="P393" s="2" t="s">
        <v>4248</v>
      </c>
      <c r="R393" s="2" t="s">
        <v>1462</v>
      </c>
      <c r="S393" s="2">
        <v>15.0</v>
      </c>
      <c r="AN393" s="2" t="s">
        <v>1368</v>
      </c>
    </row>
    <row r="394" ht="15.75" customHeight="1">
      <c r="A394" s="2" t="s">
        <v>4249</v>
      </c>
      <c r="B394" s="2" t="s">
        <v>1361</v>
      </c>
      <c r="C394" s="2">
        <v>2008.0</v>
      </c>
      <c r="D394" s="2" t="s">
        <v>4250</v>
      </c>
      <c r="E394" s="2" t="s">
        <v>4251</v>
      </c>
      <c r="F394" s="2" t="s">
        <v>4252</v>
      </c>
      <c r="H394" s="2" t="s">
        <v>4253</v>
      </c>
      <c r="I394" s="2" t="s">
        <v>4254</v>
      </c>
      <c r="K394" s="2" t="s">
        <v>4255</v>
      </c>
      <c r="L394" s="2" t="s">
        <v>1458</v>
      </c>
      <c r="M394" s="2" t="s">
        <v>1385</v>
      </c>
      <c r="N394" s="2" t="s">
        <v>1386</v>
      </c>
      <c r="P394" s="2" t="s">
        <v>2671</v>
      </c>
      <c r="R394" s="2" t="s">
        <v>1462</v>
      </c>
      <c r="S394" s="2">
        <v>22.0</v>
      </c>
      <c r="AN394" s="2" t="s">
        <v>2238</v>
      </c>
    </row>
    <row r="395" ht="15.75" customHeight="1">
      <c r="A395" s="2" t="s">
        <v>4256</v>
      </c>
      <c r="B395" s="2" t="s">
        <v>1361</v>
      </c>
      <c r="C395" s="2">
        <v>2015.0</v>
      </c>
      <c r="D395" s="2" t="s">
        <v>4257</v>
      </c>
      <c r="E395" s="2" t="s">
        <v>4258</v>
      </c>
      <c r="F395" s="2" t="s">
        <v>1876</v>
      </c>
      <c r="I395" s="2" t="s">
        <v>4259</v>
      </c>
      <c r="J395" s="2" t="s">
        <v>4260</v>
      </c>
      <c r="K395" s="2" t="s">
        <v>4261</v>
      </c>
      <c r="L395" s="2" t="s">
        <v>1373</v>
      </c>
      <c r="M395" s="2" t="s">
        <v>1385</v>
      </c>
      <c r="N395" s="2" t="s">
        <v>1386</v>
      </c>
      <c r="P395" s="2" t="s">
        <v>4262</v>
      </c>
      <c r="R395" s="2" t="s">
        <v>2646</v>
      </c>
      <c r="S395" s="2">
        <v>10.0</v>
      </c>
      <c r="AN395" s="2" t="s">
        <v>4263</v>
      </c>
      <c r="AP395" s="2" t="s">
        <v>4264</v>
      </c>
    </row>
    <row r="396" ht="15.75" customHeight="1">
      <c r="A396" s="2" t="s">
        <v>4265</v>
      </c>
      <c r="B396" s="2" t="s">
        <v>1361</v>
      </c>
      <c r="C396" s="2">
        <v>2003.0</v>
      </c>
      <c r="D396" s="2" t="s">
        <v>4266</v>
      </c>
      <c r="E396" s="2" t="s">
        <v>4267</v>
      </c>
      <c r="F396" s="2" t="s">
        <v>1380</v>
      </c>
      <c r="H396" s="2" t="s">
        <v>1381</v>
      </c>
      <c r="I396" s="2" t="s">
        <v>4268</v>
      </c>
      <c r="J396" s="2" t="s">
        <v>4269</v>
      </c>
      <c r="K396" s="2" t="s">
        <v>4270</v>
      </c>
      <c r="L396" s="2" t="s">
        <v>1606</v>
      </c>
      <c r="M396" s="2" t="s">
        <v>1385</v>
      </c>
      <c r="N396" s="2" t="s">
        <v>1386</v>
      </c>
      <c r="P396" s="2" t="s">
        <v>4271</v>
      </c>
      <c r="R396" s="2" t="s">
        <v>4272</v>
      </c>
      <c r="S396" s="2">
        <v>421.0</v>
      </c>
      <c r="AN396" s="2" t="s">
        <v>2244</v>
      </c>
    </row>
    <row r="397" ht="15.75" customHeight="1">
      <c r="A397" s="2" t="s">
        <v>4273</v>
      </c>
      <c r="B397" s="2" t="s">
        <v>1361</v>
      </c>
      <c r="C397" s="2">
        <v>2009.0</v>
      </c>
      <c r="D397" s="2" t="s">
        <v>4274</v>
      </c>
      <c r="E397" s="2" t="s">
        <v>4275</v>
      </c>
      <c r="F397" s="2" t="s">
        <v>3247</v>
      </c>
      <c r="H397" s="2" t="s">
        <v>3248</v>
      </c>
      <c r="I397" s="2" t="s">
        <v>4276</v>
      </c>
      <c r="K397" s="2" t="s">
        <v>4277</v>
      </c>
      <c r="L397" s="2" t="s">
        <v>1364</v>
      </c>
      <c r="M397" s="2" t="s">
        <v>1385</v>
      </c>
      <c r="N397" s="2" t="s">
        <v>1386</v>
      </c>
      <c r="P397" s="2" t="s">
        <v>4278</v>
      </c>
      <c r="R397" s="2" t="s">
        <v>3235</v>
      </c>
      <c r="S397" s="2">
        <v>106.0</v>
      </c>
      <c r="AN397" s="2" t="s">
        <v>2244</v>
      </c>
    </row>
    <row r="398" ht="15.75" customHeight="1">
      <c r="A398" s="2" t="s">
        <v>4279</v>
      </c>
      <c r="B398" s="2" t="s">
        <v>1396</v>
      </c>
      <c r="C398" s="2">
        <v>2018.0</v>
      </c>
      <c r="D398" s="2" t="s">
        <v>4280</v>
      </c>
      <c r="E398" s="2" t="s">
        <v>4281</v>
      </c>
      <c r="J398" s="2" t="s">
        <v>4282</v>
      </c>
      <c r="L398" s="2" t="s">
        <v>1420</v>
      </c>
      <c r="M398" s="2" t="s">
        <v>1385</v>
      </c>
      <c r="N398" s="2" t="s">
        <v>1386</v>
      </c>
      <c r="AN398" s="2" t="s">
        <v>1368</v>
      </c>
    </row>
    <row r="399" ht="15.75" customHeight="1">
      <c r="A399" s="2" t="s">
        <v>4283</v>
      </c>
      <c r="B399" s="2" t="s">
        <v>1623</v>
      </c>
      <c r="C399" s="2">
        <v>2002.0</v>
      </c>
      <c r="D399" s="2" t="s">
        <v>4284</v>
      </c>
      <c r="E399" s="2" t="s">
        <v>4285</v>
      </c>
      <c r="K399" s="2" t="s">
        <v>4286</v>
      </c>
      <c r="L399" s="2" t="s">
        <v>1493</v>
      </c>
      <c r="M399" s="2" t="s">
        <v>1385</v>
      </c>
      <c r="N399" s="2" t="s">
        <v>1386</v>
      </c>
      <c r="AN399" s="2" t="s">
        <v>1368</v>
      </c>
    </row>
    <row r="400" ht="15.75" customHeight="1">
      <c r="A400" s="2" t="s">
        <v>4287</v>
      </c>
      <c r="B400" s="2" t="s">
        <v>1396</v>
      </c>
      <c r="C400" s="2">
        <v>2017.0</v>
      </c>
      <c r="D400" s="2" t="s">
        <v>4288</v>
      </c>
      <c r="E400" s="2" t="s">
        <v>4289</v>
      </c>
      <c r="J400" s="2" t="s">
        <v>4290</v>
      </c>
      <c r="L400" s="2" t="s">
        <v>1658</v>
      </c>
      <c r="M400" s="2" t="s">
        <v>1385</v>
      </c>
      <c r="N400" s="2" t="s">
        <v>1386</v>
      </c>
      <c r="AN400" s="2" t="s">
        <v>1368</v>
      </c>
    </row>
    <row r="401" ht="15.75" customHeight="1">
      <c r="A401" s="2" t="s">
        <v>4291</v>
      </c>
      <c r="B401" s="2" t="s">
        <v>1361</v>
      </c>
      <c r="C401" s="2">
        <v>2012.0</v>
      </c>
      <c r="D401" s="2" t="s">
        <v>4292</v>
      </c>
      <c r="E401" s="2" t="s">
        <v>652</v>
      </c>
      <c r="F401" s="2" t="s">
        <v>2650</v>
      </c>
      <c r="H401" s="2" t="s">
        <v>4293</v>
      </c>
      <c r="I401" s="2" t="s">
        <v>4294</v>
      </c>
      <c r="J401" s="2" t="s">
        <v>4295</v>
      </c>
      <c r="K401" s="2" t="s">
        <v>4296</v>
      </c>
      <c r="L401" s="2" t="s">
        <v>4297</v>
      </c>
      <c r="M401" s="2" t="s">
        <v>1385</v>
      </c>
      <c r="N401" s="2" t="s">
        <v>1386</v>
      </c>
      <c r="P401" s="2" t="s">
        <v>4298</v>
      </c>
      <c r="R401" s="2" t="s">
        <v>2271</v>
      </c>
      <c r="S401" s="2">
        <v>2.0</v>
      </c>
      <c r="AN401" s="2" t="s">
        <v>1368</v>
      </c>
    </row>
    <row r="402" ht="15.75" customHeight="1">
      <c r="A402" s="2" t="s">
        <v>4299</v>
      </c>
      <c r="B402" s="2" t="s">
        <v>1766</v>
      </c>
      <c r="C402" s="2">
        <v>2017.0</v>
      </c>
      <c r="D402" s="2" t="s">
        <v>4300</v>
      </c>
      <c r="E402" s="2" t="s">
        <v>4301</v>
      </c>
      <c r="F402" s="2" t="s">
        <v>4302</v>
      </c>
      <c r="L402" s="2" t="s">
        <v>1658</v>
      </c>
      <c r="M402" s="2" t="s">
        <v>1385</v>
      </c>
      <c r="N402" s="2" t="s">
        <v>1386</v>
      </c>
      <c r="P402" s="2" t="s">
        <v>4303</v>
      </c>
      <c r="AA402" s="2" t="s">
        <v>4304</v>
      </c>
      <c r="AB402" s="2" t="s">
        <v>4305</v>
      </c>
      <c r="AN402" s="2" t="s">
        <v>1368</v>
      </c>
      <c r="AP402" s="2" t="s">
        <v>4306</v>
      </c>
    </row>
    <row r="403" ht="15.75" customHeight="1">
      <c r="A403" s="2" t="s">
        <v>4307</v>
      </c>
      <c r="B403" s="2" t="s">
        <v>1623</v>
      </c>
      <c r="C403" s="2">
        <v>1995.0</v>
      </c>
      <c r="D403" s="2" t="s">
        <v>4308</v>
      </c>
      <c r="E403" s="2" t="s">
        <v>4309</v>
      </c>
      <c r="L403" s="2" t="s">
        <v>2089</v>
      </c>
      <c r="M403" s="2" t="s">
        <v>1385</v>
      </c>
      <c r="N403" s="2" t="s">
        <v>1386</v>
      </c>
      <c r="AA403" s="2" t="s">
        <v>1653</v>
      </c>
      <c r="AN403" s="2" t="s">
        <v>1368</v>
      </c>
    </row>
    <row r="404" ht="15.75" customHeight="1">
      <c r="A404" s="2" t="s">
        <v>4310</v>
      </c>
      <c r="B404" s="2" t="s">
        <v>3012</v>
      </c>
      <c r="C404" s="2">
        <v>2017.0</v>
      </c>
      <c r="D404" s="2" t="s">
        <v>4311</v>
      </c>
      <c r="E404" s="2" t="s">
        <v>4312</v>
      </c>
      <c r="J404" s="2" t="s">
        <v>4313</v>
      </c>
      <c r="L404" s="2" t="s">
        <v>1658</v>
      </c>
      <c r="M404" s="2" t="s">
        <v>1385</v>
      </c>
      <c r="N404" s="2" t="s">
        <v>1386</v>
      </c>
      <c r="O404" s="2" t="s">
        <v>4314</v>
      </c>
      <c r="AN404" s="2" t="s">
        <v>1368</v>
      </c>
    </row>
    <row r="405" ht="15.75" customHeight="1">
      <c r="A405" s="2" t="s">
        <v>4315</v>
      </c>
      <c r="B405" s="2" t="s">
        <v>1361</v>
      </c>
      <c r="C405" s="2">
        <v>2014.0</v>
      </c>
      <c r="D405" s="2" t="s">
        <v>4316</v>
      </c>
      <c r="E405" s="2" t="s">
        <v>4317</v>
      </c>
      <c r="J405" s="2" t="s">
        <v>4318</v>
      </c>
      <c r="L405" s="2" t="s">
        <v>1476</v>
      </c>
      <c r="M405" s="2" t="s">
        <v>1385</v>
      </c>
      <c r="N405" s="2" t="s">
        <v>1386</v>
      </c>
      <c r="AN405" s="2" t="s">
        <v>1368</v>
      </c>
    </row>
    <row r="406" ht="15.75" customHeight="1">
      <c r="A406" s="2" t="s">
        <v>4319</v>
      </c>
      <c r="B406" s="2" t="s">
        <v>1396</v>
      </c>
      <c r="C406" s="2">
        <v>2014.0</v>
      </c>
      <c r="D406" s="2" t="s">
        <v>4320</v>
      </c>
      <c r="E406" s="2" t="s">
        <v>4321</v>
      </c>
      <c r="L406" s="2" t="s">
        <v>1476</v>
      </c>
      <c r="M406" s="2" t="s">
        <v>1385</v>
      </c>
      <c r="N406" s="2" t="s">
        <v>1386</v>
      </c>
      <c r="AA406" s="2" t="s">
        <v>4322</v>
      </c>
      <c r="AB406" s="2" t="s">
        <v>4323</v>
      </c>
      <c r="AN406" s="2" t="s">
        <v>1368</v>
      </c>
    </row>
    <row r="407" ht="15.75" customHeight="1">
      <c r="A407" s="2" t="s">
        <v>4324</v>
      </c>
      <c r="B407" s="2" t="s">
        <v>1361</v>
      </c>
      <c r="C407" s="2">
        <v>1998.0</v>
      </c>
      <c r="D407" s="2" t="s">
        <v>4325</v>
      </c>
      <c r="E407" s="2" t="s">
        <v>4326</v>
      </c>
      <c r="F407" s="2" t="s">
        <v>4327</v>
      </c>
      <c r="H407" s="2" t="s">
        <v>4328</v>
      </c>
      <c r="I407" s="2" t="s">
        <v>4329</v>
      </c>
      <c r="J407" s="2" t="s">
        <v>4330</v>
      </c>
      <c r="K407" s="2" t="s">
        <v>4331</v>
      </c>
      <c r="L407" s="2" t="s">
        <v>4332</v>
      </c>
      <c r="M407" s="2" t="s">
        <v>1385</v>
      </c>
      <c r="N407" s="2" t="s">
        <v>1386</v>
      </c>
      <c r="P407" s="2" t="s">
        <v>4333</v>
      </c>
      <c r="R407" s="2" t="s">
        <v>1506</v>
      </c>
      <c r="S407" s="2">
        <v>63.0</v>
      </c>
      <c r="AN407" s="2" t="s">
        <v>1368</v>
      </c>
    </row>
    <row r="408" ht="15.75" customHeight="1">
      <c r="A408" s="2" t="s">
        <v>4334</v>
      </c>
      <c r="B408" s="2" t="s">
        <v>1396</v>
      </c>
      <c r="C408" s="2">
        <v>2009.0</v>
      </c>
      <c r="D408" s="2" t="s">
        <v>4335</v>
      </c>
      <c r="E408" s="2" t="s">
        <v>4336</v>
      </c>
      <c r="G408" s="2" t="s">
        <v>4337</v>
      </c>
      <c r="K408" s="2" t="s">
        <v>4338</v>
      </c>
      <c r="L408" s="2" t="s">
        <v>1364</v>
      </c>
      <c r="M408" s="2" t="s">
        <v>1385</v>
      </c>
      <c r="N408" s="2" t="s">
        <v>1386</v>
      </c>
      <c r="Q408" s="2">
        <v>495.0</v>
      </c>
      <c r="AA408" s="2" t="s">
        <v>4339</v>
      </c>
      <c r="AN408" s="2" t="s">
        <v>1368</v>
      </c>
    </row>
    <row r="409" ht="15.75" customHeight="1">
      <c r="A409" s="2" t="s">
        <v>4340</v>
      </c>
      <c r="B409" s="2" t="s">
        <v>1361</v>
      </c>
      <c r="C409" s="2">
        <v>2005.0</v>
      </c>
      <c r="D409" s="2" t="s">
        <v>4341</v>
      </c>
      <c r="E409" s="2" t="s">
        <v>4342</v>
      </c>
      <c r="F409" s="2" t="s">
        <v>3256</v>
      </c>
      <c r="I409" s="2" t="s">
        <v>4343</v>
      </c>
      <c r="K409" s="2" t="s">
        <v>4344</v>
      </c>
      <c r="L409" s="2" t="s">
        <v>1394</v>
      </c>
      <c r="M409" s="2" t="s">
        <v>1385</v>
      </c>
      <c r="N409" s="2" t="s">
        <v>1386</v>
      </c>
      <c r="AN409" s="2" t="s">
        <v>1368</v>
      </c>
    </row>
    <row r="410" ht="15.75" customHeight="1">
      <c r="A410" s="2" t="s">
        <v>4345</v>
      </c>
      <c r="B410" s="2" t="s">
        <v>1361</v>
      </c>
      <c r="C410" s="2">
        <v>2007.0</v>
      </c>
      <c r="D410" s="2" t="s">
        <v>4346</v>
      </c>
      <c r="E410" s="2" t="s">
        <v>1035</v>
      </c>
      <c r="F410" s="2" t="s">
        <v>4347</v>
      </c>
      <c r="H410" s="2" t="s">
        <v>4348</v>
      </c>
      <c r="I410" s="2" t="s">
        <v>1037</v>
      </c>
      <c r="K410" s="2" t="s">
        <v>4349</v>
      </c>
      <c r="L410" s="2" t="s">
        <v>2380</v>
      </c>
      <c r="M410" s="2" t="s">
        <v>1385</v>
      </c>
      <c r="N410" s="2" t="s">
        <v>1386</v>
      </c>
      <c r="AN410" s="2" t="s">
        <v>1368</v>
      </c>
    </row>
    <row r="411" ht="15.75" customHeight="1">
      <c r="A411" s="2" t="s">
        <v>4350</v>
      </c>
      <c r="B411" s="2" t="s">
        <v>1361</v>
      </c>
      <c r="C411" s="2">
        <v>2003.0</v>
      </c>
      <c r="D411" s="2" t="s">
        <v>4351</v>
      </c>
      <c r="E411" s="2" t="s">
        <v>4352</v>
      </c>
      <c r="F411" s="2" t="s">
        <v>1510</v>
      </c>
      <c r="I411" s="2" t="s">
        <v>4353</v>
      </c>
      <c r="K411" s="2" t="s">
        <v>4354</v>
      </c>
      <c r="L411" s="2" t="s">
        <v>1606</v>
      </c>
      <c r="M411" s="2" t="s">
        <v>1385</v>
      </c>
      <c r="N411" s="2" t="s">
        <v>1386</v>
      </c>
      <c r="AN411" s="2" t="s">
        <v>1368</v>
      </c>
    </row>
    <row r="412" ht="15.75" customHeight="1">
      <c r="A412" s="2" t="s">
        <v>4355</v>
      </c>
      <c r="B412" s="2" t="s">
        <v>1361</v>
      </c>
      <c r="C412" s="2">
        <v>2003.0</v>
      </c>
      <c r="D412" s="2" t="s">
        <v>4356</v>
      </c>
      <c r="E412" s="2" t="s">
        <v>4357</v>
      </c>
      <c r="F412" s="2" t="s">
        <v>1825</v>
      </c>
      <c r="H412" s="2" t="s">
        <v>4358</v>
      </c>
      <c r="I412" s="2" t="s">
        <v>4359</v>
      </c>
      <c r="K412" s="2" t="s">
        <v>4360</v>
      </c>
      <c r="L412" s="2" t="s">
        <v>1606</v>
      </c>
      <c r="M412" s="2" t="s">
        <v>1385</v>
      </c>
      <c r="N412" s="2" t="s">
        <v>1386</v>
      </c>
      <c r="AN412" s="2" t="s">
        <v>1368</v>
      </c>
    </row>
    <row r="413" ht="15.75" customHeight="1">
      <c r="A413" s="2" t="s">
        <v>4361</v>
      </c>
      <c r="B413" s="2" t="s">
        <v>1361</v>
      </c>
      <c r="C413" s="2">
        <v>2009.0</v>
      </c>
      <c r="D413" s="2" t="s">
        <v>4362</v>
      </c>
      <c r="E413" s="2" t="s">
        <v>4363</v>
      </c>
      <c r="F413" s="2" t="s">
        <v>3689</v>
      </c>
      <c r="H413" s="2" t="s">
        <v>3690</v>
      </c>
      <c r="I413" s="2" t="s">
        <v>4364</v>
      </c>
      <c r="K413" s="2" t="s">
        <v>4365</v>
      </c>
      <c r="L413" s="2" t="s">
        <v>1364</v>
      </c>
      <c r="M413" s="2" t="s">
        <v>1385</v>
      </c>
      <c r="N413" s="2" t="s">
        <v>1386</v>
      </c>
      <c r="AN413" s="2" t="s">
        <v>1368</v>
      </c>
    </row>
    <row r="414" ht="15.75" customHeight="1">
      <c r="A414" s="2" t="s">
        <v>4366</v>
      </c>
      <c r="B414" s="2" t="s">
        <v>1766</v>
      </c>
      <c r="C414" s="2">
        <v>2006.0</v>
      </c>
      <c r="D414" s="2" t="s">
        <v>4367</v>
      </c>
      <c r="E414" s="2" t="s">
        <v>4368</v>
      </c>
      <c r="F414" s="2" t="s">
        <v>4369</v>
      </c>
      <c r="G414" s="2" t="s">
        <v>4370</v>
      </c>
      <c r="K414" s="2" t="s">
        <v>4371</v>
      </c>
      <c r="L414" s="2" t="s">
        <v>1727</v>
      </c>
      <c r="M414" s="2" t="s">
        <v>1385</v>
      </c>
      <c r="N414" s="2" t="s">
        <v>1386</v>
      </c>
      <c r="AN414" s="2" t="s">
        <v>1368</v>
      </c>
    </row>
    <row r="415" ht="15.75" customHeight="1">
      <c r="A415" s="2" t="s">
        <v>4372</v>
      </c>
      <c r="B415" s="2" t="s">
        <v>1361</v>
      </c>
      <c r="C415" s="2">
        <v>2008.0</v>
      </c>
      <c r="D415" s="2" t="s">
        <v>4373</v>
      </c>
      <c r="E415" s="2" t="s">
        <v>4374</v>
      </c>
      <c r="F415" s="2" t="s">
        <v>1594</v>
      </c>
      <c r="H415" s="2" t="s">
        <v>4375</v>
      </c>
      <c r="I415" s="2" t="s">
        <v>4376</v>
      </c>
      <c r="K415" s="2" t="s">
        <v>4377</v>
      </c>
      <c r="L415" s="2" t="s">
        <v>1458</v>
      </c>
      <c r="M415" s="2" t="s">
        <v>1385</v>
      </c>
      <c r="N415" s="2" t="s">
        <v>1386</v>
      </c>
      <c r="AN415" s="2" t="s">
        <v>1368</v>
      </c>
    </row>
    <row r="416" ht="15.75" customHeight="1">
      <c r="A416" s="2" t="s">
        <v>4378</v>
      </c>
      <c r="B416" s="2" t="s">
        <v>1781</v>
      </c>
      <c r="C416" s="2">
        <v>2008.0</v>
      </c>
      <c r="D416" s="2" t="s">
        <v>4379</v>
      </c>
      <c r="E416" s="2" t="s">
        <v>4380</v>
      </c>
      <c r="K416" s="2" t="s">
        <v>4381</v>
      </c>
      <c r="L416" s="2" t="s">
        <v>1458</v>
      </c>
      <c r="M416" s="2" t="s">
        <v>1385</v>
      </c>
      <c r="N416" s="2" t="s">
        <v>1386</v>
      </c>
      <c r="AN416" s="2" t="s">
        <v>1368</v>
      </c>
    </row>
    <row r="417" ht="15.75" customHeight="1">
      <c r="A417" s="2" t="s">
        <v>4382</v>
      </c>
      <c r="B417" s="2" t="s">
        <v>1361</v>
      </c>
      <c r="C417" s="2">
        <v>2011.0</v>
      </c>
      <c r="D417" s="2" t="s">
        <v>4383</v>
      </c>
      <c r="E417" s="2" t="s">
        <v>746</v>
      </c>
      <c r="F417" s="2" t="s">
        <v>4384</v>
      </c>
      <c r="H417" s="2" t="s">
        <v>4385</v>
      </c>
      <c r="I417" s="2" t="s">
        <v>749</v>
      </c>
      <c r="K417" s="2" t="s">
        <v>4386</v>
      </c>
      <c r="L417" s="2" t="s">
        <v>1627</v>
      </c>
      <c r="M417" s="2" t="s">
        <v>1385</v>
      </c>
      <c r="N417" s="2" t="s">
        <v>1386</v>
      </c>
      <c r="AN417" s="2" t="s">
        <v>1368</v>
      </c>
    </row>
    <row r="418" ht="15.75" customHeight="1">
      <c r="A418" s="2" t="s">
        <v>4387</v>
      </c>
      <c r="B418" s="2" t="s">
        <v>1361</v>
      </c>
      <c r="C418" s="2">
        <v>2013.0</v>
      </c>
      <c r="D418" s="2" t="s">
        <v>4388</v>
      </c>
      <c r="E418" s="2" t="s">
        <v>4389</v>
      </c>
      <c r="F418" s="2" t="s">
        <v>4390</v>
      </c>
      <c r="H418" s="2" t="s">
        <v>4391</v>
      </c>
      <c r="I418" s="2" t="s">
        <v>4392</v>
      </c>
      <c r="L418" s="2" t="s">
        <v>1429</v>
      </c>
      <c r="M418" s="2" t="s">
        <v>1385</v>
      </c>
      <c r="N418" s="2" t="s">
        <v>1386</v>
      </c>
      <c r="P418" s="2" t="s">
        <v>4393</v>
      </c>
      <c r="S418" s="2">
        <v>36.0</v>
      </c>
      <c r="AN418" s="2" t="s">
        <v>1368</v>
      </c>
    </row>
    <row r="419" ht="15.75" customHeight="1">
      <c r="A419" s="2" t="s">
        <v>4394</v>
      </c>
      <c r="B419" s="2" t="s">
        <v>1396</v>
      </c>
      <c r="C419" s="2">
        <v>2014.0</v>
      </c>
      <c r="D419" s="2" t="s">
        <v>4395</v>
      </c>
      <c r="E419" s="2" t="s">
        <v>4396</v>
      </c>
      <c r="G419" s="2" t="s">
        <v>4397</v>
      </c>
      <c r="L419" s="2" t="s">
        <v>1476</v>
      </c>
      <c r="M419" s="2" t="s">
        <v>1385</v>
      </c>
      <c r="N419" s="2" t="s">
        <v>1386</v>
      </c>
      <c r="Q419" s="2">
        <v>80.0</v>
      </c>
      <c r="AB419" s="2" t="s">
        <v>4398</v>
      </c>
      <c r="AN419" s="2" t="s">
        <v>1368</v>
      </c>
    </row>
    <row r="420" ht="15.75" customHeight="1">
      <c r="A420" s="2" t="s">
        <v>4399</v>
      </c>
      <c r="B420" s="2" t="s">
        <v>1361</v>
      </c>
      <c r="C420" s="2">
        <v>2015.0</v>
      </c>
      <c r="D420" s="2" t="s">
        <v>4400</v>
      </c>
      <c r="E420" s="2" t="s">
        <v>338</v>
      </c>
      <c r="F420" s="2" t="s">
        <v>4401</v>
      </c>
      <c r="I420" s="2" t="s">
        <v>341</v>
      </c>
      <c r="K420" s="2" t="s">
        <v>4402</v>
      </c>
      <c r="L420" s="2" t="s">
        <v>1373</v>
      </c>
      <c r="M420" s="2" t="s">
        <v>1385</v>
      </c>
      <c r="N420" s="2" t="s">
        <v>1386</v>
      </c>
      <c r="P420" s="2" t="s">
        <v>4403</v>
      </c>
      <c r="AN420" s="2" t="s">
        <v>1368</v>
      </c>
    </row>
    <row r="421" ht="15.75" customHeight="1">
      <c r="A421" s="2" t="s">
        <v>4404</v>
      </c>
      <c r="B421" s="2" t="s">
        <v>1361</v>
      </c>
      <c r="C421" s="2">
        <v>2014.0</v>
      </c>
      <c r="D421" s="2" t="s">
        <v>4405</v>
      </c>
      <c r="E421" s="2" t="s">
        <v>528</v>
      </c>
      <c r="F421" s="2" t="s">
        <v>3713</v>
      </c>
      <c r="H421" s="2" t="s">
        <v>3714</v>
      </c>
      <c r="I421" s="2" t="s">
        <v>530</v>
      </c>
      <c r="K421" s="2" t="s">
        <v>4406</v>
      </c>
      <c r="L421" s="2" t="s">
        <v>1476</v>
      </c>
      <c r="M421" s="2" t="s">
        <v>1385</v>
      </c>
      <c r="N421" s="2" t="s">
        <v>1386</v>
      </c>
      <c r="AN421" s="2" t="s">
        <v>1368</v>
      </c>
    </row>
    <row r="422" ht="15.75" customHeight="1">
      <c r="A422" s="2" t="s">
        <v>4407</v>
      </c>
      <c r="B422" s="2" t="s">
        <v>1361</v>
      </c>
      <c r="C422" s="2">
        <v>2016.0</v>
      </c>
      <c r="D422" s="2" t="s">
        <v>4408</v>
      </c>
      <c r="E422" s="2" t="s">
        <v>4409</v>
      </c>
      <c r="F422" s="2" t="s">
        <v>4410</v>
      </c>
      <c r="H422" s="2" t="s">
        <v>4411</v>
      </c>
      <c r="I422" s="2" t="s">
        <v>4412</v>
      </c>
      <c r="K422" s="2" t="s">
        <v>4413</v>
      </c>
      <c r="L422" s="2" t="s">
        <v>1502</v>
      </c>
      <c r="M422" s="2" t="s">
        <v>1385</v>
      </c>
      <c r="N422" s="2" t="s">
        <v>1386</v>
      </c>
      <c r="P422" s="2" t="s">
        <v>4414</v>
      </c>
      <c r="R422" s="2" t="s">
        <v>1506</v>
      </c>
      <c r="S422" s="2">
        <v>2.0</v>
      </c>
      <c r="AN422" s="2" t="s">
        <v>1368</v>
      </c>
    </row>
    <row r="423" ht="15.75" customHeight="1">
      <c r="A423" s="2" t="s">
        <v>4415</v>
      </c>
      <c r="B423" s="2" t="s">
        <v>1361</v>
      </c>
      <c r="C423" s="2">
        <v>1994.0</v>
      </c>
      <c r="D423" s="2" t="s">
        <v>4416</v>
      </c>
      <c r="E423" s="2" t="s">
        <v>4417</v>
      </c>
      <c r="F423" s="2" t="s">
        <v>4418</v>
      </c>
      <c r="H423" s="2" t="s">
        <v>4419</v>
      </c>
      <c r="I423" s="2" t="s">
        <v>4420</v>
      </c>
      <c r="L423" s="2" t="s">
        <v>2327</v>
      </c>
      <c r="M423" s="2" t="s">
        <v>1385</v>
      </c>
      <c r="N423" s="2" t="s">
        <v>1386</v>
      </c>
      <c r="P423" s="2" t="s">
        <v>4421</v>
      </c>
      <c r="R423" s="2" t="s">
        <v>1937</v>
      </c>
      <c r="S423" s="2">
        <v>24.0</v>
      </c>
      <c r="AN423" s="2" t="s">
        <v>1368</v>
      </c>
    </row>
    <row r="424" ht="15.75" customHeight="1">
      <c r="A424" s="2" t="s">
        <v>4422</v>
      </c>
      <c r="B424" s="2" t="s">
        <v>1396</v>
      </c>
      <c r="C424" s="2">
        <v>2007.0</v>
      </c>
      <c r="D424" s="2" t="s">
        <v>4423</v>
      </c>
      <c r="E424" s="2" t="s">
        <v>4424</v>
      </c>
      <c r="L424" s="2" t="s">
        <v>2380</v>
      </c>
      <c r="M424" s="2" t="s">
        <v>1385</v>
      </c>
      <c r="N424" s="2" t="s">
        <v>1386</v>
      </c>
      <c r="AA424" s="2" t="s">
        <v>4425</v>
      </c>
      <c r="AN424" s="2" t="s">
        <v>1368</v>
      </c>
    </row>
    <row r="425" ht="15.75" customHeight="1">
      <c r="A425" s="2" t="s">
        <v>4426</v>
      </c>
      <c r="B425" s="2" t="s">
        <v>1361</v>
      </c>
      <c r="C425" s="2">
        <v>2004.0</v>
      </c>
      <c r="D425" s="2" t="s">
        <v>4427</v>
      </c>
      <c r="E425" s="2" t="s">
        <v>1116</v>
      </c>
      <c r="F425" s="2" t="s">
        <v>4428</v>
      </c>
      <c r="H425" s="2" t="s">
        <v>4429</v>
      </c>
      <c r="I425" s="2" t="s">
        <v>1119</v>
      </c>
      <c r="K425" s="2" t="s">
        <v>4430</v>
      </c>
      <c r="L425" s="2" t="s">
        <v>2373</v>
      </c>
      <c r="M425" s="2" t="s">
        <v>1385</v>
      </c>
      <c r="N425" s="2" t="s">
        <v>1386</v>
      </c>
      <c r="AN425" s="2" t="s">
        <v>1368</v>
      </c>
    </row>
    <row r="426" ht="15.75" customHeight="1">
      <c r="A426" s="2" t="s">
        <v>4431</v>
      </c>
      <c r="B426" s="2" t="s">
        <v>1361</v>
      </c>
      <c r="C426" s="2">
        <v>2007.0</v>
      </c>
      <c r="D426" s="2" t="s">
        <v>4432</v>
      </c>
      <c r="E426" s="2" t="s">
        <v>4433</v>
      </c>
      <c r="F426" s="2" t="s">
        <v>3256</v>
      </c>
      <c r="I426" s="2" t="s">
        <v>4434</v>
      </c>
      <c r="L426" s="2" t="s">
        <v>2380</v>
      </c>
      <c r="M426" s="2" t="s">
        <v>1385</v>
      </c>
      <c r="N426" s="2" t="s">
        <v>1386</v>
      </c>
      <c r="P426" s="2" t="s">
        <v>4435</v>
      </c>
      <c r="R426" s="2" t="s">
        <v>1506</v>
      </c>
      <c r="S426" s="2">
        <v>12.0</v>
      </c>
      <c r="AN426" s="2" t="s">
        <v>1368</v>
      </c>
    </row>
    <row r="427" ht="15.75" customHeight="1">
      <c r="A427" s="2" t="s">
        <v>4436</v>
      </c>
      <c r="B427" s="2" t="s">
        <v>1361</v>
      </c>
      <c r="C427" s="2">
        <v>2017.0</v>
      </c>
      <c r="D427" s="2" t="s">
        <v>4437</v>
      </c>
      <c r="E427" s="2" t="s">
        <v>51</v>
      </c>
      <c r="F427" s="2" t="s">
        <v>4438</v>
      </c>
      <c r="H427" s="2" t="s">
        <v>4439</v>
      </c>
      <c r="I427" s="2" t="s">
        <v>54</v>
      </c>
      <c r="K427" s="2" t="s">
        <v>4440</v>
      </c>
      <c r="L427" s="2" t="s">
        <v>1658</v>
      </c>
      <c r="M427" s="2" t="s">
        <v>1385</v>
      </c>
      <c r="N427" s="2" t="s">
        <v>1386</v>
      </c>
      <c r="P427" s="2" t="s">
        <v>4441</v>
      </c>
      <c r="R427" s="2" t="s">
        <v>4442</v>
      </c>
      <c r="S427" s="2">
        <v>44.0</v>
      </c>
      <c r="AN427" s="2" t="s">
        <v>1368</v>
      </c>
    </row>
    <row r="428" ht="15.75" customHeight="1">
      <c r="A428" s="2" t="s">
        <v>4443</v>
      </c>
      <c r="B428" s="2" t="s">
        <v>1361</v>
      </c>
      <c r="C428" s="2">
        <v>2008.0</v>
      </c>
      <c r="D428" s="2" t="s">
        <v>4444</v>
      </c>
      <c r="E428" s="2" t="s">
        <v>4445</v>
      </c>
      <c r="F428" s="2" t="s">
        <v>1425</v>
      </c>
      <c r="H428" s="2" t="s">
        <v>4446</v>
      </c>
      <c r="I428" s="2" t="s">
        <v>4447</v>
      </c>
      <c r="K428" s="2" t="s">
        <v>4448</v>
      </c>
      <c r="L428" s="2" t="s">
        <v>1458</v>
      </c>
      <c r="M428" s="2" t="s">
        <v>1385</v>
      </c>
      <c r="N428" s="2" t="s">
        <v>1386</v>
      </c>
      <c r="P428" s="2" t="s">
        <v>4449</v>
      </c>
      <c r="R428" s="2" t="s">
        <v>1600</v>
      </c>
      <c r="S428" s="2">
        <v>56.0</v>
      </c>
      <c r="AN428" s="2" t="s">
        <v>1368</v>
      </c>
    </row>
    <row r="429" ht="15.75" customHeight="1">
      <c r="A429" s="2" t="s">
        <v>4450</v>
      </c>
      <c r="B429" s="2" t="s">
        <v>1396</v>
      </c>
      <c r="C429" s="2">
        <v>2005.0</v>
      </c>
      <c r="D429" s="2" t="s">
        <v>4451</v>
      </c>
      <c r="E429" s="2" t="s">
        <v>4452</v>
      </c>
      <c r="G429" s="2" t="s">
        <v>2556</v>
      </c>
      <c r="K429" s="2" t="s">
        <v>4453</v>
      </c>
      <c r="L429" s="2" t="s">
        <v>1394</v>
      </c>
      <c r="M429" s="2" t="s">
        <v>1385</v>
      </c>
      <c r="N429" s="2" t="s">
        <v>1386</v>
      </c>
      <c r="AN429" s="2" t="s">
        <v>1368</v>
      </c>
    </row>
    <row r="430" ht="15.75" customHeight="1">
      <c r="A430" s="2" t="s">
        <v>4454</v>
      </c>
      <c r="B430" s="2" t="s">
        <v>1396</v>
      </c>
      <c r="C430" s="2">
        <v>2002.0</v>
      </c>
      <c r="D430" s="2" t="s">
        <v>4455</v>
      </c>
      <c r="E430" s="2" t="s">
        <v>4456</v>
      </c>
      <c r="L430" s="2" t="s">
        <v>1493</v>
      </c>
      <c r="M430" s="2" t="s">
        <v>1385</v>
      </c>
      <c r="N430" s="2" t="s">
        <v>1386</v>
      </c>
      <c r="AA430" s="2" t="s">
        <v>4457</v>
      </c>
      <c r="AB430" s="2" t="s">
        <v>4458</v>
      </c>
      <c r="AN430" s="2" t="s">
        <v>1368</v>
      </c>
    </row>
    <row r="431" ht="15.75" customHeight="1">
      <c r="A431" s="2" t="s">
        <v>4459</v>
      </c>
      <c r="B431" s="2" t="s">
        <v>1361</v>
      </c>
      <c r="C431" s="2">
        <v>2004.0</v>
      </c>
      <c r="D431" s="2" t="s">
        <v>4460</v>
      </c>
      <c r="E431" s="2" t="s">
        <v>4461</v>
      </c>
      <c r="F431" s="2" t="s">
        <v>4462</v>
      </c>
      <c r="H431" s="2" t="s">
        <v>4463</v>
      </c>
      <c r="I431" s="2" t="s">
        <v>4464</v>
      </c>
      <c r="K431" s="2" t="s">
        <v>4465</v>
      </c>
      <c r="L431" s="2" t="s">
        <v>2373</v>
      </c>
      <c r="M431" s="2" t="s">
        <v>1385</v>
      </c>
      <c r="N431" s="2" t="s">
        <v>1386</v>
      </c>
      <c r="AN431" s="2" t="s">
        <v>1368</v>
      </c>
    </row>
    <row r="432" ht="15.75" customHeight="1">
      <c r="A432" s="2" t="s">
        <v>4466</v>
      </c>
      <c r="B432" s="2" t="s">
        <v>1361</v>
      </c>
      <c r="C432" s="2">
        <v>2011.0</v>
      </c>
      <c r="D432" s="2" t="s">
        <v>4467</v>
      </c>
      <c r="E432" s="2" t="s">
        <v>4468</v>
      </c>
      <c r="F432" s="2" t="s">
        <v>2665</v>
      </c>
      <c r="H432" s="2" t="s">
        <v>4469</v>
      </c>
      <c r="I432" s="2" t="s">
        <v>4470</v>
      </c>
      <c r="L432" s="2" t="s">
        <v>1627</v>
      </c>
      <c r="M432" s="2" t="s">
        <v>1385</v>
      </c>
      <c r="N432" s="2" t="s">
        <v>1386</v>
      </c>
      <c r="P432" s="2" t="s">
        <v>4471</v>
      </c>
      <c r="R432" s="2" t="s">
        <v>1453</v>
      </c>
      <c r="S432" s="2">
        <v>39.0</v>
      </c>
      <c r="AN432" s="2" t="s">
        <v>1368</v>
      </c>
    </row>
    <row r="433" ht="15.75" customHeight="1">
      <c r="A433" s="2" t="s">
        <v>4472</v>
      </c>
      <c r="B433" s="2" t="s">
        <v>1396</v>
      </c>
      <c r="C433" s="2">
        <v>2016.0</v>
      </c>
      <c r="D433" s="2" t="s">
        <v>4473</v>
      </c>
      <c r="E433" s="2" t="s">
        <v>4474</v>
      </c>
      <c r="L433" s="2" t="s">
        <v>1502</v>
      </c>
      <c r="M433" s="2" t="s">
        <v>1385</v>
      </c>
      <c r="N433" s="2" t="s">
        <v>1386</v>
      </c>
      <c r="AA433" s="2" t="s">
        <v>2441</v>
      </c>
      <c r="AN433" s="2" t="s">
        <v>1368</v>
      </c>
    </row>
    <row r="434" ht="15.75" customHeight="1">
      <c r="A434" s="2" t="s">
        <v>4475</v>
      </c>
      <c r="B434" s="2" t="s">
        <v>1361</v>
      </c>
      <c r="C434" s="2">
        <v>2015.0</v>
      </c>
      <c r="D434" s="2" t="s">
        <v>4476</v>
      </c>
      <c r="E434" s="2" t="s">
        <v>300</v>
      </c>
      <c r="F434" s="2" t="s">
        <v>4477</v>
      </c>
      <c r="H434" s="2" t="s">
        <v>2481</v>
      </c>
      <c r="I434" s="2" t="s">
        <v>302</v>
      </c>
      <c r="K434" s="2" t="s">
        <v>301</v>
      </c>
      <c r="L434" s="2" t="s">
        <v>1373</v>
      </c>
      <c r="M434" s="2" t="s">
        <v>1385</v>
      </c>
      <c r="N434" s="2" t="s">
        <v>1386</v>
      </c>
      <c r="AN434" s="2" t="s">
        <v>1368</v>
      </c>
    </row>
    <row r="435" ht="15.75" customHeight="1">
      <c r="A435" s="2" t="s">
        <v>4478</v>
      </c>
      <c r="B435" s="2" t="s">
        <v>1361</v>
      </c>
      <c r="C435" s="2">
        <v>2014.0</v>
      </c>
      <c r="D435" s="2" t="s">
        <v>4479</v>
      </c>
      <c r="E435" s="2" t="s">
        <v>4480</v>
      </c>
      <c r="F435" s="2" t="s">
        <v>1363</v>
      </c>
      <c r="H435" s="2" t="s">
        <v>1775</v>
      </c>
      <c r="I435" s="2" t="s">
        <v>4481</v>
      </c>
      <c r="K435" s="2" t="s">
        <v>4482</v>
      </c>
      <c r="L435" s="2" t="s">
        <v>1476</v>
      </c>
      <c r="M435" s="2" t="s">
        <v>1385</v>
      </c>
      <c r="N435" s="2" t="s">
        <v>1386</v>
      </c>
      <c r="AN435" s="2" t="s">
        <v>1368</v>
      </c>
    </row>
    <row r="436" ht="15.75" customHeight="1">
      <c r="A436" s="2" t="s">
        <v>4483</v>
      </c>
      <c r="B436" s="2" t="s">
        <v>1396</v>
      </c>
      <c r="C436" s="2">
        <v>1993.0</v>
      </c>
      <c r="D436" s="2" t="s">
        <v>4484</v>
      </c>
      <c r="E436" s="2" t="s">
        <v>4485</v>
      </c>
      <c r="L436" s="2" t="s">
        <v>2735</v>
      </c>
      <c r="M436" s="2" t="s">
        <v>1385</v>
      </c>
      <c r="N436" s="2" t="s">
        <v>1386</v>
      </c>
      <c r="X436" s="2">
        <v>14.0</v>
      </c>
      <c r="AA436" s="2" t="s">
        <v>4486</v>
      </c>
      <c r="AN436" s="2" t="s">
        <v>1368</v>
      </c>
    </row>
    <row r="437" ht="15.75" customHeight="1">
      <c r="A437" s="2" t="s">
        <v>4487</v>
      </c>
      <c r="B437" s="2" t="s">
        <v>1361</v>
      </c>
      <c r="C437" s="2">
        <v>2010.0</v>
      </c>
      <c r="D437" s="2" t="s">
        <v>4488</v>
      </c>
      <c r="E437" s="2" t="s">
        <v>900</v>
      </c>
      <c r="F437" s="2" t="s">
        <v>4489</v>
      </c>
      <c r="H437" s="2" t="s">
        <v>4490</v>
      </c>
      <c r="I437" s="2" t="s">
        <v>903</v>
      </c>
      <c r="K437" s="2" t="s">
        <v>4491</v>
      </c>
      <c r="L437" s="2" t="s">
        <v>1449</v>
      </c>
      <c r="M437" s="2" t="s">
        <v>1385</v>
      </c>
      <c r="N437" s="2" t="s">
        <v>1386</v>
      </c>
      <c r="P437" s="2" t="s">
        <v>4492</v>
      </c>
      <c r="R437" s="2" t="s">
        <v>1462</v>
      </c>
      <c r="S437" s="2">
        <v>175.0</v>
      </c>
      <c r="AN437" s="2" t="s">
        <v>1368</v>
      </c>
    </row>
    <row r="438" ht="15.75" customHeight="1">
      <c r="A438" s="2" t="s">
        <v>4493</v>
      </c>
      <c r="B438" s="2" t="s">
        <v>1361</v>
      </c>
      <c r="C438" s="2">
        <v>2014.0</v>
      </c>
      <c r="D438" s="2" t="s">
        <v>4494</v>
      </c>
      <c r="E438" s="2" t="s">
        <v>4495</v>
      </c>
      <c r="F438" s="2" t="s">
        <v>4496</v>
      </c>
      <c r="I438" s="2" t="s">
        <v>4497</v>
      </c>
      <c r="K438" s="2" t="s">
        <v>4498</v>
      </c>
      <c r="L438" s="2" t="s">
        <v>1476</v>
      </c>
      <c r="M438" s="2" t="s">
        <v>1385</v>
      </c>
      <c r="N438" s="2" t="s">
        <v>1386</v>
      </c>
      <c r="P438" s="2" t="s">
        <v>4499</v>
      </c>
      <c r="R438" s="2" t="s">
        <v>1600</v>
      </c>
      <c r="S438" s="2">
        <v>4.0</v>
      </c>
      <c r="AN438" s="2" t="s">
        <v>1368</v>
      </c>
    </row>
    <row r="439" ht="15.75" customHeight="1">
      <c r="A439" s="2" t="s">
        <v>4500</v>
      </c>
      <c r="B439" s="2" t="s">
        <v>1766</v>
      </c>
      <c r="C439" s="2">
        <v>2016.0</v>
      </c>
      <c r="D439" s="2" t="s">
        <v>4501</v>
      </c>
      <c r="E439" s="2" t="s">
        <v>4502</v>
      </c>
      <c r="G439" s="2" t="s">
        <v>4503</v>
      </c>
      <c r="K439" s="2" t="s">
        <v>4504</v>
      </c>
      <c r="L439" s="2" t="s">
        <v>1502</v>
      </c>
      <c r="M439" s="2" t="s">
        <v>1385</v>
      </c>
      <c r="N439" s="2" t="s">
        <v>1386</v>
      </c>
      <c r="P439" s="2" t="s">
        <v>4505</v>
      </c>
      <c r="AA439" s="2" t="s">
        <v>4506</v>
      </c>
      <c r="AB439" s="2" t="s">
        <v>2146</v>
      </c>
      <c r="AN439" s="2" t="s">
        <v>1368</v>
      </c>
      <c r="AP439" s="2" t="s">
        <v>4507</v>
      </c>
    </row>
    <row r="440" ht="15.75" customHeight="1">
      <c r="A440" s="2" t="s">
        <v>4508</v>
      </c>
      <c r="B440" s="2" t="s">
        <v>1361</v>
      </c>
      <c r="C440" s="2">
        <v>2011.0</v>
      </c>
      <c r="D440" s="2" t="s">
        <v>4509</v>
      </c>
      <c r="E440" s="2" t="s">
        <v>4510</v>
      </c>
      <c r="F440" s="2" t="s">
        <v>4511</v>
      </c>
      <c r="H440" s="2" t="s">
        <v>4512</v>
      </c>
      <c r="I440" s="2" t="s">
        <v>4513</v>
      </c>
      <c r="K440" s="2" t="s">
        <v>4514</v>
      </c>
      <c r="L440" s="2" t="s">
        <v>1627</v>
      </c>
      <c r="M440" s="2" t="s">
        <v>1385</v>
      </c>
      <c r="N440" s="2" t="s">
        <v>1386</v>
      </c>
      <c r="AN440" s="2" t="s">
        <v>1368</v>
      </c>
    </row>
    <row r="441" ht="15.75" customHeight="1">
      <c r="A441" s="2" t="s">
        <v>4515</v>
      </c>
      <c r="B441" s="2" t="s">
        <v>1396</v>
      </c>
      <c r="C441" s="2">
        <v>2005.0</v>
      </c>
      <c r="D441" s="2" t="s">
        <v>4516</v>
      </c>
      <c r="E441" s="2" t="s">
        <v>4517</v>
      </c>
      <c r="G441" s="2" t="s">
        <v>4518</v>
      </c>
      <c r="L441" s="2" t="s">
        <v>1394</v>
      </c>
      <c r="M441" s="2" t="s">
        <v>1385</v>
      </c>
      <c r="N441" s="2" t="s">
        <v>1386</v>
      </c>
      <c r="Q441" s="2">
        <v>396.0</v>
      </c>
      <c r="AA441" s="2" t="s">
        <v>4519</v>
      </c>
      <c r="AN441" s="2" t="s">
        <v>1368</v>
      </c>
    </row>
    <row r="442" ht="15.75" customHeight="1">
      <c r="A442" s="2" t="s">
        <v>4520</v>
      </c>
      <c r="B442" s="2" t="s">
        <v>1361</v>
      </c>
      <c r="C442" s="2">
        <v>2012.0</v>
      </c>
      <c r="D442" s="2" t="s">
        <v>4521</v>
      </c>
      <c r="E442" s="2" t="s">
        <v>715</v>
      </c>
      <c r="F442" s="2" t="s">
        <v>4522</v>
      </c>
      <c r="H442" s="2" t="s">
        <v>4523</v>
      </c>
      <c r="I442" s="2" t="s">
        <v>718</v>
      </c>
      <c r="L442" s="2" t="s">
        <v>3753</v>
      </c>
      <c r="M442" s="2" t="s">
        <v>1385</v>
      </c>
      <c r="N442" s="2" t="s">
        <v>1386</v>
      </c>
      <c r="P442" s="2" t="s">
        <v>4524</v>
      </c>
      <c r="R442" s="2" t="s">
        <v>1453</v>
      </c>
      <c r="S442" s="2">
        <v>3.0</v>
      </c>
      <c r="AN442" s="2" t="s">
        <v>1368</v>
      </c>
    </row>
    <row r="443" ht="15.75" customHeight="1">
      <c r="A443" s="2" t="s">
        <v>4525</v>
      </c>
      <c r="B443" s="2" t="s">
        <v>1361</v>
      </c>
      <c r="C443" s="2">
        <v>2013.0</v>
      </c>
      <c r="D443" s="2" t="s">
        <v>4526</v>
      </c>
      <c r="E443" s="2" t="s">
        <v>4527</v>
      </c>
      <c r="F443" s="2" t="s">
        <v>4528</v>
      </c>
      <c r="I443" s="2" t="s">
        <v>4529</v>
      </c>
      <c r="K443" s="2" t="s">
        <v>4530</v>
      </c>
      <c r="L443" s="2" t="s">
        <v>1429</v>
      </c>
      <c r="M443" s="2" t="s">
        <v>1385</v>
      </c>
      <c r="N443" s="2" t="s">
        <v>1386</v>
      </c>
      <c r="AN443" s="2" t="s">
        <v>1368</v>
      </c>
    </row>
    <row r="444" ht="15.75" customHeight="1">
      <c r="A444" s="2" t="s">
        <v>4531</v>
      </c>
      <c r="B444" s="2" t="s">
        <v>1361</v>
      </c>
      <c r="C444" s="2">
        <v>2000.0</v>
      </c>
      <c r="D444" s="2" t="s">
        <v>4532</v>
      </c>
      <c r="E444" s="2" t="s">
        <v>1225</v>
      </c>
      <c r="F444" s="2" t="s">
        <v>4533</v>
      </c>
      <c r="H444" s="2" t="s">
        <v>4534</v>
      </c>
      <c r="I444" s="2" t="s">
        <v>1228</v>
      </c>
      <c r="K444" s="2" t="s">
        <v>4535</v>
      </c>
      <c r="L444" s="2" t="s">
        <v>2429</v>
      </c>
      <c r="M444" s="2" t="s">
        <v>1385</v>
      </c>
      <c r="N444" s="2" t="s">
        <v>1386</v>
      </c>
      <c r="AN444" s="2" t="s">
        <v>1368</v>
      </c>
    </row>
    <row r="445" ht="15.75" customHeight="1">
      <c r="A445" s="2" t="s">
        <v>4536</v>
      </c>
      <c r="B445" s="2" t="s">
        <v>1396</v>
      </c>
      <c r="C445" s="2">
        <v>2002.0</v>
      </c>
      <c r="D445" s="2" t="s">
        <v>4537</v>
      </c>
      <c r="E445" s="2" t="s">
        <v>4538</v>
      </c>
      <c r="K445" s="2" t="s">
        <v>4539</v>
      </c>
      <c r="L445" s="2" t="s">
        <v>1493</v>
      </c>
      <c r="M445" s="2" t="s">
        <v>1385</v>
      </c>
      <c r="N445" s="2" t="s">
        <v>1386</v>
      </c>
      <c r="AN445" s="2" t="s">
        <v>1368</v>
      </c>
    </row>
    <row r="446" ht="15.75" customHeight="1">
      <c r="A446" s="2" t="s">
        <v>4540</v>
      </c>
      <c r="B446" s="2" t="s">
        <v>1361</v>
      </c>
      <c r="C446" s="2">
        <v>2003.0</v>
      </c>
      <c r="D446" s="2" t="s">
        <v>4541</v>
      </c>
      <c r="E446" s="2" t="s">
        <v>4542</v>
      </c>
      <c r="F446" s="2" t="s">
        <v>1510</v>
      </c>
      <c r="H446" s="2" t="s">
        <v>1511</v>
      </c>
      <c r="I446" s="2" t="s">
        <v>4543</v>
      </c>
      <c r="K446" s="2" t="s">
        <v>4544</v>
      </c>
      <c r="L446" s="2" t="s">
        <v>1606</v>
      </c>
      <c r="M446" s="2" t="s">
        <v>1385</v>
      </c>
      <c r="N446" s="2" t="s">
        <v>1386</v>
      </c>
      <c r="P446" s="2" t="s">
        <v>4545</v>
      </c>
      <c r="R446" s="2" t="s">
        <v>4546</v>
      </c>
      <c r="S446" s="2">
        <v>302.0</v>
      </c>
      <c r="AN446" s="2" t="s">
        <v>1368</v>
      </c>
    </row>
    <row r="447" ht="15.75" customHeight="1">
      <c r="A447" s="2" t="s">
        <v>4547</v>
      </c>
      <c r="B447" s="2" t="s">
        <v>1361</v>
      </c>
      <c r="C447" s="2">
        <v>2014.0</v>
      </c>
      <c r="D447" s="2" t="s">
        <v>4548</v>
      </c>
      <c r="E447" s="2" t="s">
        <v>4549</v>
      </c>
      <c r="F447" s="2" t="s">
        <v>2205</v>
      </c>
      <c r="H447" s="2" t="s">
        <v>2206</v>
      </c>
      <c r="I447" s="2" t="s">
        <v>4550</v>
      </c>
      <c r="K447" s="2" t="s">
        <v>4551</v>
      </c>
      <c r="L447" s="2" t="s">
        <v>1476</v>
      </c>
      <c r="M447" s="2" t="s">
        <v>1385</v>
      </c>
      <c r="N447" s="2" t="s">
        <v>1386</v>
      </c>
      <c r="P447" s="2" t="s">
        <v>4552</v>
      </c>
      <c r="S447" s="2">
        <v>48.0</v>
      </c>
      <c r="AN447" s="2" t="s">
        <v>1368</v>
      </c>
    </row>
    <row r="448" ht="15.75" customHeight="1">
      <c r="A448" s="2" t="s">
        <v>4553</v>
      </c>
      <c r="B448" s="2" t="s">
        <v>1361</v>
      </c>
      <c r="C448" s="2">
        <v>1995.0</v>
      </c>
      <c r="D448" s="2" t="s">
        <v>4554</v>
      </c>
      <c r="E448" s="2" t="s">
        <v>4555</v>
      </c>
      <c r="F448" s="2" t="s">
        <v>4556</v>
      </c>
      <c r="H448" s="2" t="s">
        <v>4557</v>
      </c>
      <c r="I448" s="2" t="s">
        <v>4558</v>
      </c>
      <c r="K448" s="2" t="s">
        <v>4559</v>
      </c>
      <c r="L448" s="2" t="s">
        <v>2089</v>
      </c>
      <c r="M448" s="2" t="s">
        <v>1385</v>
      </c>
      <c r="N448" s="2" t="s">
        <v>1386</v>
      </c>
      <c r="AN448" s="2" t="s">
        <v>1368</v>
      </c>
    </row>
    <row r="449" ht="15.75" customHeight="1">
      <c r="A449" s="2" t="s">
        <v>4560</v>
      </c>
      <c r="B449" s="2" t="s">
        <v>1396</v>
      </c>
      <c r="C449" s="2">
        <v>2006.0</v>
      </c>
      <c r="D449" s="2" t="s">
        <v>4561</v>
      </c>
      <c r="E449" s="2" t="s">
        <v>4562</v>
      </c>
      <c r="G449" s="2" t="s">
        <v>4563</v>
      </c>
      <c r="K449" s="2" t="s">
        <v>4564</v>
      </c>
      <c r="L449" s="2" t="s">
        <v>1727</v>
      </c>
      <c r="M449" s="2" t="s">
        <v>1385</v>
      </c>
      <c r="N449" s="2" t="s">
        <v>1386</v>
      </c>
      <c r="AN449" s="2" t="s">
        <v>1368</v>
      </c>
    </row>
    <row r="450" ht="15.75" customHeight="1">
      <c r="A450" s="2" t="s">
        <v>4565</v>
      </c>
      <c r="B450" s="2" t="s">
        <v>1361</v>
      </c>
      <c r="C450" s="2">
        <v>2013.0</v>
      </c>
      <c r="D450" s="2" t="s">
        <v>4566</v>
      </c>
      <c r="E450" s="2" t="s">
        <v>4567</v>
      </c>
      <c r="F450" s="2" t="s">
        <v>1633</v>
      </c>
      <c r="H450" s="2" t="s">
        <v>1634</v>
      </c>
      <c r="I450" s="2" t="s">
        <v>4568</v>
      </c>
      <c r="J450" s="2" t="s">
        <v>4569</v>
      </c>
      <c r="K450" s="2" t="s">
        <v>4570</v>
      </c>
      <c r="L450" s="2" t="s">
        <v>1429</v>
      </c>
      <c r="M450" s="2" t="s">
        <v>1385</v>
      </c>
      <c r="N450" s="2" t="s">
        <v>1386</v>
      </c>
      <c r="P450" s="2" t="s">
        <v>4571</v>
      </c>
      <c r="R450" s="2" t="s">
        <v>4572</v>
      </c>
      <c r="S450" s="2">
        <v>89.0</v>
      </c>
      <c r="AN450" s="2" t="s">
        <v>1368</v>
      </c>
    </row>
    <row r="451" ht="15.75" customHeight="1">
      <c r="A451" s="2" t="s">
        <v>4573</v>
      </c>
      <c r="B451" s="2" t="s">
        <v>1396</v>
      </c>
      <c r="C451" s="2">
        <v>2015.0</v>
      </c>
      <c r="D451" s="2" t="s">
        <v>4574</v>
      </c>
      <c r="E451" s="2" t="s">
        <v>4575</v>
      </c>
      <c r="J451" s="2" t="s">
        <v>4576</v>
      </c>
      <c r="L451" s="2" t="s">
        <v>1373</v>
      </c>
      <c r="M451" s="2" t="s">
        <v>1385</v>
      </c>
      <c r="N451" s="2" t="s">
        <v>1386</v>
      </c>
      <c r="AA451" s="2" t="s">
        <v>4577</v>
      </c>
      <c r="AN451" s="2" t="s">
        <v>1368</v>
      </c>
    </row>
    <row r="452" ht="15.75" customHeight="1">
      <c r="A452" s="2" t="s">
        <v>4578</v>
      </c>
      <c r="B452" s="2" t="s">
        <v>1361</v>
      </c>
      <c r="C452" s="2">
        <v>2014.0</v>
      </c>
      <c r="D452" s="2" t="s">
        <v>4579</v>
      </c>
      <c r="E452" s="2" t="s">
        <v>4580</v>
      </c>
      <c r="F452" s="2" t="s">
        <v>4581</v>
      </c>
      <c r="I452" s="2" t="s">
        <v>4582</v>
      </c>
      <c r="L452" s="2" t="s">
        <v>1476</v>
      </c>
      <c r="M452" s="2" t="s">
        <v>4583</v>
      </c>
      <c r="N452" s="2" t="s">
        <v>4584</v>
      </c>
      <c r="P452" s="2" t="s">
        <v>4585</v>
      </c>
      <c r="R452" s="2" t="s">
        <v>1462</v>
      </c>
      <c r="S452" s="2">
        <v>123.0</v>
      </c>
      <c r="AN452" s="2" t="s">
        <v>1368</v>
      </c>
    </row>
    <row r="453" ht="15.75" customHeight="1">
      <c r="A453" s="2" t="s">
        <v>4586</v>
      </c>
      <c r="B453" s="2" t="s">
        <v>1361</v>
      </c>
      <c r="C453" s="2">
        <v>2015.0</v>
      </c>
      <c r="D453" s="2" t="s">
        <v>4587</v>
      </c>
      <c r="E453" s="2" t="s">
        <v>4588</v>
      </c>
      <c r="F453" s="2" t="s">
        <v>1760</v>
      </c>
      <c r="I453" s="2" t="s">
        <v>4589</v>
      </c>
      <c r="L453" s="2" t="s">
        <v>1373</v>
      </c>
      <c r="M453" s="2" t="s">
        <v>4590</v>
      </c>
      <c r="N453" s="2" t="s">
        <v>4591</v>
      </c>
      <c r="P453" s="2" t="s">
        <v>4592</v>
      </c>
      <c r="S453" s="2">
        <v>119.0</v>
      </c>
      <c r="AN453" s="2" t="s">
        <v>1368</v>
      </c>
    </row>
    <row r="454" ht="15.75" customHeight="1">
      <c r="A454" s="2" t="s">
        <v>4593</v>
      </c>
      <c r="B454" s="2" t="s">
        <v>1361</v>
      </c>
      <c r="C454" s="2">
        <v>1997.0</v>
      </c>
      <c r="D454" s="2" t="s">
        <v>4594</v>
      </c>
      <c r="E454" s="2" t="s">
        <v>4595</v>
      </c>
      <c r="F454" s="2" t="s">
        <v>1510</v>
      </c>
      <c r="I454" s="2" t="s">
        <v>4596</v>
      </c>
      <c r="L454" s="2" t="s">
        <v>1804</v>
      </c>
      <c r="M454" s="2" t="s">
        <v>4597</v>
      </c>
      <c r="N454" s="2" t="s">
        <v>4598</v>
      </c>
      <c r="R454" s="2" t="s">
        <v>4599</v>
      </c>
      <c r="S454" s="2">
        <v>277.0</v>
      </c>
      <c r="AN454" s="2" t="s">
        <v>2244</v>
      </c>
    </row>
    <row r="455" ht="15.75" customHeight="1">
      <c r="A455" s="2" t="s">
        <v>4600</v>
      </c>
      <c r="B455" s="2" t="s">
        <v>1361</v>
      </c>
      <c r="C455" s="2">
        <v>2006.0</v>
      </c>
      <c r="D455" s="2" t="s">
        <v>4601</v>
      </c>
      <c r="E455" s="2" t="s">
        <v>4602</v>
      </c>
      <c r="F455" s="2" t="s">
        <v>4603</v>
      </c>
      <c r="L455" s="2" t="s">
        <v>1727</v>
      </c>
      <c r="M455" s="2" t="s">
        <v>4604</v>
      </c>
      <c r="N455" s="2" t="s">
        <v>4605</v>
      </c>
      <c r="P455" s="2" t="s">
        <v>4606</v>
      </c>
      <c r="R455" s="2" t="s">
        <v>1462</v>
      </c>
      <c r="S455" s="2">
        <v>73.0</v>
      </c>
      <c r="AN455" s="2" t="s">
        <v>1368</v>
      </c>
    </row>
    <row r="456" ht="15.75" customHeight="1">
      <c r="A456" s="2" t="s">
        <v>4607</v>
      </c>
      <c r="B456" s="2" t="s">
        <v>1361</v>
      </c>
      <c r="C456" s="2">
        <v>2012.0</v>
      </c>
      <c r="D456" s="2" t="s">
        <v>4608</v>
      </c>
      <c r="E456" s="2" t="s">
        <v>4609</v>
      </c>
      <c r="F456" s="2" t="s">
        <v>1789</v>
      </c>
      <c r="I456" s="2" t="s">
        <v>710</v>
      </c>
      <c r="L456" s="2" t="s">
        <v>1405</v>
      </c>
      <c r="M456" s="2" t="s">
        <v>4610</v>
      </c>
      <c r="N456" s="2" t="s">
        <v>4611</v>
      </c>
      <c r="P456" s="2" t="s">
        <v>4612</v>
      </c>
      <c r="R456" s="2" t="s">
        <v>1453</v>
      </c>
      <c r="S456" s="2">
        <v>22.0</v>
      </c>
      <c r="AN456" s="2" t="s">
        <v>1368</v>
      </c>
    </row>
    <row r="457" ht="15.75" customHeight="1">
      <c r="A457" s="2" t="s">
        <v>4613</v>
      </c>
      <c r="B457" s="2" t="s">
        <v>1361</v>
      </c>
      <c r="C457" s="2">
        <v>1988.0</v>
      </c>
      <c r="D457" s="2" t="s">
        <v>4614</v>
      </c>
      <c r="E457" s="2" t="s">
        <v>4615</v>
      </c>
      <c r="F457" s="2" t="s">
        <v>4616</v>
      </c>
      <c r="L457" s="2" t="s">
        <v>4055</v>
      </c>
      <c r="M457" s="2" t="s">
        <v>4617</v>
      </c>
      <c r="N457" s="2" t="s">
        <v>4618</v>
      </c>
      <c r="P457" s="2" t="s">
        <v>4619</v>
      </c>
      <c r="AN457" s="2" t="s">
        <v>1368</v>
      </c>
    </row>
    <row r="458" ht="15.75" customHeight="1">
      <c r="A458" s="2" t="s">
        <v>4620</v>
      </c>
      <c r="B458" s="2" t="s">
        <v>1361</v>
      </c>
      <c r="C458" s="2">
        <v>2006.0</v>
      </c>
      <c r="D458" s="2" t="s">
        <v>4621</v>
      </c>
      <c r="E458" s="2" t="s">
        <v>4622</v>
      </c>
      <c r="F458" s="2" t="s">
        <v>4623</v>
      </c>
      <c r="L458" s="2" t="s">
        <v>1727</v>
      </c>
      <c r="M458" s="2" t="s">
        <v>4624</v>
      </c>
      <c r="N458" s="2" t="s">
        <v>4625</v>
      </c>
      <c r="P458" s="2" t="s">
        <v>4626</v>
      </c>
      <c r="R458" s="2" t="s">
        <v>1600</v>
      </c>
      <c r="S458" s="2">
        <v>78.0</v>
      </c>
      <c r="AN458" s="2" t="s">
        <v>1368</v>
      </c>
    </row>
    <row r="459" ht="15.75" customHeight="1">
      <c r="A459" s="2" t="s">
        <v>4627</v>
      </c>
      <c r="B459" s="2" t="s">
        <v>1361</v>
      </c>
      <c r="C459" s="2">
        <v>2014.0</v>
      </c>
      <c r="D459" s="2" t="s">
        <v>4628</v>
      </c>
      <c r="E459" s="2" t="s">
        <v>4629</v>
      </c>
      <c r="F459" s="2" t="s">
        <v>4630</v>
      </c>
      <c r="I459" s="2" t="s">
        <v>4631</v>
      </c>
      <c r="L459" s="2" t="s">
        <v>1476</v>
      </c>
      <c r="M459" s="2" t="s">
        <v>4632</v>
      </c>
      <c r="N459" s="2" t="s">
        <v>4633</v>
      </c>
      <c r="P459" s="2" t="s">
        <v>4634</v>
      </c>
      <c r="R459" s="2" t="s">
        <v>1600</v>
      </c>
      <c r="S459" s="2">
        <v>47.0</v>
      </c>
      <c r="AN459" s="2" t="s">
        <v>1368</v>
      </c>
    </row>
    <row r="460" ht="15.75" customHeight="1">
      <c r="A460" s="2" t="s">
        <v>4635</v>
      </c>
      <c r="B460" s="2" t="s">
        <v>1361</v>
      </c>
      <c r="C460" s="2">
        <v>1974.0</v>
      </c>
      <c r="D460" s="2" t="s">
        <v>4636</v>
      </c>
      <c r="E460" s="2" t="s">
        <v>4637</v>
      </c>
      <c r="F460" s="2" t="s">
        <v>4638</v>
      </c>
      <c r="I460" s="2" t="s">
        <v>4639</v>
      </c>
      <c r="L460" s="2" t="s">
        <v>4640</v>
      </c>
      <c r="M460" s="2" t="s">
        <v>4641</v>
      </c>
      <c r="N460" s="2" t="s">
        <v>4642</v>
      </c>
      <c r="P460" s="2" t="s">
        <v>4643</v>
      </c>
      <c r="R460" s="2" t="s">
        <v>1506</v>
      </c>
      <c r="S460" s="2">
        <v>41.0</v>
      </c>
      <c r="AN460" s="2" t="s">
        <v>1368</v>
      </c>
    </row>
    <row r="461" ht="15.75" customHeight="1">
      <c r="A461" s="2" t="s">
        <v>4644</v>
      </c>
      <c r="B461" s="2" t="s">
        <v>1361</v>
      </c>
      <c r="C461" s="2">
        <v>2012.0</v>
      </c>
      <c r="D461" s="2" t="s">
        <v>4645</v>
      </c>
      <c r="E461" s="2" t="s">
        <v>4646</v>
      </c>
      <c r="F461" s="2" t="s">
        <v>4647</v>
      </c>
      <c r="I461" s="2" t="s">
        <v>4648</v>
      </c>
      <c r="L461" s="2" t="s">
        <v>1405</v>
      </c>
      <c r="M461" s="2" t="s">
        <v>4649</v>
      </c>
      <c r="N461" s="2" t="s">
        <v>4650</v>
      </c>
      <c r="P461" s="2" t="s">
        <v>4651</v>
      </c>
      <c r="R461" s="2" t="s">
        <v>1453</v>
      </c>
      <c r="S461" s="2">
        <v>36.0</v>
      </c>
      <c r="AN461" s="2" t="s">
        <v>1368</v>
      </c>
    </row>
    <row r="462" ht="15.75" customHeight="1">
      <c r="A462" s="2" t="s">
        <v>4652</v>
      </c>
      <c r="B462" s="2" t="s">
        <v>1361</v>
      </c>
      <c r="C462" s="2">
        <v>1995.0</v>
      </c>
      <c r="D462" s="2" t="s">
        <v>4653</v>
      </c>
      <c r="E462" s="2" t="s">
        <v>4654</v>
      </c>
      <c r="F462" s="2" t="s">
        <v>4655</v>
      </c>
      <c r="I462" s="2" t="s">
        <v>4656</v>
      </c>
      <c r="L462" s="2" t="s">
        <v>2089</v>
      </c>
      <c r="M462" s="2" t="s">
        <v>4657</v>
      </c>
      <c r="N462" s="2" t="s">
        <v>4658</v>
      </c>
      <c r="P462" s="2" t="s">
        <v>4659</v>
      </c>
      <c r="R462" s="2" t="s">
        <v>1600</v>
      </c>
      <c r="S462" s="2">
        <v>47.0</v>
      </c>
      <c r="AN462" s="2" t="s">
        <v>1368</v>
      </c>
    </row>
    <row r="463" ht="15.75" customHeight="1">
      <c r="A463" s="2" t="s">
        <v>4660</v>
      </c>
      <c r="B463" s="2" t="s">
        <v>1361</v>
      </c>
      <c r="C463" s="2">
        <v>2006.0</v>
      </c>
      <c r="D463" s="2" t="s">
        <v>4661</v>
      </c>
      <c r="E463" s="2" t="s">
        <v>4662</v>
      </c>
      <c r="F463" s="2" t="s">
        <v>4663</v>
      </c>
      <c r="H463" s="2" t="s">
        <v>4664</v>
      </c>
      <c r="K463" s="2" t="s">
        <v>4665</v>
      </c>
      <c r="L463" s="2" t="s">
        <v>1727</v>
      </c>
      <c r="M463" s="2" t="s">
        <v>4666</v>
      </c>
      <c r="N463" s="2" t="s">
        <v>4667</v>
      </c>
      <c r="P463" s="2" t="s">
        <v>4668</v>
      </c>
      <c r="R463" s="2" t="s">
        <v>1462</v>
      </c>
      <c r="S463" s="2">
        <v>16.0</v>
      </c>
      <c r="AN463" s="2" t="s">
        <v>1368</v>
      </c>
    </row>
    <row r="464" ht="15.75" customHeight="1">
      <c r="A464" s="2" t="s">
        <v>4669</v>
      </c>
      <c r="B464" s="2" t="s">
        <v>1361</v>
      </c>
      <c r="C464" s="2">
        <v>2013.0</v>
      </c>
      <c r="D464" s="2" t="s">
        <v>4670</v>
      </c>
      <c r="E464" s="2" t="s">
        <v>4671</v>
      </c>
      <c r="F464" s="2" t="s">
        <v>3916</v>
      </c>
      <c r="I464" s="2" t="s">
        <v>4672</v>
      </c>
      <c r="L464" s="2" t="s">
        <v>1429</v>
      </c>
      <c r="M464" s="2" t="s">
        <v>4673</v>
      </c>
      <c r="N464" s="2" t="s">
        <v>4674</v>
      </c>
      <c r="P464" s="2" t="s">
        <v>4675</v>
      </c>
      <c r="R464" s="2" t="s">
        <v>1600</v>
      </c>
      <c r="S464" s="2">
        <v>2.0</v>
      </c>
      <c r="AN464" s="2" t="s">
        <v>1368</v>
      </c>
    </row>
    <row r="465" ht="15.75" customHeight="1">
      <c r="A465" s="2" t="s">
        <v>4676</v>
      </c>
      <c r="B465" s="2" t="s">
        <v>1361</v>
      </c>
      <c r="C465" s="2">
        <v>1993.0</v>
      </c>
      <c r="D465" s="2" t="s">
        <v>4677</v>
      </c>
      <c r="E465" s="2" t="s">
        <v>4678</v>
      </c>
      <c r="F465" s="2" t="s">
        <v>4679</v>
      </c>
      <c r="L465" s="2" t="s">
        <v>2735</v>
      </c>
      <c r="M465" s="2" t="s">
        <v>4680</v>
      </c>
      <c r="N465" s="2" t="s">
        <v>4681</v>
      </c>
      <c r="P465" s="2" t="s">
        <v>4682</v>
      </c>
      <c r="R465" s="2" t="s">
        <v>4683</v>
      </c>
      <c r="S465" s="2">
        <v>6.0</v>
      </c>
      <c r="AN465" s="2" t="s">
        <v>1368</v>
      </c>
    </row>
    <row r="466" ht="15.75" customHeight="1">
      <c r="A466" s="2" t="s">
        <v>4684</v>
      </c>
      <c r="B466" s="2" t="s">
        <v>1361</v>
      </c>
      <c r="C466" s="2">
        <v>2005.0</v>
      </c>
      <c r="D466" s="2" t="s">
        <v>4685</v>
      </c>
      <c r="E466" s="2" t="s">
        <v>4686</v>
      </c>
      <c r="F466" s="2" t="s">
        <v>4687</v>
      </c>
      <c r="I466" s="2" t="s">
        <v>4688</v>
      </c>
      <c r="L466" s="2" t="s">
        <v>1394</v>
      </c>
      <c r="M466" s="2" t="s">
        <v>4689</v>
      </c>
      <c r="N466" s="2" t="s">
        <v>4690</v>
      </c>
      <c r="P466" s="2" t="s">
        <v>4691</v>
      </c>
      <c r="R466" s="2" t="s">
        <v>1480</v>
      </c>
      <c r="S466" s="2">
        <v>48.0</v>
      </c>
      <c r="AN466" s="2" t="s">
        <v>1368</v>
      </c>
    </row>
    <row r="467" ht="15.75" customHeight="1">
      <c r="A467" s="2" t="s">
        <v>4692</v>
      </c>
      <c r="B467" s="2" t="s">
        <v>1361</v>
      </c>
      <c r="C467" s="2">
        <v>2016.0</v>
      </c>
      <c r="D467" s="2" t="s">
        <v>4693</v>
      </c>
      <c r="E467" s="2" t="s">
        <v>214</v>
      </c>
      <c r="F467" s="2" t="s">
        <v>219</v>
      </c>
      <c r="H467" s="2" t="s">
        <v>4694</v>
      </c>
      <c r="K467" s="2" t="s">
        <v>4695</v>
      </c>
      <c r="L467" s="2" t="s">
        <v>1502</v>
      </c>
      <c r="M467" s="2" t="s">
        <v>4696</v>
      </c>
      <c r="N467" s="2" t="s">
        <v>4697</v>
      </c>
      <c r="P467" s="2" t="s">
        <v>4698</v>
      </c>
      <c r="R467" s="2" t="s">
        <v>1453</v>
      </c>
      <c r="S467" s="2">
        <v>29.0</v>
      </c>
      <c r="AN467" s="2" t="s">
        <v>1368</v>
      </c>
    </row>
    <row r="468" ht="15.75" customHeight="1">
      <c r="A468" s="2" t="s">
        <v>4699</v>
      </c>
      <c r="B468" s="2" t="s">
        <v>1361</v>
      </c>
      <c r="C468" s="2">
        <v>2011.0</v>
      </c>
      <c r="D468" s="2" t="s">
        <v>4700</v>
      </c>
      <c r="E468" s="2" t="s">
        <v>4701</v>
      </c>
      <c r="F468" s="2" t="s">
        <v>4702</v>
      </c>
      <c r="H468" s="2" t="s">
        <v>4703</v>
      </c>
      <c r="I468" s="2" t="s">
        <v>4704</v>
      </c>
      <c r="K468" s="2" t="s">
        <v>4705</v>
      </c>
      <c r="L468" s="2" t="s">
        <v>1627</v>
      </c>
      <c r="M468" s="2" t="s">
        <v>4706</v>
      </c>
      <c r="N468" s="2" t="s">
        <v>4707</v>
      </c>
      <c r="AN468" s="2" t="s">
        <v>1368</v>
      </c>
    </row>
    <row r="469" ht="15.75" customHeight="1">
      <c r="A469" s="2" t="s">
        <v>4708</v>
      </c>
      <c r="B469" s="2" t="s">
        <v>1361</v>
      </c>
      <c r="C469" s="2">
        <v>2007.0</v>
      </c>
      <c r="D469" s="2" t="s">
        <v>4709</v>
      </c>
      <c r="E469" s="2" t="s">
        <v>4710</v>
      </c>
      <c r="F469" s="2" t="s">
        <v>1863</v>
      </c>
      <c r="I469" s="2" t="s">
        <v>4711</v>
      </c>
      <c r="L469" s="2" t="s">
        <v>4712</v>
      </c>
      <c r="M469" s="2" t="s">
        <v>4713</v>
      </c>
      <c r="N469" s="2" t="s">
        <v>4714</v>
      </c>
      <c r="P469" s="2" t="s">
        <v>4715</v>
      </c>
      <c r="R469" s="2" t="s">
        <v>1443</v>
      </c>
      <c r="S469" s="2">
        <v>35.0</v>
      </c>
      <c r="AN469" s="2" t="s">
        <v>1368</v>
      </c>
    </row>
    <row r="470" ht="15.75" customHeight="1">
      <c r="A470" s="2" t="s">
        <v>4716</v>
      </c>
      <c r="B470" s="2" t="s">
        <v>1361</v>
      </c>
      <c r="C470" s="2">
        <v>2000.0</v>
      </c>
      <c r="D470" s="2" t="s">
        <v>4717</v>
      </c>
      <c r="E470" s="2" t="s">
        <v>4718</v>
      </c>
      <c r="F470" s="2" t="s">
        <v>4719</v>
      </c>
      <c r="H470" s="2" t="s">
        <v>4720</v>
      </c>
      <c r="I470" s="2" t="s">
        <v>4721</v>
      </c>
      <c r="K470" s="2" t="s">
        <v>4722</v>
      </c>
      <c r="L470" s="2" t="s">
        <v>2429</v>
      </c>
      <c r="M470" s="2" t="s">
        <v>4723</v>
      </c>
      <c r="N470" s="2" t="s">
        <v>4724</v>
      </c>
      <c r="AN470" s="2" t="s">
        <v>1368</v>
      </c>
    </row>
    <row r="471" ht="15.75" customHeight="1">
      <c r="A471" s="2" t="s">
        <v>4725</v>
      </c>
      <c r="B471" s="2" t="s">
        <v>1361</v>
      </c>
      <c r="C471" s="2">
        <v>1991.0</v>
      </c>
      <c r="D471" s="2" t="s">
        <v>4726</v>
      </c>
      <c r="E471" s="2" t="s">
        <v>4727</v>
      </c>
      <c r="F471" s="2" t="s">
        <v>4728</v>
      </c>
      <c r="I471" s="2" t="s">
        <v>4729</v>
      </c>
      <c r="L471" s="2" t="s">
        <v>2607</v>
      </c>
      <c r="M471" s="2" t="s">
        <v>4730</v>
      </c>
      <c r="N471" s="2" t="s">
        <v>4731</v>
      </c>
      <c r="P471" s="2" t="s">
        <v>4732</v>
      </c>
      <c r="R471" s="2" t="s">
        <v>1453</v>
      </c>
      <c r="S471" s="2">
        <v>18.0</v>
      </c>
      <c r="AN471" s="2" t="s">
        <v>1368</v>
      </c>
    </row>
    <row r="472" ht="15.75" customHeight="1">
      <c r="A472" s="2" t="s">
        <v>4733</v>
      </c>
      <c r="B472" s="2" t="s">
        <v>1361</v>
      </c>
      <c r="C472" s="2">
        <v>2015.0</v>
      </c>
      <c r="D472" s="2" t="s">
        <v>4734</v>
      </c>
      <c r="E472" s="2" t="s">
        <v>4735</v>
      </c>
      <c r="F472" s="2" t="s">
        <v>4736</v>
      </c>
      <c r="L472" s="2" t="s">
        <v>1373</v>
      </c>
      <c r="M472" s="2" t="s">
        <v>4737</v>
      </c>
      <c r="N472" s="2" t="s">
        <v>4738</v>
      </c>
      <c r="P472" s="2" t="s">
        <v>4739</v>
      </c>
      <c r="AN472" s="2" t="s">
        <v>1368</v>
      </c>
    </row>
    <row r="473" ht="15.75" customHeight="1">
      <c r="A473" s="2" t="s">
        <v>4740</v>
      </c>
      <c r="B473" s="2" t="s">
        <v>1361</v>
      </c>
      <c r="C473" s="2">
        <v>2006.0</v>
      </c>
      <c r="D473" s="2" t="s">
        <v>4741</v>
      </c>
      <c r="E473" s="2" t="s">
        <v>4742</v>
      </c>
      <c r="F473" s="2" t="s">
        <v>2391</v>
      </c>
      <c r="H473" s="2" t="s">
        <v>4743</v>
      </c>
      <c r="I473" s="2" t="s">
        <v>4744</v>
      </c>
      <c r="K473" s="2" t="s">
        <v>4745</v>
      </c>
      <c r="L473" s="2" t="s">
        <v>1727</v>
      </c>
      <c r="M473" s="2" t="s">
        <v>4746</v>
      </c>
      <c r="N473" s="2" t="s">
        <v>4747</v>
      </c>
      <c r="P473" s="2" t="s">
        <v>4748</v>
      </c>
      <c r="R473" s="2" t="s">
        <v>1462</v>
      </c>
      <c r="S473" s="2">
        <v>74.0</v>
      </c>
      <c r="AN473" s="2" t="s">
        <v>1368</v>
      </c>
    </row>
    <row r="474" ht="15.75" customHeight="1">
      <c r="A474" s="2" t="s">
        <v>4749</v>
      </c>
      <c r="B474" s="2" t="s">
        <v>1361</v>
      </c>
      <c r="C474" s="2">
        <v>2013.0</v>
      </c>
      <c r="D474" s="2" t="s">
        <v>4750</v>
      </c>
      <c r="E474" s="2" t="s">
        <v>4751</v>
      </c>
      <c r="F474" s="2" t="s">
        <v>4752</v>
      </c>
      <c r="I474" s="2" t="s">
        <v>4753</v>
      </c>
      <c r="L474" s="2" t="s">
        <v>1429</v>
      </c>
      <c r="M474" s="2" t="s">
        <v>4754</v>
      </c>
      <c r="N474" s="2" t="s">
        <v>4755</v>
      </c>
      <c r="P474" s="2" t="s">
        <v>4756</v>
      </c>
      <c r="AN474" s="2" t="s">
        <v>1368</v>
      </c>
    </row>
    <row r="475" ht="15.75" customHeight="1">
      <c r="A475" s="2" t="s">
        <v>4757</v>
      </c>
      <c r="B475" s="2" t="s">
        <v>1361</v>
      </c>
      <c r="C475" s="2">
        <v>2014.0</v>
      </c>
      <c r="D475" s="2" t="s">
        <v>4758</v>
      </c>
      <c r="E475" s="2" t="s">
        <v>4759</v>
      </c>
      <c r="F475" s="2" t="s">
        <v>4760</v>
      </c>
      <c r="H475" s="2" t="s">
        <v>4761</v>
      </c>
      <c r="I475" s="2" t="s">
        <v>4762</v>
      </c>
      <c r="J475" s="2" t="s">
        <v>4763</v>
      </c>
      <c r="K475" s="2" t="s">
        <v>4764</v>
      </c>
      <c r="L475" s="2" t="s">
        <v>4765</v>
      </c>
      <c r="M475" s="2" t="s">
        <v>4766</v>
      </c>
      <c r="N475" s="2" t="s">
        <v>4767</v>
      </c>
      <c r="O475" s="2" t="s">
        <v>4768</v>
      </c>
      <c r="P475" s="2" t="s">
        <v>4769</v>
      </c>
      <c r="R475" s="2" t="s">
        <v>1462</v>
      </c>
      <c r="S475" s="2">
        <v>5.0</v>
      </c>
      <c r="U475" s="2" t="s">
        <v>4770</v>
      </c>
      <c r="AC475" s="2" t="s">
        <v>1540</v>
      </c>
      <c r="AH475" s="2" t="s">
        <v>1541</v>
      </c>
      <c r="AN475" s="2" t="s">
        <v>1885</v>
      </c>
    </row>
    <row r="476" ht="15.75" customHeight="1">
      <c r="A476" s="2" t="s">
        <v>4771</v>
      </c>
      <c r="B476" s="2" t="s">
        <v>1361</v>
      </c>
      <c r="C476" s="2">
        <v>1997.0</v>
      </c>
      <c r="D476" s="2" t="s">
        <v>4772</v>
      </c>
      <c r="E476" s="2" t="s">
        <v>4773</v>
      </c>
      <c r="F476" s="2" t="s">
        <v>3533</v>
      </c>
      <c r="H476" s="2" t="s">
        <v>2378</v>
      </c>
      <c r="I476" s="2" t="s">
        <v>4774</v>
      </c>
      <c r="J476" s="2" t="s">
        <v>4775</v>
      </c>
      <c r="L476" s="2" t="s">
        <v>4776</v>
      </c>
      <c r="M476" s="2" t="s">
        <v>4777</v>
      </c>
      <c r="N476" s="2" t="s">
        <v>4778</v>
      </c>
      <c r="O476" s="2" t="s">
        <v>4779</v>
      </c>
      <c r="P476" s="2" t="s">
        <v>4780</v>
      </c>
      <c r="R476" s="2" t="s">
        <v>1600</v>
      </c>
      <c r="S476" s="2">
        <v>7.0</v>
      </c>
      <c r="U476" s="2" t="s">
        <v>3533</v>
      </c>
      <c r="V476" s="2" t="s">
        <v>4781</v>
      </c>
      <c r="AC476" s="2" t="s">
        <v>1540</v>
      </c>
      <c r="AH476" s="2" t="s">
        <v>1541</v>
      </c>
      <c r="AN476" s="2" t="s">
        <v>1872</v>
      </c>
    </row>
    <row r="477" ht="15.75" customHeight="1">
      <c r="A477" s="2" t="s">
        <v>4782</v>
      </c>
      <c r="B477" s="2" t="s">
        <v>1361</v>
      </c>
      <c r="C477" s="2">
        <v>2015.0</v>
      </c>
      <c r="D477" s="2" t="s">
        <v>4783</v>
      </c>
      <c r="E477" s="2" t="s">
        <v>4784</v>
      </c>
      <c r="F477" s="2" t="s">
        <v>2971</v>
      </c>
      <c r="H477" s="2" t="s">
        <v>4785</v>
      </c>
      <c r="I477" s="2" t="s">
        <v>4786</v>
      </c>
      <c r="J477" s="2" t="s">
        <v>4787</v>
      </c>
      <c r="L477" s="2" t="s">
        <v>2153</v>
      </c>
      <c r="M477" s="2" t="s">
        <v>4788</v>
      </c>
      <c r="N477" s="2" t="s">
        <v>4789</v>
      </c>
      <c r="O477" s="2" t="s">
        <v>4790</v>
      </c>
      <c r="P477" s="2" t="s">
        <v>4791</v>
      </c>
      <c r="R477" s="2" t="s">
        <v>4792</v>
      </c>
      <c r="S477" s="2">
        <v>386.0</v>
      </c>
      <c r="U477" s="2" t="s">
        <v>2971</v>
      </c>
      <c r="V477" s="2" t="s">
        <v>4793</v>
      </c>
      <c r="AC477" s="2" t="s">
        <v>1540</v>
      </c>
      <c r="AH477" s="2" t="s">
        <v>1541</v>
      </c>
      <c r="AN477" s="2" t="s">
        <v>4794</v>
      </c>
    </row>
    <row r="478" ht="15.75" customHeight="1">
      <c r="A478" s="2" t="s">
        <v>4795</v>
      </c>
      <c r="B478" s="2" t="s">
        <v>1361</v>
      </c>
      <c r="C478" s="2">
        <v>2015.0</v>
      </c>
      <c r="D478" s="2" t="s">
        <v>4796</v>
      </c>
      <c r="E478" s="2" t="s">
        <v>4797</v>
      </c>
      <c r="F478" s="2" t="s">
        <v>1688</v>
      </c>
      <c r="H478" s="2" t="s">
        <v>2892</v>
      </c>
      <c r="I478" s="2" t="s">
        <v>4798</v>
      </c>
      <c r="J478" s="2" t="s">
        <v>4799</v>
      </c>
      <c r="K478" s="2" t="s">
        <v>4800</v>
      </c>
      <c r="L478" s="2" t="s">
        <v>4801</v>
      </c>
      <c r="M478" s="2" t="s">
        <v>4802</v>
      </c>
      <c r="N478" s="2" t="s">
        <v>4803</v>
      </c>
      <c r="O478" s="2" t="s">
        <v>4804</v>
      </c>
      <c r="P478" s="2" t="s">
        <v>4805</v>
      </c>
      <c r="R478" s="2" t="s">
        <v>4806</v>
      </c>
      <c r="S478" s="2">
        <v>112.0</v>
      </c>
      <c r="U478" s="2" t="s">
        <v>2901</v>
      </c>
      <c r="AC478" s="2" t="s">
        <v>1540</v>
      </c>
      <c r="AH478" s="2" t="s">
        <v>1541</v>
      </c>
      <c r="AN478" s="2" t="s">
        <v>1872</v>
      </c>
    </row>
    <row r="479" ht="15.75" customHeight="1">
      <c r="A479" s="2" t="s">
        <v>4807</v>
      </c>
      <c r="B479" s="2" t="s">
        <v>1361</v>
      </c>
      <c r="C479" s="2">
        <v>2002.0</v>
      </c>
      <c r="D479" s="2" t="s">
        <v>4808</v>
      </c>
      <c r="E479" s="2" t="s">
        <v>4809</v>
      </c>
      <c r="F479" s="2" t="s">
        <v>1760</v>
      </c>
      <c r="H479" s="2" t="s">
        <v>1761</v>
      </c>
      <c r="I479" s="2" t="s">
        <v>4810</v>
      </c>
      <c r="J479" s="2" t="s">
        <v>4811</v>
      </c>
      <c r="L479" s="2" t="s">
        <v>4812</v>
      </c>
      <c r="M479" s="2" t="s">
        <v>4813</v>
      </c>
      <c r="N479" s="2" t="s">
        <v>4814</v>
      </c>
      <c r="O479" s="2" t="s">
        <v>4815</v>
      </c>
      <c r="P479" s="2" t="s">
        <v>4816</v>
      </c>
      <c r="R479" s="2" t="s">
        <v>1600</v>
      </c>
      <c r="S479" s="2">
        <v>41.0</v>
      </c>
      <c r="U479" s="2" t="s">
        <v>1760</v>
      </c>
      <c r="V479" s="2" t="s">
        <v>4817</v>
      </c>
      <c r="AC479" s="2" t="s">
        <v>1540</v>
      </c>
      <c r="AH479" s="2" t="s">
        <v>1541</v>
      </c>
      <c r="AN479" s="2" t="s">
        <v>1872</v>
      </c>
    </row>
    <row r="480" ht="15.75" customHeight="1">
      <c r="A480" s="2" t="s">
        <v>4818</v>
      </c>
      <c r="B480" s="2" t="s">
        <v>1361</v>
      </c>
      <c r="C480" s="2">
        <v>2012.0</v>
      </c>
      <c r="D480" s="2" t="s">
        <v>4819</v>
      </c>
      <c r="E480" s="2" t="s">
        <v>4820</v>
      </c>
      <c r="F480" s="2" t="s">
        <v>3274</v>
      </c>
      <c r="H480" s="2" t="s">
        <v>4821</v>
      </c>
      <c r="I480" s="2" t="s">
        <v>4822</v>
      </c>
      <c r="J480" s="2" t="s">
        <v>4823</v>
      </c>
      <c r="L480" s="2" t="s">
        <v>4824</v>
      </c>
      <c r="M480" s="2" t="s">
        <v>1385</v>
      </c>
      <c r="N480" s="2" t="s">
        <v>1386</v>
      </c>
      <c r="O480" s="2" t="s">
        <v>4825</v>
      </c>
      <c r="P480" s="2" t="s">
        <v>4826</v>
      </c>
      <c r="R480" s="2" t="s">
        <v>1453</v>
      </c>
      <c r="S480" s="2">
        <v>6.0</v>
      </c>
      <c r="U480" s="2" t="s">
        <v>3274</v>
      </c>
      <c r="AC480" s="2" t="s">
        <v>1540</v>
      </c>
      <c r="AH480" s="2" t="s">
        <v>1541</v>
      </c>
      <c r="AN480" s="2" t="s">
        <v>1885</v>
      </c>
    </row>
    <row r="481" ht="15.75" customHeight="1">
      <c r="A481" s="2" t="s">
        <v>4827</v>
      </c>
      <c r="B481" s="2" t="s">
        <v>1396</v>
      </c>
      <c r="C481" s="2">
        <v>2017.0</v>
      </c>
      <c r="D481" s="2" t="s">
        <v>4828</v>
      </c>
      <c r="E481" s="2" t="s">
        <v>4829</v>
      </c>
      <c r="L481" s="2" t="s">
        <v>1658</v>
      </c>
      <c r="M481" s="2" t="s">
        <v>1385</v>
      </c>
      <c r="N481" s="2" t="s">
        <v>1386</v>
      </c>
      <c r="AA481" s="2" t="s">
        <v>4830</v>
      </c>
      <c r="AN481" s="2" t="s">
        <v>2238</v>
      </c>
    </row>
    <row r="482" ht="15.75" customHeight="1">
      <c r="A482" s="2" t="s">
        <v>4831</v>
      </c>
      <c r="B482" s="2" t="s">
        <v>1396</v>
      </c>
      <c r="C482" s="2">
        <v>2010.0</v>
      </c>
      <c r="D482" s="2" t="s">
        <v>4832</v>
      </c>
      <c r="E482" s="2" t="s">
        <v>4833</v>
      </c>
      <c r="G482" s="2" t="s">
        <v>4834</v>
      </c>
      <c r="K482" s="2" t="s">
        <v>4835</v>
      </c>
      <c r="L482" s="2" t="s">
        <v>1449</v>
      </c>
      <c r="M482" s="2" t="s">
        <v>1385</v>
      </c>
      <c r="N482" s="2" t="s">
        <v>1386</v>
      </c>
      <c r="AA482" s="2" t="s">
        <v>4836</v>
      </c>
      <c r="AN482" s="2" t="s">
        <v>1621</v>
      </c>
    </row>
    <row r="483" ht="15.75" customHeight="1">
      <c r="A483" s="2" t="s">
        <v>4837</v>
      </c>
      <c r="B483" s="2" t="s">
        <v>1396</v>
      </c>
      <c r="C483" s="2">
        <v>2013.0</v>
      </c>
      <c r="D483" s="2" t="s">
        <v>4838</v>
      </c>
      <c r="E483" s="2" t="s">
        <v>4839</v>
      </c>
      <c r="J483" s="2" t="s">
        <v>4840</v>
      </c>
      <c r="K483" s="2" t="s">
        <v>4841</v>
      </c>
      <c r="L483" s="2" t="s">
        <v>1429</v>
      </c>
      <c r="M483" s="2" t="s">
        <v>1385</v>
      </c>
      <c r="N483" s="2" t="s">
        <v>1386</v>
      </c>
      <c r="AA483" s="2" t="s">
        <v>4830</v>
      </c>
      <c r="AN483" s="2" t="s">
        <v>1368</v>
      </c>
    </row>
    <row r="484" ht="15.75" customHeight="1">
      <c r="A484" s="2" t="s">
        <v>4842</v>
      </c>
      <c r="B484" s="2" t="s">
        <v>1396</v>
      </c>
      <c r="C484" s="2">
        <v>2018.0</v>
      </c>
      <c r="D484" s="2" t="s">
        <v>4843</v>
      </c>
      <c r="E484" s="2" t="s">
        <v>4844</v>
      </c>
      <c r="J484" s="2" t="s">
        <v>4845</v>
      </c>
      <c r="L484" s="2" t="s">
        <v>1420</v>
      </c>
      <c r="M484" s="2" t="s">
        <v>1385</v>
      </c>
      <c r="N484" s="2" t="s">
        <v>1386</v>
      </c>
      <c r="AN484" s="2" t="s">
        <v>1368</v>
      </c>
    </row>
    <row r="485" ht="15.75" customHeight="1">
      <c r="A485" s="2" t="s">
        <v>4846</v>
      </c>
      <c r="B485" s="2" t="s">
        <v>1396</v>
      </c>
      <c r="C485" s="2">
        <v>2018.0</v>
      </c>
      <c r="D485" s="2" t="s">
        <v>4843</v>
      </c>
      <c r="E485" s="2" t="s">
        <v>4847</v>
      </c>
      <c r="J485" s="2" t="s">
        <v>4848</v>
      </c>
      <c r="L485" s="2" t="s">
        <v>1420</v>
      </c>
      <c r="M485" s="2" t="s">
        <v>1385</v>
      </c>
      <c r="N485" s="2" t="s">
        <v>1386</v>
      </c>
      <c r="AN485" s="2" t="s">
        <v>1368</v>
      </c>
    </row>
    <row r="486" ht="15.75" customHeight="1">
      <c r="A486" s="2" t="s">
        <v>4849</v>
      </c>
      <c r="B486" s="2" t="s">
        <v>1396</v>
      </c>
      <c r="C486" s="2">
        <v>2018.0</v>
      </c>
      <c r="D486" s="2" t="s">
        <v>4843</v>
      </c>
      <c r="E486" s="2" t="s">
        <v>4850</v>
      </c>
      <c r="J486" s="2" t="s">
        <v>4851</v>
      </c>
      <c r="L486" s="2" t="s">
        <v>1420</v>
      </c>
      <c r="M486" s="2" t="s">
        <v>1385</v>
      </c>
      <c r="N486" s="2" t="s">
        <v>1386</v>
      </c>
      <c r="AN486" s="2" t="s">
        <v>1368</v>
      </c>
    </row>
    <row r="487" ht="15.75" customHeight="1">
      <c r="A487" s="2" t="s">
        <v>4852</v>
      </c>
      <c r="B487" s="2" t="s">
        <v>1396</v>
      </c>
      <c r="C487" s="2">
        <v>2018.0</v>
      </c>
      <c r="D487" s="2" t="s">
        <v>4843</v>
      </c>
      <c r="E487" s="2" t="s">
        <v>4853</v>
      </c>
      <c r="J487" s="2" t="s">
        <v>4854</v>
      </c>
      <c r="L487" s="2" t="s">
        <v>1420</v>
      </c>
      <c r="M487" s="2" t="s">
        <v>1385</v>
      </c>
      <c r="N487" s="2" t="s">
        <v>1386</v>
      </c>
      <c r="AN487" s="2" t="s">
        <v>1368</v>
      </c>
    </row>
    <row r="488" ht="15.75" customHeight="1">
      <c r="A488" s="2" t="s">
        <v>4855</v>
      </c>
      <c r="B488" s="2" t="s">
        <v>1623</v>
      </c>
      <c r="C488" s="2">
        <v>2008.0</v>
      </c>
      <c r="D488" s="2" t="s">
        <v>4856</v>
      </c>
      <c r="E488" s="2" t="s">
        <v>4857</v>
      </c>
      <c r="J488" s="2" t="s">
        <v>4858</v>
      </c>
      <c r="L488" s="2" t="s">
        <v>1458</v>
      </c>
      <c r="M488" s="2" t="s">
        <v>1385</v>
      </c>
      <c r="N488" s="2" t="s">
        <v>1386</v>
      </c>
      <c r="AA488" s="2" t="s">
        <v>4859</v>
      </c>
      <c r="AN488" s="2" t="s">
        <v>1368</v>
      </c>
    </row>
    <row r="489" ht="15.75" customHeight="1">
      <c r="A489" s="2" t="s">
        <v>4860</v>
      </c>
      <c r="B489" s="2" t="s">
        <v>1396</v>
      </c>
      <c r="C489" s="2">
        <v>1998.0</v>
      </c>
      <c r="D489" s="2" t="s">
        <v>4861</v>
      </c>
      <c r="E489" s="2" t="s">
        <v>4862</v>
      </c>
      <c r="L489" s="2" t="s">
        <v>1958</v>
      </c>
      <c r="M489" s="2" t="s">
        <v>1385</v>
      </c>
      <c r="N489" s="2" t="s">
        <v>1386</v>
      </c>
      <c r="AA489" s="2" t="s">
        <v>4863</v>
      </c>
      <c r="AB489" s="2" t="s">
        <v>4864</v>
      </c>
      <c r="AN489" s="2" t="s">
        <v>1368</v>
      </c>
    </row>
    <row r="490" ht="15.75" customHeight="1">
      <c r="A490" s="2" t="s">
        <v>4865</v>
      </c>
      <c r="B490" s="2" t="s">
        <v>2986</v>
      </c>
      <c r="C490" s="2">
        <v>2009.0</v>
      </c>
      <c r="D490" s="2" t="s">
        <v>4866</v>
      </c>
      <c r="E490" s="2" t="s">
        <v>4867</v>
      </c>
      <c r="J490" s="2" t="s">
        <v>4868</v>
      </c>
      <c r="L490" s="2" t="s">
        <v>1364</v>
      </c>
      <c r="M490" s="2" t="s">
        <v>1385</v>
      </c>
      <c r="N490" s="2" t="s">
        <v>1386</v>
      </c>
      <c r="AN490" s="2" t="s">
        <v>1368</v>
      </c>
    </row>
    <row r="491" ht="15.75" customHeight="1">
      <c r="A491" s="2" t="s">
        <v>4869</v>
      </c>
      <c r="B491" s="2" t="s">
        <v>1361</v>
      </c>
      <c r="C491" s="2">
        <v>2007.0</v>
      </c>
      <c r="D491" s="2" t="s">
        <v>4870</v>
      </c>
      <c r="E491" s="2" t="s">
        <v>4871</v>
      </c>
      <c r="F491" s="2" t="s">
        <v>4872</v>
      </c>
      <c r="H491" s="2" t="s">
        <v>4873</v>
      </c>
      <c r="I491" s="2" t="s">
        <v>4874</v>
      </c>
      <c r="J491" s="2" t="s">
        <v>4875</v>
      </c>
      <c r="K491" s="2" t="s">
        <v>4876</v>
      </c>
      <c r="L491" s="2" t="s">
        <v>4877</v>
      </c>
      <c r="M491" s="2" t="s">
        <v>1385</v>
      </c>
      <c r="N491" s="2" t="s">
        <v>1386</v>
      </c>
      <c r="P491" s="2" t="s">
        <v>4878</v>
      </c>
      <c r="R491" s="2" t="s">
        <v>1506</v>
      </c>
      <c r="S491" s="2">
        <v>44.0</v>
      </c>
      <c r="AN491" s="2" t="s">
        <v>1368</v>
      </c>
    </row>
    <row r="492" ht="15.75" customHeight="1">
      <c r="A492" s="2" t="s">
        <v>4879</v>
      </c>
      <c r="B492" s="2" t="s">
        <v>1623</v>
      </c>
      <c r="C492" s="2">
        <v>2013.0</v>
      </c>
      <c r="D492" s="2" t="s">
        <v>4880</v>
      </c>
      <c r="E492" s="2" t="s">
        <v>4881</v>
      </c>
      <c r="L492" s="2" t="s">
        <v>1429</v>
      </c>
      <c r="M492" s="2" t="s">
        <v>1385</v>
      </c>
      <c r="N492" s="2" t="s">
        <v>1386</v>
      </c>
      <c r="AA492" s="2" t="s">
        <v>4882</v>
      </c>
      <c r="AB492" s="2" t="s">
        <v>4883</v>
      </c>
      <c r="AN492" s="2" t="s">
        <v>1368</v>
      </c>
      <c r="BH492" s="2" t="s">
        <v>4884</v>
      </c>
    </row>
    <row r="493" ht="15.75" customHeight="1">
      <c r="A493" s="2" t="s">
        <v>4885</v>
      </c>
      <c r="B493" s="2" t="s">
        <v>1396</v>
      </c>
      <c r="C493" s="2">
        <v>2014.0</v>
      </c>
      <c r="D493" s="2" t="s">
        <v>4886</v>
      </c>
      <c r="E493" s="2" t="s">
        <v>4887</v>
      </c>
      <c r="G493" s="2" t="s">
        <v>4888</v>
      </c>
      <c r="J493" s="2" t="s">
        <v>4889</v>
      </c>
      <c r="K493" s="2" t="s">
        <v>4890</v>
      </c>
      <c r="L493" s="2" t="s">
        <v>1476</v>
      </c>
      <c r="M493" s="2" t="s">
        <v>1385</v>
      </c>
      <c r="N493" s="2" t="s">
        <v>1386</v>
      </c>
      <c r="O493" s="2" t="s">
        <v>4891</v>
      </c>
      <c r="V493" s="2" t="s">
        <v>4892</v>
      </c>
      <c r="AA493" s="2" t="s">
        <v>4893</v>
      </c>
      <c r="AC493" s="2" t="s">
        <v>3263</v>
      </c>
      <c r="AH493" s="2" t="s">
        <v>4894</v>
      </c>
      <c r="AN493" s="2" t="s">
        <v>1368</v>
      </c>
    </row>
    <row r="494" ht="15.75" customHeight="1">
      <c r="A494" s="2" t="s">
        <v>4895</v>
      </c>
      <c r="B494" s="2" t="s">
        <v>1396</v>
      </c>
      <c r="C494" s="2">
        <v>2018.0</v>
      </c>
      <c r="D494" s="2" t="s">
        <v>4843</v>
      </c>
      <c r="E494" s="2" t="s">
        <v>4896</v>
      </c>
      <c r="J494" s="2" t="s">
        <v>4897</v>
      </c>
      <c r="L494" s="2" t="s">
        <v>1420</v>
      </c>
      <c r="M494" s="2" t="s">
        <v>1385</v>
      </c>
      <c r="N494" s="2" t="s">
        <v>1386</v>
      </c>
      <c r="AN494" s="2" t="s">
        <v>1368</v>
      </c>
    </row>
    <row r="495" ht="15.75" customHeight="1">
      <c r="A495" s="2" t="s">
        <v>4898</v>
      </c>
      <c r="B495" s="2" t="s">
        <v>1396</v>
      </c>
      <c r="C495" s="2">
        <v>2018.0</v>
      </c>
      <c r="D495" s="2" t="s">
        <v>4843</v>
      </c>
      <c r="E495" s="2" t="s">
        <v>4899</v>
      </c>
      <c r="L495" s="2" t="s">
        <v>1420</v>
      </c>
      <c r="M495" s="2" t="s">
        <v>1385</v>
      </c>
      <c r="N495" s="2" t="s">
        <v>1386</v>
      </c>
      <c r="AA495" s="2" t="s">
        <v>1406</v>
      </c>
      <c r="AN495" s="2" t="s">
        <v>1368</v>
      </c>
    </row>
    <row r="496" ht="15.75" customHeight="1">
      <c r="A496" s="2" t="s">
        <v>4900</v>
      </c>
      <c r="B496" s="2" t="s">
        <v>1396</v>
      </c>
      <c r="C496" s="2">
        <v>2018.0</v>
      </c>
      <c r="D496" s="2" t="s">
        <v>4843</v>
      </c>
      <c r="E496" s="2" t="s">
        <v>4901</v>
      </c>
      <c r="J496" s="2" t="s">
        <v>4902</v>
      </c>
      <c r="L496" s="2" t="s">
        <v>1420</v>
      </c>
      <c r="M496" s="2" t="s">
        <v>1385</v>
      </c>
      <c r="N496" s="2" t="s">
        <v>1386</v>
      </c>
      <c r="AN496" s="2" t="s">
        <v>1368</v>
      </c>
    </row>
    <row r="497" ht="15.75" customHeight="1">
      <c r="A497" s="2" t="s">
        <v>4903</v>
      </c>
      <c r="B497" s="2" t="s">
        <v>1396</v>
      </c>
      <c r="C497" s="2">
        <v>2018.0</v>
      </c>
      <c r="D497" s="2" t="s">
        <v>4843</v>
      </c>
      <c r="E497" s="2" t="s">
        <v>4904</v>
      </c>
      <c r="J497" s="2" t="s">
        <v>4905</v>
      </c>
      <c r="L497" s="2" t="s">
        <v>1420</v>
      </c>
      <c r="M497" s="2" t="s">
        <v>1385</v>
      </c>
      <c r="N497" s="2" t="s">
        <v>1386</v>
      </c>
      <c r="O497" s="2" t="s">
        <v>4906</v>
      </c>
      <c r="AN497" s="2" t="s">
        <v>1368</v>
      </c>
    </row>
    <row r="498" ht="15.75" customHeight="1">
      <c r="A498" s="2" t="s">
        <v>4907</v>
      </c>
      <c r="B498" s="2" t="s">
        <v>1396</v>
      </c>
      <c r="C498" s="2">
        <v>2018.0</v>
      </c>
      <c r="D498" s="2" t="s">
        <v>4843</v>
      </c>
      <c r="E498" s="2" t="s">
        <v>4908</v>
      </c>
      <c r="J498" s="2" t="s">
        <v>4909</v>
      </c>
      <c r="L498" s="2" t="s">
        <v>1420</v>
      </c>
      <c r="M498" s="2" t="s">
        <v>1385</v>
      </c>
      <c r="N498" s="2" t="s">
        <v>1386</v>
      </c>
      <c r="AN498" s="2" t="s">
        <v>1368</v>
      </c>
    </row>
    <row r="499" ht="15.75" customHeight="1">
      <c r="A499" s="2" t="s">
        <v>4910</v>
      </c>
      <c r="B499" s="2" t="s">
        <v>1396</v>
      </c>
      <c r="C499" s="2">
        <v>2018.0</v>
      </c>
      <c r="D499" s="2" t="s">
        <v>4843</v>
      </c>
      <c r="E499" s="2" t="s">
        <v>4911</v>
      </c>
      <c r="J499" s="2" t="s">
        <v>4912</v>
      </c>
      <c r="L499" s="2" t="s">
        <v>1420</v>
      </c>
      <c r="M499" s="2" t="s">
        <v>1385</v>
      </c>
      <c r="N499" s="2" t="s">
        <v>1386</v>
      </c>
      <c r="AN499" s="2" t="s">
        <v>1368</v>
      </c>
    </row>
    <row r="500" ht="15.75" customHeight="1">
      <c r="A500" s="2" t="s">
        <v>4913</v>
      </c>
      <c r="B500" s="2" t="s">
        <v>1396</v>
      </c>
      <c r="C500" s="2">
        <v>2018.0</v>
      </c>
      <c r="D500" s="2" t="s">
        <v>4843</v>
      </c>
      <c r="E500" s="2" t="s">
        <v>4914</v>
      </c>
      <c r="J500" s="2" t="s">
        <v>4915</v>
      </c>
      <c r="L500" s="2" t="s">
        <v>1420</v>
      </c>
      <c r="M500" s="2" t="s">
        <v>1385</v>
      </c>
      <c r="N500" s="2" t="s">
        <v>1386</v>
      </c>
      <c r="AN500" s="2" t="s">
        <v>1368</v>
      </c>
    </row>
    <row r="501" ht="15.75" customHeight="1">
      <c r="A501" s="2" t="s">
        <v>4916</v>
      </c>
      <c r="B501" s="2" t="s">
        <v>1781</v>
      </c>
      <c r="C501" s="2">
        <v>2015.0</v>
      </c>
      <c r="D501" s="2" t="s">
        <v>4843</v>
      </c>
      <c r="E501" s="2" t="s">
        <v>4917</v>
      </c>
      <c r="J501" s="2" t="s">
        <v>4918</v>
      </c>
      <c r="L501" s="2" t="s">
        <v>2153</v>
      </c>
      <c r="M501" s="2" t="s">
        <v>1385</v>
      </c>
      <c r="N501" s="2" t="s">
        <v>1386</v>
      </c>
      <c r="AB501" s="2" t="s">
        <v>1629</v>
      </c>
      <c r="AN501" s="2" t="s">
        <v>1368</v>
      </c>
    </row>
    <row r="502" ht="15.75" customHeight="1">
      <c r="A502" s="2" t="s">
        <v>4919</v>
      </c>
      <c r="B502" s="2" t="s">
        <v>1766</v>
      </c>
      <c r="C502" s="2">
        <v>2009.0</v>
      </c>
      <c r="D502" s="2" t="s">
        <v>4843</v>
      </c>
      <c r="E502" s="2" t="s">
        <v>4920</v>
      </c>
      <c r="F502" s="2" t="s">
        <v>4920</v>
      </c>
      <c r="K502" s="2" t="s">
        <v>4921</v>
      </c>
      <c r="L502" s="2" t="s">
        <v>1364</v>
      </c>
      <c r="M502" s="2" t="s">
        <v>1385</v>
      </c>
      <c r="N502" s="2" t="s">
        <v>1386</v>
      </c>
      <c r="AN502" s="2" t="s">
        <v>1368</v>
      </c>
    </row>
    <row r="503" ht="15.75" customHeight="1">
      <c r="A503" s="2" t="s">
        <v>4922</v>
      </c>
      <c r="B503" s="2" t="s">
        <v>1396</v>
      </c>
      <c r="C503" s="2">
        <v>2006.0</v>
      </c>
      <c r="D503" s="2" t="s">
        <v>4843</v>
      </c>
      <c r="E503" s="2" t="s">
        <v>4923</v>
      </c>
      <c r="L503" s="2" t="s">
        <v>1727</v>
      </c>
      <c r="M503" s="2" t="s">
        <v>1385</v>
      </c>
      <c r="N503" s="2" t="s">
        <v>1386</v>
      </c>
      <c r="AA503" s="2" t="s">
        <v>1406</v>
      </c>
      <c r="AN503" s="2" t="s">
        <v>1368</v>
      </c>
    </row>
    <row r="504" ht="15.75" customHeight="1">
      <c r="A504" s="2" t="s">
        <v>4924</v>
      </c>
      <c r="B504" s="2" t="s">
        <v>1623</v>
      </c>
      <c r="C504" s="2">
        <v>2014.0</v>
      </c>
      <c r="D504" s="2" t="s">
        <v>4843</v>
      </c>
      <c r="E504" s="2" t="s">
        <v>4925</v>
      </c>
      <c r="L504" s="2" t="s">
        <v>1476</v>
      </c>
      <c r="M504" s="2" t="s">
        <v>1385</v>
      </c>
      <c r="N504" s="2" t="s">
        <v>1386</v>
      </c>
      <c r="AN504" s="2" t="s">
        <v>1368</v>
      </c>
    </row>
    <row r="505" ht="15.75" customHeight="1">
      <c r="A505" s="2" t="s">
        <v>4926</v>
      </c>
      <c r="B505" s="2" t="s">
        <v>1396</v>
      </c>
      <c r="C505" s="2">
        <v>2007.0</v>
      </c>
      <c r="D505" s="2" t="s">
        <v>4843</v>
      </c>
      <c r="E505" s="2" t="s">
        <v>4927</v>
      </c>
      <c r="G505" s="2" t="s">
        <v>4928</v>
      </c>
      <c r="K505" s="2" t="s">
        <v>4929</v>
      </c>
      <c r="L505" s="2" t="s">
        <v>2380</v>
      </c>
      <c r="M505" s="2" t="s">
        <v>1385</v>
      </c>
      <c r="N505" s="2" t="s">
        <v>1386</v>
      </c>
      <c r="AA505" s="2" t="s">
        <v>4843</v>
      </c>
      <c r="AB505" s="2" t="s">
        <v>1629</v>
      </c>
      <c r="AN505" s="2" t="s">
        <v>1368</v>
      </c>
    </row>
    <row r="506" ht="15.75" customHeight="1">
      <c r="A506" s="2" t="s">
        <v>4930</v>
      </c>
      <c r="B506" s="2" t="s">
        <v>1623</v>
      </c>
      <c r="C506" s="2">
        <v>2004.0</v>
      </c>
      <c r="D506" s="2" t="s">
        <v>4843</v>
      </c>
      <c r="E506" s="2" t="s">
        <v>4931</v>
      </c>
      <c r="L506" s="2" t="s">
        <v>2373</v>
      </c>
      <c r="M506" s="2" t="s">
        <v>1385</v>
      </c>
      <c r="N506" s="2" t="s">
        <v>1386</v>
      </c>
      <c r="AN506" s="2" t="s">
        <v>1368</v>
      </c>
    </row>
    <row r="507" ht="15.75" customHeight="1">
      <c r="A507" s="2" t="s">
        <v>4932</v>
      </c>
      <c r="B507" s="2" t="s">
        <v>1396</v>
      </c>
      <c r="C507" s="2">
        <v>2012.0</v>
      </c>
      <c r="D507" s="2" t="s">
        <v>4843</v>
      </c>
      <c r="E507" s="2" t="s">
        <v>4933</v>
      </c>
      <c r="L507" s="2" t="s">
        <v>1405</v>
      </c>
      <c r="M507" s="2" t="s">
        <v>1385</v>
      </c>
      <c r="N507" s="2" t="s">
        <v>1386</v>
      </c>
      <c r="AA507" s="2" t="s">
        <v>4934</v>
      </c>
      <c r="AN507" s="2" t="s">
        <v>1368</v>
      </c>
    </row>
    <row r="508" ht="15.75" customHeight="1">
      <c r="A508" s="2" t="s">
        <v>4935</v>
      </c>
      <c r="B508" s="2" t="s">
        <v>1396</v>
      </c>
      <c r="C508" s="2">
        <v>1994.0</v>
      </c>
      <c r="D508" s="2" t="s">
        <v>4843</v>
      </c>
      <c r="E508" s="2" t="s">
        <v>4936</v>
      </c>
      <c r="L508" s="2" t="s">
        <v>2327</v>
      </c>
      <c r="M508" s="2" t="s">
        <v>1385</v>
      </c>
      <c r="N508" s="2" t="s">
        <v>1386</v>
      </c>
      <c r="AA508" s="2" t="s">
        <v>1639</v>
      </c>
      <c r="AN508" s="2" t="s">
        <v>1368</v>
      </c>
    </row>
    <row r="509" ht="15.75" customHeight="1">
      <c r="A509" s="2" t="s">
        <v>4937</v>
      </c>
      <c r="B509" s="2" t="s">
        <v>1396</v>
      </c>
      <c r="C509" s="2">
        <v>2018.0</v>
      </c>
      <c r="D509" s="2" t="s">
        <v>4843</v>
      </c>
      <c r="E509" s="2" t="s">
        <v>4938</v>
      </c>
      <c r="J509" s="2" t="s">
        <v>4939</v>
      </c>
      <c r="L509" s="2" t="s">
        <v>1420</v>
      </c>
      <c r="M509" s="2" t="s">
        <v>1385</v>
      </c>
      <c r="N509" s="2" t="s">
        <v>1386</v>
      </c>
      <c r="AN509" s="2" t="s">
        <v>1368</v>
      </c>
    </row>
    <row r="510" ht="15.75" customHeight="1">
      <c r="A510" s="2" t="s">
        <v>4940</v>
      </c>
      <c r="B510" s="2" t="s">
        <v>1361</v>
      </c>
      <c r="C510" s="2">
        <v>2008.0</v>
      </c>
      <c r="D510" s="2" t="s">
        <v>4941</v>
      </c>
      <c r="E510" s="2" t="s">
        <v>4942</v>
      </c>
      <c r="F510" s="2" t="s">
        <v>1510</v>
      </c>
      <c r="H510" s="2" t="s">
        <v>4943</v>
      </c>
      <c r="I510" s="2" t="s">
        <v>4944</v>
      </c>
      <c r="K510" s="2" t="s">
        <v>4945</v>
      </c>
      <c r="L510" s="2" t="s">
        <v>1458</v>
      </c>
      <c r="M510" s="2" t="s">
        <v>1385</v>
      </c>
      <c r="N510" s="2" t="s">
        <v>1386</v>
      </c>
      <c r="P510" s="2" t="s">
        <v>4946</v>
      </c>
      <c r="R510" s="2" t="s">
        <v>4947</v>
      </c>
      <c r="S510" s="2">
        <v>321.0</v>
      </c>
      <c r="AN510" s="2" t="s">
        <v>1368</v>
      </c>
    </row>
    <row r="511" ht="15.75" customHeight="1">
      <c r="A511" s="2" t="s">
        <v>4948</v>
      </c>
      <c r="B511" s="2" t="s">
        <v>1361</v>
      </c>
      <c r="C511" s="2">
        <v>2004.0</v>
      </c>
      <c r="D511" s="2" t="s">
        <v>4949</v>
      </c>
      <c r="E511" s="2" t="s">
        <v>1125</v>
      </c>
      <c r="F511" s="2" t="s">
        <v>4950</v>
      </c>
      <c r="H511" s="2" t="s">
        <v>4951</v>
      </c>
      <c r="I511" s="2" t="s">
        <v>1128</v>
      </c>
      <c r="K511" s="2" t="s">
        <v>4952</v>
      </c>
      <c r="L511" s="2" t="s">
        <v>2373</v>
      </c>
      <c r="M511" s="2" t="s">
        <v>1385</v>
      </c>
      <c r="N511" s="2" t="s">
        <v>1386</v>
      </c>
      <c r="AN511" s="2" t="s">
        <v>1368</v>
      </c>
    </row>
    <row r="512" ht="15.75" customHeight="1">
      <c r="A512" s="2" t="s">
        <v>4953</v>
      </c>
      <c r="B512" s="2" t="s">
        <v>1361</v>
      </c>
      <c r="C512" s="2">
        <v>2011.0</v>
      </c>
      <c r="D512" s="2" t="s">
        <v>4954</v>
      </c>
      <c r="E512" s="2" t="s">
        <v>4955</v>
      </c>
      <c r="F512" s="2" t="s">
        <v>4956</v>
      </c>
      <c r="H512" s="2" t="s">
        <v>4957</v>
      </c>
      <c r="I512" s="2" t="s">
        <v>4958</v>
      </c>
      <c r="K512" s="2" t="s">
        <v>4959</v>
      </c>
      <c r="L512" s="2" t="s">
        <v>1627</v>
      </c>
      <c r="M512" s="2" t="s">
        <v>1385</v>
      </c>
      <c r="N512" s="2" t="s">
        <v>1386</v>
      </c>
      <c r="AN512" s="2" t="s">
        <v>1368</v>
      </c>
    </row>
    <row r="513" ht="15.75" customHeight="1">
      <c r="A513" s="2" t="s">
        <v>4960</v>
      </c>
      <c r="B513" s="2" t="s">
        <v>1361</v>
      </c>
      <c r="C513" s="2">
        <v>2007.0</v>
      </c>
      <c r="D513" s="2" t="s">
        <v>4961</v>
      </c>
      <c r="E513" s="2" t="s">
        <v>4962</v>
      </c>
      <c r="F513" s="2" t="s">
        <v>1760</v>
      </c>
      <c r="I513" s="2" t="s">
        <v>4963</v>
      </c>
      <c r="L513" s="2" t="s">
        <v>2380</v>
      </c>
      <c r="M513" s="2" t="s">
        <v>1385</v>
      </c>
      <c r="N513" s="2" t="s">
        <v>1386</v>
      </c>
      <c r="P513" s="2" t="s">
        <v>4964</v>
      </c>
      <c r="S513" s="2">
        <v>62.0</v>
      </c>
      <c r="AN513" s="2" t="s">
        <v>1368</v>
      </c>
    </row>
    <row r="514" ht="15.75" customHeight="1">
      <c r="A514" s="2" t="s">
        <v>4965</v>
      </c>
      <c r="B514" s="2" t="s">
        <v>1361</v>
      </c>
      <c r="C514" s="2">
        <v>2007.0</v>
      </c>
      <c r="D514" s="2" t="s">
        <v>4966</v>
      </c>
      <c r="E514" s="2" t="s">
        <v>4967</v>
      </c>
      <c r="F514" s="2" t="s">
        <v>2340</v>
      </c>
      <c r="H514" s="2" t="s">
        <v>2341</v>
      </c>
      <c r="I514" s="2" t="s">
        <v>4968</v>
      </c>
      <c r="K514" s="2" t="s">
        <v>4969</v>
      </c>
      <c r="L514" s="2" t="s">
        <v>2380</v>
      </c>
      <c r="M514" s="2" t="s">
        <v>1385</v>
      </c>
      <c r="N514" s="2" t="s">
        <v>1386</v>
      </c>
      <c r="AN514" s="2" t="s">
        <v>1368</v>
      </c>
    </row>
    <row r="515" ht="15.75" customHeight="1">
      <c r="A515" s="2" t="s">
        <v>4970</v>
      </c>
      <c r="B515" s="2" t="s">
        <v>1396</v>
      </c>
      <c r="C515" s="2">
        <v>1995.0</v>
      </c>
      <c r="D515" s="2" t="s">
        <v>4971</v>
      </c>
      <c r="E515" s="2" t="s">
        <v>4972</v>
      </c>
      <c r="L515" s="2" t="s">
        <v>2089</v>
      </c>
      <c r="M515" s="2" t="s">
        <v>1385</v>
      </c>
      <c r="N515" s="2" t="s">
        <v>1386</v>
      </c>
      <c r="AA515" s="2" t="s">
        <v>4973</v>
      </c>
      <c r="AN515" s="2" t="s">
        <v>1368</v>
      </c>
    </row>
    <row r="516" ht="15.75" customHeight="1">
      <c r="A516" s="2" t="s">
        <v>4974</v>
      </c>
      <c r="B516" s="2" t="s">
        <v>1361</v>
      </c>
      <c r="C516" s="2">
        <v>2007.0</v>
      </c>
      <c r="D516" s="2" t="s">
        <v>4975</v>
      </c>
      <c r="E516" s="2" t="s">
        <v>4976</v>
      </c>
      <c r="F516" s="2" t="s">
        <v>4977</v>
      </c>
      <c r="H516" s="2" t="s">
        <v>4978</v>
      </c>
      <c r="I516" s="2" t="s">
        <v>4979</v>
      </c>
      <c r="K516" s="2" t="s">
        <v>4980</v>
      </c>
      <c r="L516" s="2" t="s">
        <v>2380</v>
      </c>
      <c r="M516" s="2" t="s">
        <v>1385</v>
      </c>
      <c r="N516" s="2" t="s">
        <v>1386</v>
      </c>
      <c r="AN516" s="2" t="s">
        <v>1368</v>
      </c>
    </row>
    <row r="517" ht="15.75" customHeight="1">
      <c r="A517" s="2" t="s">
        <v>4981</v>
      </c>
      <c r="B517" s="2" t="s">
        <v>1361</v>
      </c>
      <c r="C517" s="2">
        <v>2016.0</v>
      </c>
      <c r="D517" s="2" t="s">
        <v>4982</v>
      </c>
      <c r="E517" s="2" t="s">
        <v>4983</v>
      </c>
      <c r="F517" s="2" t="s">
        <v>4581</v>
      </c>
      <c r="H517" s="2" t="s">
        <v>4984</v>
      </c>
      <c r="I517" s="2" t="s">
        <v>4985</v>
      </c>
      <c r="K517" s="2" t="s">
        <v>4986</v>
      </c>
      <c r="L517" s="2" t="s">
        <v>4987</v>
      </c>
      <c r="M517" s="2" t="s">
        <v>1385</v>
      </c>
      <c r="N517" s="2" t="s">
        <v>1386</v>
      </c>
      <c r="P517" s="2" t="s">
        <v>4988</v>
      </c>
      <c r="R517" s="2" t="s">
        <v>1600</v>
      </c>
      <c r="S517" s="2">
        <v>138.0</v>
      </c>
      <c r="AN517" s="2" t="s">
        <v>1368</v>
      </c>
    </row>
    <row r="518" ht="15.75" customHeight="1">
      <c r="A518" s="2" t="s">
        <v>4989</v>
      </c>
      <c r="B518" s="2" t="s">
        <v>2273</v>
      </c>
      <c r="C518" s="2">
        <v>2010.0</v>
      </c>
      <c r="D518" s="2" t="s">
        <v>4990</v>
      </c>
      <c r="E518" s="2" t="s">
        <v>870</v>
      </c>
      <c r="L518" s="2" t="s">
        <v>1449</v>
      </c>
      <c r="M518" s="2" t="s">
        <v>1385</v>
      </c>
      <c r="N518" s="2" t="s">
        <v>1386</v>
      </c>
      <c r="AA518" s="2" t="s">
        <v>4991</v>
      </c>
      <c r="AE518" s="2" t="s">
        <v>2277</v>
      </c>
      <c r="AN518" s="2" t="s">
        <v>1368</v>
      </c>
    </row>
    <row r="519" ht="15.75" customHeight="1">
      <c r="A519" s="2" t="s">
        <v>4992</v>
      </c>
      <c r="B519" s="2" t="s">
        <v>1361</v>
      </c>
      <c r="C519" s="2">
        <v>2001.0</v>
      </c>
      <c r="D519" s="2" t="s">
        <v>4993</v>
      </c>
      <c r="E519" s="2" t="s">
        <v>4994</v>
      </c>
      <c r="F519" s="2" t="s">
        <v>4995</v>
      </c>
      <c r="H519" s="2" t="s">
        <v>4996</v>
      </c>
      <c r="I519" s="2" t="s">
        <v>4997</v>
      </c>
      <c r="L519" s="2" t="s">
        <v>1414</v>
      </c>
      <c r="M519" s="2" t="s">
        <v>1385</v>
      </c>
      <c r="N519" s="2" t="s">
        <v>1386</v>
      </c>
      <c r="P519" s="2" t="s">
        <v>4998</v>
      </c>
      <c r="R519" s="2" t="s">
        <v>1506</v>
      </c>
      <c r="S519" s="2">
        <v>32.0</v>
      </c>
      <c r="AN519" s="2" t="s">
        <v>1368</v>
      </c>
    </row>
    <row r="520" ht="15.75" customHeight="1">
      <c r="A520" s="2" t="s">
        <v>4999</v>
      </c>
      <c r="B520" s="2" t="s">
        <v>1361</v>
      </c>
      <c r="C520" s="2">
        <v>2010.0</v>
      </c>
      <c r="D520" s="2" t="s">
        <v>5000</v>
      </c>
      <c r="E520" s="2" t="s">
        <v>5001</v>
      </c>
      <c r="F520" s="2" t="s">
        <v>1587</v>
      </c>
      <c r="H520" s="2" t="s">
        <v>3516</v>
      </c>
      <c r="I520" s="2" t="s">
        <v>5002</v>
      </c>
      <c r="K520" s="2" t="s">
        <v>5003</v>
      </c>
      <c r="L520" s="2" t="s">
        <v>1449</v>
      </c>
      <c r="M520" s="2" t="s">
        <v>1385</v>
      </c>
      <c r="N520" s="2" t="s">
        <v>1386</v>
      </c>
      <c r="AN520" s="2" t="s">
        <v>1368</v>
      </c>
    </row>
    <row r="521" ht="15.75" customHeight="1">
      <c r="A521" s="2" t="s">
        <v>5004</v>
      </c>
      <c r="B521" s="2" t="s">
        <v>1396</v>
      </c>
      <c r="C521" s="2">
        <v>2015.0</v>
      </c>
      <c r="D521" s="2" t="s">
        <v>5005</v>
      </c>
      <c r="E521" s="2" t="s">
        <v>440</v>
      </c>
      <c r="G521" s="2" t="s">
        <v>5006</v>
      </c>
      <c r="K521" s="2" t="s">
        <v>5007</v>
      </c>
      <c r="L521" s="2" t="s">
        <v>1373</v>
      </c>
      <c r="M521" s="2" t="s">
        <v>1385</v>
      </c>
      <c r="N521" s="2" t="s">
        <v>1386</v>
      </c>
      <c r="AN521" s="2" t="s">
        <v>1368</v>
      </c>
    </row>
    <row r="522" ht="15.75" customHeight="1">
      <c r="A522" s="2" t="s">
        <v>5008</v>
      </c>
      <c r="B522" s="2" t="s">
        <v>1361</v>
      </c>
      <c r="C522" s="2">
        <v>2016.0</v>
      </c>
      <c r="D522" s="2" t="s">
        <v>5009</v>
      </c>
      <c r="E522" s="2" t="s">
        <v>232</v>
      </c>
      <c r="F522" s="2" t="s">
        <v>1613</v>
      </c>
      <c r="H522" s="2" t="s">
        <v>1614</v>
      </c>
      <c r="I522" s="2" t="s">
        <v>234</v>
      </c>
      <c r="K522" s="2" t="s">
        <v>5010</v>
      </c>
      <c r="L522" s="2" t="s">
        <v>1502</v>
      </c>
      <c r="M522" s="2" t="s">
        <v>1385</v>
      </c>
      <c r="N522" s="2" t="s">
        <v>1386</v>
      </c>
      <c r="AN522" s="2" t="s">
        <v>1368</v>
      </c>
    </row>
    <row r="523" ht="15.75" customHeight="1">
      <c r="A523" s="2" t="s">
        <v>5011</v>
      </c>
      <c r="B523" s="2" t="s">
        <v>1361</v>
      </c>
      <c r="C523" s="2">
        <v>2010.0</v>
      </c>
      <c r="D523" s="2" t="s">
        <v>5012</v>
      </c>
      <c r="E523" s="2" t="s">
        <v>893</v>
      </c>
      <c r="F523" s="2" t="s">
        <v>2053</v>
      </c>
      <c r="H523" s="2" t="s">
        <v>2556</v>
      </c>
      <c r="I523" s="2" t="s">
        <v>895</v>
      </c>
      <c r="K523" s="2" t="s">
        <v>5013</v>
      </c>
      <c r="L523" s="2" t="s">
        <v>1449</v>
      </c>
      <c r="M523" s="2" t="s">
        <v>1385</v>
      </c>
      <c r="N523" s="2" t="s">
        <v>1386</v>
      </c>
      <c r="P523" s="2" t="s">
        <v>5014</v>
      </c>
      <c r="R523" s="2" t="s">
        <v>1600</v>
      </c>
      <c r="S523" s="2">
        <v>8.0</v>
      </c>
      <c r="AN523" s="2" t="s">
        <v>1368</v>
      </c>
    </row>
    <row r="524" ht="15.75" customHeight="1">
      <c r="A524" s="2" t="s">
        <v>5015</v>
      </c>
      <c r="B524" s="2" t="s">
        <v>1361</v>
      </c>
      <c r="C524" s="2">
        <v>2017.0</v>
      </c>
      <c r="D524" s="2" t="s">
        <v>5016</v>
      </c>
      <c r="E524" s="2" t="s">
        <v>5017</v>
      </c>
      <c r="F524" s="2" t="s">
        <v>2480</v>
      </c>
      <c r="H524" s="2" t="s">
        <v>2481</v>
      </c>
      <c r="I524" s="2" t="s">
        <v>5018</v>
      </c>
      <c r="K524" s="2" t="s">
        <v>5017</v>
      </c>
      <c r="L524" s="2" t="s">
        <v>1658</v>
      </c>
      <c r="M524" s="2" t="s">
        <v>1385</v>
      </c>
      <c r="N524" s="2" t="s">
        <v>1386</v>
      </c>
      <c r="P524" s="2" t="s">
        <v>5019</v>
      </c>
      <c r="R524" s="2" t="s">
        <v>5020</v>
      </c>
      <c r="S524" s="2">
        <v>7.0</v>
      </c>
      <c r="AN524" s="2" t="s">
        <v>1368</v>
      </c>
    </row>
    <row r="525" ht="15.75" customHeight="1">
      <c r="A525" s="2" t="s">
        <v>5021</v>
      </c>
      <c r="B525" s="2" t="s">
        <v>1361</v>
      </c>
      <c r="C525" s="2">
        <v>2002.0</v>
      </c>
      <c r="D525" s="2" t="s">
        <v>5022</v>
      </c>
      <c r="E525" s="2" t="s">
        <v>5023</v>
      </c>
      <c r="F525" s="2" t="s">
        <v>5024</v>
      </c>
      <c r="H525" s="2" t="s">
        <v>5025</v>
      </c>
      <c r="I525" s="2" t="s">
        <v>5026</v>
      </c>
      <c r="K525" s="2" t="s">
        <v>5027</v>
      </c>
      <c r="L525" s="2" t="s">
        <v>1493</v>
      </c>
      <c r="M525" s="2" t="s">
        <v>1385</v>
      </c>
      <c r="N525" s="2" t="s">
        <v>1386</v>
      </c>
      <c r="AN525" s="2" t="s">
        <v>1368</v>
      </c>
    </row>
    <row r="526" ht="15.75" customHeight="1">
      <c r="A526" s="2" t="s">
        <v>5028</v>
      </c>
      <c r="B526" s="2" t="s">
        <v>1361</v>
      </c>
      <c r="C526" s="2">
        <v>2007.0</v>
      </c>
      <c r="D526" s="2" t="s">
        <v>5029</v>
      </c>
      <c r="E526" s="2" t="s">
        <v>5030</v>
      </c>
      <c r="F526" s="2" t="s">
        <v>2216</v>
      </c>
      <c r="H526" s="2" t="s">
        <v>2217</v>
      </c>
      <c r="I526" s="2" t="s">
        <v>5031</v>
      </c>
      <c r="K526" s="2" t="s">
        <v>5032</v>
      </c>
      <c r="L526" s="2" t="s">
        <v>2380</v>
      </c>
      <c r="M526" s="2" t="s">
        <v>1385</v>
      </c>
      <c r="N526" s="2" t="s">
        <v>1386</v>
      </c>
      <c r="P526" s="2" t="s">
        <v>5033</v>
      </c>
      <c r="R526" s="2" t="s">
        <v>1443</v>
      </c>
      <c r="S526" s="2">
        <v>9.0</v>
      </c>
      <c r="AN526" s="2" t="s">
        <v>1368</v>
      </c>
    </row>
    <row r="527" ht="15.75" customHeight="1">
      <c r="A527" s="2" t="s">
        <v>5034</v>
      </c>
      <c r="B527" s="2" t="s">
        <v>1766</v>
      </c>
      <c r="C527" s="2">
        <v>2014.0</v>
      </c>
      <c r="D527" s="2" t="s">
        <v>5035</v>
      </c>
      <c r="E527" s="2" t="s">
        <v>5036</v>
      </c>
      <c r="F527" s="2" t="s">
        <v>5037</v>
      </c>
      <c r="G527" s="2" t="s">
        <v>5038</v>
      </c>
      <c r="K527" s="2" t="s">
        <v>5039</v>
      </c>
      <c r="L527" s="2" t="s">
        <v>1476</v>
      </c>
      <c r="M527" s="2" t="s">
        <v>1385</v>
      </c>
      <c r="N527" s="2" t="s">
        <v>1386</v>
      </c>
      <c r="AA527" s="2" t="s">
        <v>5040</v>
      </c>
      <c r="AN527" s="2" t="s">
        <v>1368</v>
      </c>
      <c r="AP527" s="2" t="s">
        <v>5041</v>
      </c>
    </row>
    <row r="528" ht="15.75" customHeight="1">
      <c r="A528" s="2" t="s">
        <v>5042</v>
      </c>
      <c r="B528" s="2" t="s">
        <v>1361</v>
      </c>
      <c r="C528" s="2">
        <v>2017.0</v>
      </c>
      <c r="D528" s="2" t="s">
        <v>5043</v>
      </c>
      <c r="E528" s="2" t="s">
        <v>5044</v>
      </c>
      <c r="F528" s="2" t="s">
        <v>1965</v>
      </c>
      <c r="I528" s="2" t="s">
        <v>5045</v>
      </c>
      <c r="K528" s="2" t="s">
        <v>5046</v>
      </c>
      <c r="L528" s="2" t="s">
        <v>1658</v>
      </c>
      <c r="M528" s="2" t="s">
        <v>1385</v>
      </c>
      <c r="N528" s="2" t="s">
        <v>1386</v>
      </c>
      <c r="P528" s="2" t="s">
        <v>5047</v>
      </c>
      <c r="R528" s="2" t="s">
        <v>1937</v>
      </c>
      <c r="S528" s="2">
        <v>25.0</v>
      </c>
      <c r="AN528" s="2" t="s">
        <v>1368</v>
      </c>
    </row>
    <row r="529" ht="15.75" customHeight="1">
      <c r="A529" s="2" t="s">
        <v>5048</v>
      </c>
      <c r="B529" s="2" t="s">
        <v>1361</v>
      </c>
      <c r="C529" s="2">
        <v>2016.0</v>
      </c>
      <c r="D529" s="2" t="s">
        <v>5049</v>
      </c>
      <c r="E529" s="2" t="s">
        <v>198</v>
      </c>
      <c r="F529" s="2" t="s">
        <v>5050</v>
      </c>
      <c r="H529" s="2" t="s">
        <v>5051</v>
      </c>
      <c r="I529" s="2" t="s">
        <v>202</v>
      </c>
      <c r="K529" s="2" t="s">
        <v>5052</v>
      </c>
      <c r="L529" s="2" t="s">
        <v>1502</v>
      </c>
      <c r="M529" s="2" t="s">
        <v>1385</v>
      </c>
      <c r="N529" s="2" t="s">
        <v>1386</v>
      </c>
      <c r="P529" s="2" t="s">
        <v>5053</v>
      </c>
      <c r="S529" s="2">
        <v>3.0</v>
      </c>
      <c r="AN529" s="2" t="s">
        <v>1368</v>
      </c>
    </row>
    <row r="530" ht="15.75" customHeight="1">
      <c r="A530" s="2" t="s">
        <v>5054</v>
      </c>
      <c r="B530" s="2" t="s">
        <v>1361</v>
      </c>
      <c r="C530" s="2">
        <v>2000.0</v>
      </c>
      <c r="D530" s="2" t="s">
        <v>5055</v>
      </c>
      <c r="E530" s="2" t="s">
        <v>5056</v>
      </c>
      <c r="F530" s="2" t="s">
        <v>3154</v>
      </c>
      <c r="H530" s="2" t="s">
        <v>1702</v>
      </c>
      <c r="I530" s="2" t="s">
        <v>5057</v>
      </c>
      <c r="L530" s="2" t="s">
        <v>2429</v>
      </c>
      <c r="M530" s="2" t="s">
        <v>1385</v>
      </c>
      <c r="N530" s="2" t="s">
        <v>1386</v>
      </c>
      <c r="P530" s="2" t="s">
        <v>5058</v>
      </c>
      <c r="R530" s="2" t="s">
        <v>5059</v>
      </c>
      <c r="S530" s="2">
        <v>110.0</v>
      </c>
      <c r="AN530" s="2" t="s">
        <v>1368</v>
      </c>
    </row>
    <row r="531" ht="15.75" customHeight="1">
      <c r="A531" s="2" t="s">
        <v>5060</v>
      </c>
      <c r="B531" s="2" t="s">
        <v>1361</v>
      </c>
      <c r="C531" s="2">
        <v>2008.0</v>
      </c>
      <c r="D531" s="2" t="s">
        <v>5061</v>
      </c>
      <c r="E531" s="2" t="s">
        <v>5062</v>
      </c>
      <c r="F531" s="2" t="s">
        <v>5063</v>
      </c>
      <c r="H531" s="2" t="s">
        <v>5064</v>
      </c>
      <c r="I531" s="2" t="s">
        <v>5065</v>
      </c>
      <c r="K531" s="2" t="s">
        <v>5066</v>
      </c>
      <c r="L531" s="2" t="s">
        <v>1458</v>
      </c>
      <c r="M531" s="2" t="s">
        <v>1385</v>
      </c>
      <c r="N531" s="2" t="s">
        <v>1386</v>
      </c>
      <c r="AN531" s="2" t="s">
        <v>1368</v>
      </c>
    </row>
    <row r="532" ht="15.75" customHeight="1">
      <c r="A532" s="2" t="s">
        <v>5067</v>
      </c>
      <c r="B532" s="2" t="s">
        <v>1781</v>
      </c>
      <c r="C532" s="2">
        <v>2011.0</v>
      </c>
      <c r="D532" s="2" t="s">
        <v>5068</v>
      </c>
      <c r="E532" s="2" t="s">
        <v>5069</v>
      </c>
      <c r="L532" s="2" t="s">
        <v>1627</v>
      </c>
      <c r="M532" s="2" t="s">
        <v>1385</v>
      </c>
      <c r="N532" s="2" t="s">
        <v>1386</v>
      </c>
      <c r="AB532" s="2" t="s">
        <v>5070</v>
      </c>
      <c r="AN532" s="2" t="s">
        <v>1368</v>
      </c>
    </row>
    <row r="533" ht="15.75" customHeight="1">
      <c r="A533" s="2" t="s">
        <v>5071</v>
      </c>
      <c r="B533" s="2" t="s">
        <v>1396</v>
      </c>
      <c r="C533" s="2">
        <v>2017.0</v>
      </c>
      <c r="D533" s="2" t="s">
        <v>5072</v>
      </c>
      <c r="E533" s="2" t="s">
        <v>5073</v>
      </c>
      <c r="L533" s="2" t="s">
        <v>1658</v>
      </c>
      <c r="M533" s="2" t="s">
        <v>1385</v>
      </c>
      <c r="N533" s="2" t="s">
        <v>1386</v>
      </c>
      <c r="AN533" s="2" t="s">
        <v>1368</v>
      </c>
    </row>
    <row r="534" ht="15.75" customHeight="1">
      <c r="A534" s="2" t="s">
        <v>5074</v>
      </c>
      <c r="B534" s="2" t="s">
        <v>1361</v>
      </c>
      <c r="C534" s="2">
        <v>2012.0</v>
      </c>
      <c r="D534" s="2" t="s">
        <v>5075</v>
      </c>
      <c r="E534" s="2" t="s">
        <v>5076</v>
      </c>
      <c r="F534" s="2" t="s">
        <v>5077</v>
      </c>
      <c r="H534" s="2" t="s">
        <v>5078</v>
      </c>
      <c r="I534" s="2" t="s">
        <v>5079</v>
      </c>
      <c r="K534" s="2" t="s">
        <v>5080</v>
      </c>
      <c r="L534" s="2" t="s">
        <v>1405</v>
      </c>
      <c r="M534" s="2" t="s">
        <v>1385</v>
      </c>
      <c r="N534" s="2" t="s">
        <v>1386</v>
      </c>
      <c r="AN534" s="2" t="s">
        <v>1368</v>
      </c>
    </row>
    <row r="535" ht="15.75" customHeight="1">
      <c r="A535" s="2" t="s">
        <v>5081</v>
      </c>
      <c r="B535" s="2" t="s">
        <v>1396</v>
      </c>
      <c r="C535" s="2">
        <v>1985.0</v>
      </c>
      <c r="D535" s="2" t="s">
        <v>5082</v>
      </c>
      <c r="E535" s="2" t="s">
        <v>5083</v>
      </c>
      <c r="L535" s="2" t="s">
        <v>1820</v>
      </c>
      <c r="M535" s="2" t="s">
        <v>1385</v>
      </c>
      <c r="N535" s="2" t="s">
        <v>1386</v>
      </c>
      <c r="W535" s="2" t="s">
        <v>5083</v>
      </c>
      <c r="X535" s="2" t="s">
        <v>5084</v>
      </c>
      <c r="AA535" s="2" t="s">
        <v>5085</v>
      </c>
      <c r="AN535" s="2" t="s">
        <v>1368</v>
      </c>
    </row>
    <row r="536" ht="15.75" customHeight="1">
      <c r="A536" s="2" t="s">
        <v>5086</v>
      </c>
      <c r="B536" s="2" t="s">
        <v>1361</v>
      </c>
      <c r="C536" s="2">
        <v>2007.0</v>
      </c>
      <c r="D536" s="2" t="s">
        <v>5087</v>
      </c>
      <c r="E536" s="2" t="s">
        <v>5088</v>
      </c>
      <c r="I536" s="2" t="s">
        <v>5089</v>
      </c>
      <c r="L536" s="2" t="s">
        <v>2380</v>
      </c>
      <c r="M536" s="2" t="s">
        <v>1385</v>
      </c>
      <c r="N536" s="2" t="s">
        <v>1386</v>
      </c>
      <c r="P536" s="2" t="s">
        <v>5090</v>
      </c>
      <c r="S536" s="2">
        <v>17.0</v>
      </c>
      <c r="AN536" s="2" t="s">
        <v>1368</v>
      </c>
    </row>
    <row r="537" ht="15.75" customHeight="1">
      <c r="A537" s="2" t="s">
        <v>5091</v>
      </c>
      <c r="B537" s="2" t="s">
        <v>1361</v>
      </c>
      <c r="C537" s="2">
        <v>2014.0</v>
      </c>
      <c r="D537" s="2" t="s">
        <v>5092</v>
      </c>
      <c r="E537" s="2" t="s">
        <v>5093</v>
      </c>
      <c r="F537" s="2" t="s">
        <v>5094</v>
      </c>
      <c r="H537" s="2" t="s">
        <v>5095</v>
      </c>
      <c r="I537" s="2" t="s">
        <v>5096</v>
      </c>
      <c r="K537" s="2" t="s">
        <v>5097</v>
      </c>
      <c r="L537" s="2" t="s">
        <v>1476</v>
      </c>
      <c r="M537" s="2" t="s">
        <v>1385</v>
      </c>
      <c r="N537" s="2" t="s">
        <v>1386</v>
      </c>
      <c r="AN537" s="2" t="s">
        <v>1368</v>
      </c>
    </row>
    <row r="538" ht="15.75" customHeight="1">
      <c r="A538" s="2" t="s">
        <v>5098</v>
      </c>
      <c r="B538" s="2" t="s">
        <v>1361</v>
      </c>
      <c r="C538" s="2">
        <v>2011.0</v>
      </c>
      <c r="D538" s="2" t="s">
        <v>5099</v>
      </c>
      <c r="E538" s="2" t="s">
        <v>5100</v>
      </c>
      <c r="F538" s="2" t="s">
        <v>3295</v>
      </c>
      <c r="H538" s="2" t="s">
        <v>5101</v>
      </c>
      <c r="I538" s="2" t="s">
        <v>5102</v>
      </c>
      <c r="K538" s="2" t="s">
        <v>5103</v>
      </c>
      <c r="L538" s="2" t="s">
        <v>5104</v>
      </c>
      <c r="M538" s="2" t="s">
        <v>1385</v>
      </c>
      <c r="N538" s="2" t="s">
        <v>1386</v>
      </c>
      <c r="P538" s="2" t="s">
        <v>5105</v>
      </c>
      <c r="R538" s="2" t="s">
        <v>1600</v>
      </c>
      <c r="S538" s="2">
        <v>4.0</v>
      </c>
      <c r="AN538" s="2" t="s">
        <v>1368</v>
      </c>
    </row>
    <row r="539" ht="15.75" customHeight="1">
      <c r="A539" s="2" t="s">
        <v>5106</v>
      </c>
      <c r="B539" s="2" t="s">
        <v>1361</v>
      </c>
      <c r="C539" s="2">
        <v>2015.0</v>
      </c>
      <c r="D539" s="2" t="s">
        <v>5107</v>
      </c>
      <c r="E539" s="2" t="s">
        <v>5108</v>
      </c>
      <c r="F539" s="2" t="s">
        <v>1510</v>
      </c>
      <c r="H539" s="2" t="s">
        <v>1511</v>
      </c>
      <c r="I539" s="2" t="s">
        <v>5109</v>
      </c>
      <c r="J539" s="2" t="s">
        <v>5110</v>
      </c>
      <c r="L539" s="2" t="s">
        <v>1373</v>
      </c>
      <c r="M539" s="2" t="s">
        <v>1385</v>
      </c>
      <c r="N539" s="2" t="s">
        <v>1386</v>
      </c>
      <c r="P539" s="2" t="s">
        <v>5111</v>
      </c>
      <c r="R539" s="2" t="s">
        <v>5112</v>
      </c>
      <c r="S539" s="2">
        <v>349.0</v>
      </c>
      <c r="AN539" s="2" t="s">
        <v>1368</v>
      </c>
    </row>
    <row r="540" ht="15.75" customHeight="1">
      <c r="A540" s="2" t="s">
        <v>5113</v>
      </c>
      <c r="B540" s="2" t="s">
        <v>1396</v>
      </c>
      <c r="C540" s="2">
        <v>2008.0</v>
      </c>
      <c r="D540" s="2" t="s">
        <v>5114</v>
      </c>
      <c r="E540" s="2" t="s">
        <v>5115</v>
      </c>
      <c r="L540" s="2" t="s">
        <v>1458</v>
      </c>
      <c r="M540" s="2" t="s">
        <v>1385</v>
      </c>
      <c r="N540" s="2" t="s">
        <v>1386</v>
      </c>
      <c r="AA540" s="2" t="s">
        <v>5116</v>
      </c>
      <c r="AN540" s="2" t="s">
        <v>1368</v>
      </c>
    </row>
    <row r="541" ht="15.75" customHeight="1">
      <c r="A541" s="2" t="s">
        <v>5117</v>
      </c>
      <c r="B541" s="2" t="s">
        <v>1361</v>
      </c>
      <c r="C541" s="2">
        <v>2005.0</v>
      </c>
      <c r="D541" s="2" t="s">
        <v>5118</v>
      </c>
      <c r="E541" s="2" t="s">
        <v>5119</v>
      </c>
      <c r="I541" s="2" t="s">
        <v>5120</v>
      </c>
      <c r="L541" s="2" t="s">
        <v>1394</v>
      </c>
      <c r="M541" s="2" t="s">
        <v>1385</v>
      </c>
      <c r="N541" s="2" t="s">
        <v>1386</v>
      </c>
      <c r="P541" s="2" t="s">
        <v>5121</v>
      </c>
      <c r="S541" s="2">
        <v>25.0</v>
      </c>
      <c r="AN541" s="2" t="s">
        <v>1368</v>
      </c>
    </row>
    <row r="542" ht="15.75" customHeight="1">
      <c r="A542" s="2" t="s">
        <v>5122</v>
      </c>
      <c r="B542" s="2" t="s">
        <v>1396</v>
      </c>
      <c r="C542" s="2">
        <v>2002.0</v>
      </c>
      <c r="D542" s="2" t="s">
        <v>5123</v>
      </c>
      <c r="E542" s="2" t="s">
        <v>5124</v>
      </c>
      <c r="L542" s="2" t="s">
        <v>1493</v>
      </c>
      <c r="M542" s="2" t="s">
        <v>1385</v>
      </c>
      <c r="N542" s="2" t="s">
        <v>1386</v>
      </c>
      <c r="AA542" s="2" t="s">
        <v>5125</v>
      </c>
      <c r="AN542" s="2" t="s">
        <v>1368</v>
      </c>
    </row>
    <row r="543" ht="15.75" customHeight="1">
      <c r="A543" s="2" t="s">
        <v>5126</v>
      </c>
      <c r="B543" s="2" t="s">
        <v>1361</v>
      </c>
      <c r="C543" s="2">
        <v>1999.0</v>
      </c>
      <c r="D543" s="2" t="s">
        <v>5127</v>
      </c>
      <c r="E543" s="2" t="s">
        <v>5128</v>
      </c>
      <c r="F543" s="2" t="s">
        <v>5129</v>
      </c>
      <c r="H543" s="2" t="s">
        <v>5130</v>
      </c>
      <c r="I543" s="2" t="s">
        <v>5131</v>
      </c>
      <c r="K543" s="2" t="s">
        <v>5132</v>
      </c>
      <c r="L543" s="2" t="s">
        <v>1434</v>
      </c>
      <c r="M543" s="2" t="s">
        <v>1385</v>
      </c>
      <c r="N543" s="2" t="s">
        <v>1386</v>
      </c>
      <c r="AN543" s="2" t="s">
        <v>1368</v>
      </c>
    </row>
    <row r="544" ht="15.75" customHeight="1">
      <c r="A544" s="2" t="s">
        <v>5133</v>
      </c>
      <c r="B544" s="2" t="s">
        <v>1361</v>
      </c>
      <c r="C544" s="2">
        <v>2007.0</v>
      </c>
      <c r="D544" s="2" t="s">
        <v>5134</v>
      </c>
      <c r="E544" s="2" t="s">
        <v>5135</v>
      </c>
      <c r="F544" s="2" t="s">
        <v>5136</v>
      </c>
      <c r="H544" s="2" t="s">
        <v>5137</v>
      </c>
      <c r="I544" s="2" t="s">
        <v>5138</v>
      </c>
      <c r="K544" s="2" t="s">
        <v>5139</v>
      </c>
      <c r="L544" s="2" t="s">
        <v>2380</v>
      </c>
      <c r="M544" s="2" t="s">
        <v>1385</v>
      </c>
      <c r="N544" s="2" t="s">
        <v>1386</v>
      </c>
      <c r="AN544" s="2" t="s">
        <v>1368</v>
      </c>
    </row>
    <row r="545" ht="15.75" customHeight="1">
      <c r="A545" s="2" t="s">
        <v>5140</v>
      </c>
      <c r="B545" s="2" t="s">
        <v>1361</v>
      </c>
      <c r="C545" s="2">
        <v>2016.0</v>
      </c>
      <c r="D545" s="2" t="s">
        <v>5141</v>
      </c>
      <c r="E545" s="2" t="s">
        <v>239</v>
      </c>
      <c r="F545" s="2" t="s">
        <v>5142</v>
      </c>
      <c r="I545" s="2" t="s">
        <v>242</v>
      </c>
      <c r="L545" s="2" t="s">
        <v>1502</v>
      </c>
      <c r="M545" s="2" t="s">
        <v>1385</v>
      </c>
      <c r="N545" s="2" t="s">
        <v>1386</v>
      </c>
      <c r="P545" s="2" t="s">
        <v>5143</v>
      </c>
      <c r="R545" s="2" t="s">
        <v>1506</v>
      </c>
      <c r="S545" s="2">
        <v>46.0</v>
      </c>
      <c r="AN545" s="2" t="s">
        <v>1368</v>
      </c>
    </row>
    <row r="546" ht="15.75" customHeight="1">
      <c r="A546" s="2" t="s">
        <v>5144</v>
      </c>
      <c r="B546" s="2" t="s">
        <v>1361</v>
      </c>
      <c r="C546" s="2">
        <v>2015.0</v>
      </c>
      <c r="D546" s="2" t="s">
        <v>5145</v>
      </c>
      <c r="E546" s="2" t="s">
        <v>291</v>
      </c>
      <c r="F546" s="2" t="s">
        <v>5146</v>
      </c>
      <c r="H546" s="2" t="s">
        <v>5147</v>
      </c>
      <c r="I546" s="2" t="s">
        <v>294</v>
      </c>
      <c r="K546" s="2" t="s">
        <v>5148</v>
      </c>
      <c r="L546" s="2" t="s">
        <v>5149</v>
      </c>
      <c r="M546" s="2" t="s">
        <v>1385</v>
      </c>
      <c r="N546" s="2" t="s">
        <v>1386</v>
      </c>
      <c r="P546" s="2" t="s">
        <v>5150</v>
      </c>
      <c r="S546" s="2">
        <v>115.0</v>
      </c>
      <c r="AN546" s="2" t="s">
        <v>1368</v>
      </c>
    </row>
    <row r="547" ht="15.75" customHeight="1">
      <c r="A547" s="2" t="s">
        <v>5151</v>
      </c>
      <c r="B547" s="2" t="s">
        <v>1396</v>
      </c>
      <c r="C547" s="2">
        <v>2005.0</v>
      </c>
      <c r="D547" s="2" t="s">
        <v>5152</v>
      </c>
      <c r="E547" s="2" t="s">
        <v>5153</v>
      </c>
      <c r="L547" s="2" t="s">
        <v>1394</v>
      </c>
      <c r="M547" s="2" t="s">
        <v>1385</v>
      </c>
      <c r="N547" s="2" t="s">
        <v>1386</v>
      </c>
      <c r="AA547" s="2" t="s">
        <v>5154</v>
      </c>
      <c r="AB547" s="2" t="s">
        <v>4883</v>
      </c>
      <c r="AN547" s="2" t="s">
        <v>1368</v>
      </c>
    </row>
    <row r="548" ht="15.75" customHeight="1">
      <c r="A548" s="2" t="s">
        <v>5155</v>
      </c>
      <c r="B548" s="2" t="s">
        <v>1396</v>
      </c>
      <c r="C548" s="2">
        <v>2017.0</v>
      </c>
      <c r="D548" s="2" t="s">
        <v>5156</v>
      </c>
      <c r="E548" s="2" t="s">
        <v>5157</v>
      </c>
      <c r="L548" s="2" t="s">
        <v>1658</v>
      </c>
      <c r="M548" s="2" t="s">
        <v>1385</v>
      </c>
      <c r="N548" s="2" t="s">
        <v>1386</v>
      </c>
      <c r="AN548" s="2" t="s">
        <v>1368</v>
      </c>
    </row>
    <row r="549" ht="15.75" customHeight="1">
      <c r="A549" s="2" t="s">
        <v>5158</v>
      </c>
      <c r="B549" s="2" t="s">
        <v>1361</v>
      </c>
      <c r="C549" s="2">
        <v>1989.0</v>
      </c>
      <c r="D549" s="2" t="s">
        <v>5159</v>
      </c>
      <c r="E549" s="2" t="s">
        <v>5160</v>
      </c>
      <c r="L549" s="2" t="s">
        <v>2701</v>
      </c>
      <c r="M549" s="2" t="s">
        <v>1385</v>
      </c>
      <c r="N549" s="2" t="s">
        <v>1386</v>
      </c>
      <c r="AN549" s="2" t="s">
        <v>1368</v>
      </c>
    </row>
    <row r="550" ht="15.75" customHeight="1">
      <c r="A550" s="2" t="s">
        <v>5161</v>
      </c>
      <c r="B550" s="2" t="s">
        <v>1396</v>
      </c>
      <c r="C550" s="2">
        <v>2017.0</v>
      </c>
      <c r="D550" s="2" t="s">
        <v>5162</v>
      </c>
      <c r="E550" s="2" t="s">
        <v>5163</v>
      </c>
      <c r="L550" s="2" t="s">
        <v>1658</v>
      </c>
      <c r="M550" s="2" t="s">
        <v>1385</v>
      </c>
      <c r="N550" s="2" t="s">
        <v>1386</v>
      </c>
      <c r="AN550" s="2" t="s">
        <v>1368</v>
      </c>
      <c r="AP550" s="2" t="s">
        <v>5164</v>
      </c>
      <c r="AQ550" s="2" t="s">
        <v>5165</v>
      </c>
    </row>
    <row r="551" ht="15.75" customHeight="1">
      <c r="A551" s="2" t="s">
        <v>5166</v>
      </c>
      <c r="B551" s="2" t="s">
        <v>1361</v>
      </c>
      <c r="C551" s="2">
        <v>2016.0</v>
      </c>
      <c r="D551" s="2" t="s">
        <v>5152</v>
      </c>
      <c r="E551" s="2" t="s">
        <v>5167</v>
      </c>
      <c r="F551" s="2" t="s">
        <v>4830</v>
      </c>
      <c r="K551" s="2" t="s">
        <v>5168</v>
      </c>
      <c r="L551" s="2" t="s">
        <v>1502</v>
      </c>
      <c r="M551" s="2" t="s">
        <v>1385</v>
      </c>
      <c r="N551" s="2" t="s">
        <v>1386</v>
      </c>
      <c r="AN551" s="2" t="s">
        <v>1368</v>
      </c>
    </row>
    <row r="552" ht="15.75" customHeight="1">
      <c r="A552" s="2" t="s">
        <v>5169</v>
      </c>
      <c r="B552" s="2" t="s">
        <v>1361</v>
      </c>
      <c r="C552" s="2">
        <v>2011.0</v>
      </c>
      <c r="D552" s="2" t="s">
        <v>5170</v>
      </c>
      <c r="E552" s="2" t="s">
        <v>5171</v>
      </c>
      <c r="F552" s="2" t="s">
        <v>1587</v>
      </c>
      <c r="H552" s="2" t="s">
        <v>3516</v>
      </c>
      <c r="I552" s="2" t="s">
        <v>5172</v>
      </c>
      <c r="K552" s="2" t="s">
        <v>5173</v>
      </c>
      <c r="L552" s="2" t="s">
        <v>1627</v>
      </c>
      <c r="M552" s="2" t="s">
        <v>1385</v>
      </c>
      <c r="N552" s="2" t="s">
        <v>1386</v>
      </c>
      <c r="P552" s="2" t="s">
        <v>5174</v>
      </c>
      <c r="R552" s="2" t="s">
        <v>1937</v>
      </c>
      <c r="S552" s="2">
        <v>25.0</v>
      </c>
      <c r="AN552" s="2" t="s">
        <v>1368</v>
      </c>
    </row>
    <row r="553" ht="15.75" customHeight="1">
      <c r="A553" s="2" t="s">
        <v>5175</v>
      </c>
      <c r="B553" s="2" t="s">
        <v>1361</v>
      </c>
      <c r="C553" s="2">
        <v>2011.0</v>
      </c>
      <c r="D553" s="2" t="s">
        <v>5176</v>
      </c>
      <c r="E553" s="2" t="s">
        <v>5177</v>
      </c>
      <c r="F553" s="2" t="s">
        <v>5178</v>
      </c>
      <c r="H553" s="2" t="s">
        <v>5179</v>
      </c>
      <c r="I553" s="2" t="s">
        <v>5180</v>
      </c>
      <c r="J553" s="2" t="s">
        <v>5181</v>
      </c>
      <c r="K553" s="2" t="s">
        <v>5182</v>
      </c>
      <c r="L553" s="2" t="s">
        <v>1627</v>
      </c>
      <c r="M553" s="2" t="s">
        <v>1385</v>
      </c>
      <c r="N553" s="2" t="s">
        <v>1386</v>
      </c>
      <c r="P553" s="2" t="s">
        <v>5183</v>
      </c>
      <c r="R553" s="2" t="s">
        <v>1506</v>
      </c>
      <c r="S553" s="2">
        <v>56.0</v>
      </c>
      <c r="AN553" s="2" t="s">
        <v>1368</v>
      </c>
    </row>
    <row r="554" ht="15.75" customHeight="1">
      <c r="A554" s="2" t="s">
        <v>5184</v>
      </c>
      <c r="B554" s="2" t="s">
        <v>1361</v>
      </c>
      <c r="C554" s="2">
        <v>2015.0</v>
      </c>
      <c r="D554" s="2" t="s">
        <v>5185</v>
      </c>
      <c r="E554" s="2" t="s">
        <v>264</v>
      </c>
      <c r="F554" s="2" t="s">
        <v>5186</v>
      </c>
      <c r="H554" s="2" t="s">
        <v>5187</v>
      </c>
      <c r="I554" s="2" t="s">
        <v>268</v>
      </c>
      <c r="J554" s="2" t="s">
        <v>5188</v>
      </c>
      <c r="K554" s="2" t="s">
        <v>5189</v>
      </c>
      <c r="L554" s="2" t="s">
        <v>5190</v>
      </c>
      <c r="M554" s="2" t="s">
        <v>1385</v>
      </c>
      <c r="N554" s="2" t="s">
        <v>1386</v>
      </c>
      <c r="P554" s="2" t="s">
        <v>5191</v>
      </c>
      <c r="R554" s="2" t="s">
        <v>5192</v>
      </c>
      <c r="S554" s="2">
        <v>156.0</v>
      </c>
      <c r="AN554" s="2" t="s">
        <v>1368</v>
      </c>
    </row>
    <row r="555" ht="15.75" customHeight="1">
      <c r="A555" s="2" t="s">
        <v>5193</v>
      </c>
      <c r="B555" s="2" t="s">
        <v>1396</v>
      </c>
      <c r="C555" s="2">
        <v>2018.0</v>
      </c>
      <c r="D555" s="2" t="s">
        <v>5194</v>
      </c>
      <c r="E555" s="2" t="s">
        <v>5195</v>
      </c>
      <c r="L555" s="2" t="s">
        <v>1420</v>
      </c>
      <c r="M555" s="2" t="s">
        <v>1385</v>
      </c>
      <c r="N555" s="2" t="s">
        <v>1386</v>
      </c>
      <c r="AN555" s="2" t="s">
        <v>1368</v>
      </c>
      <c r="AP555" s="2" t="s">
        <v>5194</v>
      </c>
      <c r="AQ555" s="2" t="s">
        <v>5196</v>
      </c>
    </row>
    <row r="556" ht="15.75" customHeight="1">
      <c r="A556" s="2" t="s">
        <v>5197</v>
      </c>
      <c r="B556" s="2" t="s">
        <v>1361</v>
      </c>
      <c r="C556" s="2">
        <v>2017.0</v>
      </c>
      <c r="D556" s="2" t="s">
        <v>5198</v>
      </c>
      <c r="E556" s="2" t="s">
        <v>5199</v>
      </c>
      <c r="F556" s="2" t="s">
        <v>1380</v>
      </c>
      <c r="H556" s="2" t="s">
        <v>1381</v>
      </c>
      <c r="I556" s="2" t="s">
        <v>5200</v>
      </c>
      <c r="J556" s="2" t="s">
        <v>5201</v>
      </c>
      <c r="L556" s="2" t="s">
        <v>5202</v>
      </c>
      <c r="M556" s="2" t="s">
        <v>1385</v>
      </c>
      <c r="N556" s="2" t="s">
        <v>1386</v>
      </c>
      <c r="P556" s="2" t="s">
        <v>5203</v>
      </c>
      <c r="R556" s="2" t="s">
        <v>5204</v>
      </c>
      <c r="S556" s="2">
        <v>544.0</v>
      </c>
      <c r="AN556" s="2" t="s">
        <v>1368</v>
      </c>
    </row>
    <row r="557" ht="15.75" customHeight="1">
      <c r="A557" s="2" t="s">
        <v>5205</v>
      </c>
      <c r="B557" s="2" t="s">
        <v>1361</v>
      </c>
      <c r="C557" s="2">
        <v>2011.0</v>
      </c>
      <c r="D557" s="2" t="s">
        <v>5206</v>
      </c>
      <c r="E557" s="2" t="s">
        <v>5207</v>
      </c>
      <c r="F557" s="2" t="s">
        <v>1380</v>
      </c>
      <c r="H557" s="2" t="s">
        <v>1381</v>
      </c>
      <c r="I557" s="2" t="s">
        <v>5208</v>
      </c>
      <c r="K557" s="2" t="s">
        <v>5209</v>
      </c>
      <c r="L557" s="2" t="s">
        <v>1627</v>
      </c>
      <c r="M557" s="2" t="s">
        <v>1385</v>
      </c>
      <c r="N557" s="2" t="s">
        <v>1386</v>
      </c>
      <c r="AN557" s="2" t="s">
        <v>1368</v>
      </c>
    </row>
    <row r="558" ht="15.75" customHeight="1">
      <c r="A558" s="2" t="s">
        <v>5210</v>
      </c>
      <c r="B558" s="2" t="s">
        <v>1781</v>
      </c>
      <c r="C558" s="2">
        <v>2014.0</v>
      </c>
      <c r="D558" s="2" t="s">
        <v>5211</v>
      </c>
      <c r="E558" s="2" t="s">
        <v>5212</v>
      </c>
      <c r="L558" s="2" t="s">
        <v>1476</v>
      </c>
      <c r="M558" s="2" t="s">
        <v>1385</v>
      </c>
      <c r="N558" s="2" t="s">
        <v>1386</v>
      </c>
      <c r="AN558" s="2" t="s">
        <v>1368</v>
      </c>
    </row>
    <row r="559" ht="15.75" customHeight="1">
      <c r="A559" s="2" t="s">
        <v>5213</v>
      </c>
      <c r="B559" s="2" t="s">
        <v>1361</v>
      </c>
      <c r="C559" s="2">
        <v>2015.0</v>
      </c>
      <c r="D559" s="2" t="s">
        <v>5214</v>
      </c>
      <c r="E559" s="2" t="s">
        <v>5215</v>
      </c>
      <c r="F559" s="2" t="s">
        <v>5216</v>
      </c>
      <c r="I559" s="2" t="s">
        <v>5217</v>
      </c>
      <c r="K559" s="2" t="s">
        <v>5218</v>
      </c>
      <c r="L559" s="2" t="s">
        <v>1373</v>
      </c>
      <c r="M559" s="2" t="s">
        <v>1385</v>
      </c>
      <c r="N559" s="2" t="s">
        <v>1386</v>
      </c>
      <c r="AN559" s="2" t="s">
        <v>1368</v>
      </c>
    </row>
    <row r="560" ht="15.75" customHeight="1">
      <c r="A560" s="2" t="s">
        <v>5219</v>
      </c>
      <c r="B560" s="2" t="s">
        <v>1396</v>
      </c>
      <c r="C560" s="2">
        <v>1994.0</v>
      </c>
      <c r="D560" s="2" t="s">
        <v>5220</v>
      </c>
      <c r="E560" s="2" t="s">
        <v>5221</v>
      </c>
      <c r="G560" s="2" t="s">
        <v>5222</v>
      </c>
      <c r="L560" s="2" t="s">
        <v>2327</v>
      </c>
      <c r="M560" s="2" t="s">
        <v>1385</v>
      </c>
      <c r="N560" s="2" t="s">
        <v>1386</v>
      </c>
      <c r="Q560" s="2">
        <v>284.0</v>
      </c>
      <c r="AA560" s="2" t="s">
        <v>2441</v>
      </c>
      <c r="AB560" s="2" t="s">
        <v>2146</v>
      </c>
      <c r="AN560" s="2" t="s">
        <v>1368</v>
      </c>
    </row>
    <row r="561" ht="15.75" customHeight="1">
      <c r="A561" s="2" t="s">
        <v>5223</v>
      </c>
      <c r="B561" s="2" t="s">
        <v>1361</v>
      </c>
      <c r="C561" s="2">
        <v>1993.0</v>
      </c>
      <c r="D561" s="2" t="s">
        <v>5224</v>
      </c>
      <c r="E561" s="2" t="s">
        <v>5225</v>
      </c>
      <c r="F561" s="2" t="s">
        <v>1715</v>
      </c>
      <c r="H561" s="2" t="s">
        <v>1716</v>
      </c>
      <c r="I561" s="2" t="s">
        <v>5226</v>
      </c>
      <c r="K561" s="2" t="s">
        <v>5227</v>
      </c>
      <c r="L561" s="2" t="s">
        <v>5228</v>
      </c>
      <c r="M561" s="2" t="s">
        <v>1385</v>
      </c>
      <c r="N561" s="2" t="s">
        <v>1386</v>
      </c>
      <c r="P561" s="2" t="s">
        <v>5229</v>
      </c>
      <c r="R561" s="2" t="s">
        <v>1453</v>
      </c>
      <c r="S561" s="2">
        <v>41.0</v>
      </c>
      <c r="AN561" s="2" t="s">
        <v>1368</v>
      </c>
    </row>
    <row r="562" ht="15.75" customHeight="1">
      <c r="A562" s="2" t="s">
        <v>5230</v>
      </c>
      <c r="B562" s="2" t="s">
        <v>1361</v>
      </c>
      <c r="C562" s="2">
        <v>2003.0</v>
      </c>
      <c r="D562" s="2" t="s">
        <v>5231</v>
      </c>
      <c r="E562" s="2" t="s">
        <v>5232</v>
      </c>
      <c r="F562" s="2" t="s">
        <v>5233</v>
      </c>
      <c r="I562" s="2" t="s">
        <v>5234</v>
      </c>
      <c r="J562" s="2" t="s">
        <v>5235</v>
      </c>
      <c r="L562" s="2">
        <v>2003.0</v>
      </c>
      <c r="M562" s="2" t="s">
        <v>5236</v>
      </c>
      <c r="N562" s="2" t="s">
        <v>5237</v>
      </c>
      <c r="P562" s="2" t="s">
        <v>5238</v>
      </c>
      <c r="R562" s="2">
        <v>4.0</v>
      </c>
      <c r="S562" s="2">
        <v>79.0</v>
      </c>
      <c r="AN562" s="2" t="s">
        <v>1609</v>
      </c>
    </row>
    <row r="563" ht="15.75" customHeight="1">
      <c r="A563" s="2" t="s">
        <v>5239</v>
      </c>
      <c r="B563" s="2" t="s">
        <v>1361</v>
      </c>
      <c r="C563" s="2">
        <v>2003.0</v>
      </c>
      <c r="D563" s="2" t="s">
        <v>5240</v>
      </c>
      <c r="E563" s="2" t="s">
        <v>5241</v>
      </c>
      <c r="F563" s="2" t="s">
        <v>5242</v>
      </c>
      <c r="J563" s="2" t="s">
        <v>5243</v>
      </c>
      <c r="K563" s="2" t="s">
        <v>5244</v>
      </c>
      <c r="L563" s="2">
        <v>2003.0</v>
      </c>
      <c r="M563" s="2" t="s">
        <v>5245</v>
      </c>
      <c r="N563" s="2" t="s">
        <v>5246</v>
      </c>
      <c r="P563" s="2" t="s">
        <v>2629</v>
      </c>
      <c r="R563" s="2">
        <v>708.0</v>
      </c>
      <c r="S563" s="2">
        <v>708.0</v>
      </c>
      <c r="AN563" s="2" t="s">
        <v>1368</v>
      </c>
    </row>
    <row r="564" ht="15.75" customHeight="1">
      <c r="A564" s="2" t="s">
        <v>5247</v>
      </c>
      <c r="B564" s="2" t="s">
        <v>1361</v>
      </c>
      <c r="C564" s="2">
        <v>1992.0</v>
      </c>
      <c r="D564" s="2" t="s">
        <v>5248</v>
      </c>
      <c r="E564" s="2" t="s">
        <v>5249</v>
      </c>
      <c r="F564" s="2" t="s">
        <v>5250</v>
      </c>
      <c r="I564" s="2" t="s">
        <v>5251</v>
      </c>
      <c r="L564" s="2">
        <v>1992.0</v>
      </c>
      <c r="M564" s="2" t="s">
        <v>5252</v>
      </c>
      <c r="N564" s="2" t="s">
        <v>5253</v>
      </c>
      <c r="P564" s="2" t="s">
        <v>5254</v>
      </c>
      <c r="R564" s="2">
        <v>1.0</v>
      </c>
      <c r="S564" s="2">
        <v>46.0</v>
      </c>
      <c r="AN564" s="2" t="s">
        <v>1368</v>
      </c>
    </row>
    <row r="565" ht="15.75" customHeight="1">
      <c r="A565" s="2" t="s">
        <v>5255</v>
      </c>
      <c r="B565" s="2" t="s">
        <v>1361</v>
      </c>
      <c r="C565" s="2">
        <v>2010.0</v>
      </c>
      <c r="D565" s="2" t="s">
        <v>5256</v>
      </c>
      <c r="E565" s="2" t="s">
        <v>5257</v>
      </c>
      <c r="F565" s="2" t="s">
        <v>5258</v>
      </c>
      <c r="I565" s="2" t="s">
        <v>5259</v>
      </c>
      <c r="L565" s="2">
        <v>2010.0</v>
      </c>
      <c r="M565" s="2" t="s">
        <v>5260</v>
      </c>
      <c r="N565" s="2" t="s">
        <v>5261</v>
      </c>
      <c r="P565" s="2" t="s">
        <v>5262</v>
      </c>
      <c r="S565" s="2">
        <v>25.0</v>
      </c>
      <c r="AN565" s="2" t="s">
        <v>1368</v>
      </c>
    </row>
    <row r="566" ht="15.75" customHeight="1">
      <c r="A566" s="2" t="s">
        <v>5263</v>
      </c>
      <c r="B566" s="2" t="s">
        <v>1396</v>
      </c>
      <c r="C566" s="2">
        <v>2017.0</v>
      </c>
      <c r="D566" s="2" t="s">
        <v>5264</v>
      </c>
      <c r="E566" s="2" t="s">
        <v>5265</v>
      </c>
      <c r="J566" s="2" t="s">
        <v>5266</v>
      </c>
      <c r="L566" s="2">
        <v>2017.0</v>
      </c>
      <c r="M566" s="2" t="s">
        <v>1385</v>
      </c>
      <c r="N566" s="2" t="s">
        <v>1386</v>
      </c>
      <c r="S566" s="2">
        <v>3.0</v>
      </c>
      <c r="AA566" s="2" t="s">
        <v>5267</v>
      </c>
      <c r="AN566" s="2" t="s">
        <v>1368</v>
      </c>
    </row>
    <row r="567" ht="15.75" customHeight="1">
      <c r="A567" s="2" t="s">
        <v>5268</v>
      </c>
      <c r="B567" s="2" t="s">
        <v>1396</v>
      </c>
      <c r="C567" s="2">
        <v>1988.0</v>
      </c>
      <c r="D567" s="2" t="s">
        <v>5269</v>
      </c>
      <c r="E567" s="2" t="s">
        <v>5270</v>
      </c>
      <c r="G567" s="2" t="s">
        <v>5271</v>
      </c>
      <c r="J567" s="2" t="s">
        <v>5272</v>
      </c>
      <c r="K567" s="2" t="s">
        <v>5273</v>
      </c>
      <c r="L567" s="2">
        <v>1988.0</v>
      </c>
      <c r="M567" s="2" t="s">
        <v>1385</v>
      </c>
      <c r="N567" s="2" t="s">
        <v>1386</v>
      </c>
      <c r="Q567" s="2">
        <v>205.0</v>
      </c>
      <c r="AA567" s="2" t="s">
        <v>5274</v>
      </c>
      <c r="AN567" s="2" t="s">
        <v>1368</v>
      </c>
    </row>
    <row r="568" ht="15.75" customHeight="1">
      <c r="A568" s="2" t="s">
        <v>5275</v>
      </c>
      <c r="B568" s="2" t="s">
        <v>1623</v>
      </c>
      <c r="C568" s="2">
        <v>2010.0</v>
      </c>
      <c r="D568" s="2" t="s">
        <v>5276</v>
      </c>
      <c r="E568" s="2" t="s">
        <v>5277</v>
      </c>
      <c r="J568" s="2" t="s">
        <v>5278</v>
      </c>
      <c r="K568" s="2" t="s">
        <v>5279</v>
      </c>
      <c r="L568" s="2">
        <v>2010.0</v>
      </c>
      <c r="M568" s="2" t="s">
        <v>1385</v>
      </c>
      <c r="N568" s="2" t="s">
        <v>1386</v>
      </c>
      <c r="P568" s="2" t="s">
        <v>5280</v>
      </c>
      <c r="AA568" s="2" t="s">
        <v>5281</v>
      </c>
      <c r="AB568" s="2" t="s">
        <v>5282</v>
      </c>
      <c r="AN568" s="2" t="s">
        <v>1368</v>
      </c>
    </row>
    <row r="569" ht="15.75" customHeight="1">
      <c r="A569" s="2" t="s">
        <v>5283</v>
      </c>
      <c r="B569" s="2" t="s">
        <v>1766</v>
      </c>
      <c r="C569" s="2">
        <v>2005.0</v>
      </c>
      <c r="D569" s="2" t="s">
        <v>5284</v>
      </c>
      <c r="E569" s="2" t="s">
        <v>5285</v>
      </c>
      <c r="F569" s="2" t="s">
        <v>5286</v>
      </c>
      <c r="L569" s="2">
        <v>2005.0</v>
      </c>
      <c r="M569" s="2" t="s">
        <v>1385</v>
      </c>
      <c r="N569" s="2" t="s">
        <v>1386</v>
      </c>
      <c r="AA569" s="2" t="s">
        <v>5287</v>
      </c>
      <c r="AN569" s="2" t="s">
        <v>1368</v>
      </c>
      <c r="AP569" s="2" t="s">
        <v>5288</v>
      </c>
    </row>
    <row r="570" ht="15.75" customHeight="1">
      <c r="A570" s="2" t="s">
        <v>5289</v>
      </c>
      <c r="B570" s="2" t="s">
        <v>1766</v>
      </c>
      <c r="C570" s="2">
        <v>2012.0</v>
      </c>
      <c r="D570" s="2" t="s">
        <v>5290</v>
      </c>
      <c r="E570" s="2" t="s">
        <v>5291</v>
      </c>
      <c r="F570" s="2" t="s">
        <v>5292</v>
      </c>
      <c r="L570" s="2">
        <v>2012.0</v>
      </c>
      <c r="M570" s="2" t="s">
        <v>1385</v>
      </c>
      <c r="N570" s="2" t="s">
        <v>1386</v>
      </c>
      <c r="P570" s="2" t="s">
        <v>5293</v>
      </c>
      <c r="AA570" s="2" t="s">
        <v>5294</v>
      </c>
      <c r="AB570" s="2" t="s">
        <v>5295</v>
      </c>
      <c r="AN570" s="2" t="s">
        <v>1368</v>
      </c>
    </row>
    <row r="571" ht="15.75" customHeight="1">
      <c r="A571" s="2" t="s">
        <v>5296</v>
      </c>
      <c r="B571" s="2" t="s">
        <v>1361</v>
      </c>
      <c r="C571" s="2">
        <v>2001.0</v>
      </c>
      <c r="D571" s="2" t="s">
        <v>5297</v>
      </c>
      <c r="E571" s="2" t="s">
        <v>5298</v>
      </c>
      <c r="F571" s="2" t="s">
        <v>1474</v>
      </c>
      <c r="H571" s="2">
        <v>1.5565068E7</v>
      </c>
      <c r="I571" s="2" t="s">
        <v>5299</v>
      </c>
      <c r="K571" s="2" t="s">
        <v>5300</v>
      </c>
      <c r="L571" s="2">
        <v>2001.0</v>
      </c>
      <c r="M571" s="2" t="s">
        <v>1385</v>
      </c>
      <c r="N571" s="2" t="s">
        <v>1386</v>
      </c>
      <c r="AN571" s="2" t="s">
        <v>1368</v>
      </c>
    </row>
    <row r="572" ht="15.75" customHeight="1">
      <c r="A572" s="2" t="s">
        <v>5301</v>
      </c>
      <c r="B572" s="2" t="s">
        <v>1361</v>
      </c>
      <c r="C572" s="2">
        <v>2009.0</v>
      </c>
      <c r="D572" s="2" t="s">
        <v>5302</v>
      </c>
      <c r="E572" s="2" t="s">
        <v>5303</v>
      </c>
      <c r="F572" s="2" t="s">
        <v>1447</v>
      </c>
      <c r="I572" s="2" t="s">
        <v>5304</v>
      </c>
      <c r="L572" s="2" t="s">
        <v>1364</v>
      </c>
      <c r="M572" s="2" t="s">
        <v>5305</v>
      </c>
      <c r="N572" s="2" t="s">
        <v>5306</v>
      </c>
      <c r="P572" s="2" t="s">
        <v>5307</v>
      </c>
      <c r="R572" s="2" t="s">
        <v>1480</v>
      </c>
      <c r="S572" s="2">
        <v>68.0</v>
      </c>
      <c r="AN572" s="2" t="s">
        <v>1368</v>
      </c>
    </row>
    <row r="573" ht="15.75" customHeight="1">
      <c r="A573" s="2" t="s">
        <v>5308</v>
      </c>
      <c r="B573" s="2" t="s">
        <v>1361</v>
      </c>
      <c r="C573" s="2">
        <v>2001.0</v>
      </c>
      <c r="D573" s="2" t="s">
        <v>5309</v>
      </c>
      <c r="E573" s="2" t="s">
        <v>5310</v>
      </c>
      <c r="F573" s="2" t="s">
        <v>5311</v>
      </c>
      <c r="I573" s="2" t="s">
        <v>5312</v>
      </c>
      <c r="L573" s="2" t="s">
        <v>1414</v>
      </c>
      <c r="M573" s="2" t="s">
        <v>5313</v>
      </c>
      <c r="N573" s="2" t="s">
        <v>5314</v>
      </c>
      <c r="P573" s="2" t="s">
        <v>5315</v>
      </c>
      <c r="R573" s="2" t="s">
        <v>1506</v>
      </c>
      <c r="S573" s="2">
        <v>1.0</v>
      </c>
      <c r="AN573" s="2" t="s">
        <v>1368</v>
      </c>
    </row>
    <row r="574" ht="15.75" customHeight="1">
      <c r="A574" s="2" t="s">
        <v>5316</v>
      </c>
      <c r="B574" s="2" t="s">
        <v>1361</v>
      </c>
      <c r="C574" s="2">
        <v>2012.0</v>
      </c>
      <c r="D574" s="2" t="s">
        <v>5317</v>
      </c>
      <c r="E574" s="2" t="s">
        <v>5318</v>
      </c>
      <c r="F574" s="2" t="s">
        <v>2641</v>
      </c>
      <c r="I574" s="2" t="s">
        <v>5319</v>
      </c>
      <c r="J574" s="2" t="s">
        <v>5320</v>
      </c>
      <c r="K574" s="2" t="s">
        <v>5321</v>
      </c>
      <c r="L574" s="2" t="s">
        <v>1405</v>
      </c>
      <c r="M574" s="2" t="s">
        <v>5322</v>
      </c>
      <c r="N574" s="2" t="s">
        <v>5323</v>
      </c>
      <c r="P574" s="2" t="s">
        <v>5324</v>
      </c>
      <c r="R574" s="2" t="s">
        <v>1462</v>
      </c>
      <c r="S574" s="2">
        <v>7.0</v>
      </c>
      <c r="AN574" s="2" t="s">
        <v>1368</v>
      </c>
    </row>
    <row r="575" ht="15.75" customHeight="1">
      <c r="A575" s="2" t="s">
        <v>5325</v>
      </c>
      <c r="B575" s="2" t="s">
        <v>1361</v>
      </c>
      <c r="C575" s="2">
        <v>2008.0</v>
      </c>
      <c r="D575" s="2" t="s">
        <v>5326</v>
      </c>
      <c r="E575" s="2" t="s">
        <v>5327</v>
      </c>
      <c r="F575" s="2" t="s">
        <v>5328</v>
      </c>
      <c r="L575" s="2" t="s">
        <v>1458</v>
      </c>
      <c r="M575" s="2" t="s">
        <v>5329</v>
      </c>
      <c r="N575" s="2" t="s">
        <v>5330</v>
      </c>
      <c r="P575" s="2" t="s">
        <v>5331</v>
      </c>
      <c r="R575" s="2" t="s">
        <v>1462</v>
      </c>
      <c r="S575" s="2">
        <v>2.0</v>
      </c>
      <c r="AN575" s="2" t="s">
        <v>1368</v>
      </c>
    </row>
    <row r="576" ht="15.75" customHeight="1">
      <c r="A576" s="2" t="s">
        <v>5332</v>
      </c>
      <c r="B576" s="2" t="s">
        <v>1361</v>
      </c>
      <c r="C576" s="2">
        <v>1989.0</v>
      </c>
      <c r="D576" s="2" t="s">
        <v>5333</v>
      </c>
      <c r="E576" s="2" t="s">
        <v>5334</v>
      </c>
      <c r="F576" s="2" t="s">
        <v>5335</v>
      </c>
      <c r="I576" s="2" t="s">
        <v>5336</v>
      </c>
      <c r="L576" s="2" t="s">
        <v>2701</v>
      </c>
      <c r="M576" s="2" t="s">
        <v>5337</v>
      </c>
      <c r="N576" s="2" t="s">
        <v>5338</v>
      </c>
      <c r="P576" s="2" t="s">
        <v>5339</v>
      </c>
      <c r="R576" s="2" t="s">
        <v>1600</v>
      </c>
      <c r="S576" s="2">
        <v>7.0</v>
      </c>
      <c r="AN576" s="2" t="s">
        <v>1368</v>
      </c>
    </row>
    <row r="577" ht="15.75" customHeight="1">
      <c r="A577" s="2" t="s">
        <v>5340</v>
      </c>
      <c r="B577" s="2" t="s">
        <v>1361</v>
      </c>
      <c r="C577" s="2">
        <v>2010.0</v>
      </c>
      <c r="D577" s="2" t="s">
        <v>5326</v>
      </c>
      <c r="E577" s="2" t="s">
        <v>5341</v>
      </c>
      <c r="F577" s="2" t="s">
        <v>4728</v>
      </c>
      <c r="H577" s="2" t="s">
        <v>5342</v>
      </c>
      <c r="I577" s="2" t="s">
        <v>5343</v>
      </c>
      <c r="J577" s="2" t="s">
        <v>5344</v>
      </c>
      <c r="L577" s="2" t="s">
        <v>5345</v>
      </c>
      <c r="M577" s="2" t="s">
        <v>1385</v>
      </c>
      <c r="N577" s="2" t="s">
        <v>1386</v>
      </c>
      <c r="P577" s="2" t="s">
        <v>5346</v>
      </c>
      <c r="R577" s="2" t="s">
        <v>5347</v>
      </c>
      <c r="S577" s="2">
        <v>37.0</v>
      </c>
      <c r="AN577" s="2" t="s">
        <v>1368</v>
      </c>
    </row>
    <row r="578" ht="15.75" customHeight="1">
      <c r="A578" s="2" t="s">
        <v>5348</v>
      </c>
      <c r="B578" s="2" t="s">
        <v>1361</v>
      </c>
      <c r="C578" s="2">
        <v>2006.0</v>
      </c>
      <c r="D578" s="2" t="s">
        <v>5349</v>
      </c>
      <c r="E578" s="2" t="s">
        <v>5350</v>
      </c>
      <c r="F578" s="2" t="s">
        <v>2053</v>
      </c>
      <c r="H578" s="2" t="s">
        <v>5351</v>
      </c>
      <c r="I578" s="2" t="s">
        <v>5352</v>
      </c>
      <c r="J578" s="2" t="s">
        <v>5353</v>
      </c>
      <c r="L578" s="2" t="s">
        <v>1727</v>
      </c>
      <c r="M578" s="2" t="s">
        <v>1385</v>
      </c>
      <c r="N578" s="2" t="s">
        <v>1386</v>
      </c>
      <c r="P578" s="2" t="s">
        <v>5354</v>
      </c>
      <c r="R578" s="2" t="s">
        <v>1537</v>
      </c>
      <c r="S578" s="2">
        <v>4.0</v>
      </c>
      <c r="AN578" s="2" t="s">
        <v>1609</v>
      </c>
    </row>
    <row r="579" ht="15.75" customHeight="1">
      <c r="A579" s="2" t="s">
        <v>5355</v>
      </c>
      <c r="B579" s="2" t="s">
        <v>1396</v>
      </c>
      <c r="C579" s="2">
        <v>1998.0</v>
      </c>
      <c r="D579" s="2" t="s">
        <v>5356</v>
      </c>
      <c r="E579" s="2" t="s">
        <v>5357</v>
      </c>
      <c r="G579" s="2" t="s">
        <v>5358</v>
      </c>
      <c r="J579" s="2" t="s">
        <v>5359</v>
      </c>
      <c r="K579" s="2" t="s">
        <v>5360</v>
      </c>
      <c r="L579" s="2" t="s">
        <v>1958</v>
      </c>
      <c r="M579" s="2" t="s">
        <v>1385</v>
      </c>
      <c r="N579" s="2" t="s">
        <v>1386</v>
      </c>
      <c r="Q579" s="2">
        <v>459.0</v>
      </c>
      <c r="AA579" s="2" t="s">
        <v>2187</v>
      </c>
      <c r="AN579" s="2" t="s">
        <v>5361</v>
      </c>
    </row>
    <row r="580" ht="15.75" customHeight="1">
      <c r="A580" s="2" t="s">
        <v>5362</v>
      </c>
      <c r="B580" s="2" t="s">
        <v>1361</v>
      </c>
      <c r="C580" s="2">
        <v>2017.0</v>
      </c>
      <c r="D580" s="2" t="s">
        <v>5363</v>
      </c>
      <c r="E580" s="2" t="s">
        <v>5364</v>
      </c>
      <c r="F580" s="2" t="s">
        <v>5365</v>
      </c>
      <c r="I580" s="2" t="s">
        <v>5366</v>
      </c>
      <c r="J580" s="2" t="s">
        <v>5367</v>
      </c>
      <c r="K580" s="2" t="s">
        <v>5368</v>
      </c>
      <c r="L580" s="2" t="s">
        <v>5369</v>
      </c>
      <c r="M580" s="2" t="s">
        <v>1385</v>
      </c>
      <c r="N580" s="2" t="s">
        <v>1386</v>
      </c>
      <c r="R580" s="2" t="s">
        <v>5370</v>
      </c>
      <c r="S580" s="2">
        <v>1.0</v>
      </c>
      <c r="AN580" s="2" t="s">
        <v>1368</v>
      </c>
    </row>
    <row r="581" ht="15.75" customHeight="1">
      <c r="A581" s="2" t="s">
        <v>5371</v>
      </c>
      <c r="B581" s="2" t="s">
        <v>1361</v>
      </c>
      <c r="C581" s="2">
        <v>2006.0</v>
      </c>
      <c r="D581" s="2" t="s">
        <v>5372</v>
      </c>
      <c r="E581" s="2" t="s">
        <v>5373</v>
      </c>
      <c r="F581" s="2" t="s">
        <v>1510</v>
      </c>
      <c r="H581" s="2" t="s">
        <v>3540</v>
      </c>
      <c r="I581" s="2" t="s">
        <v>5374</v>
      </c>
      <c r="K581" s="2" t="s">
        <v>5375</v>
      </c>
      <c r="L581" s="2" t="s">
        <v>1727</v>
      </c>
      <c r="M581" s="2" t="s">
        <v>1385</v>
      </c>
      <c r="N581" s="2" t="s">
        <v>1386</v>
      </c>
      <c r="P581" s="2" t="s">
        <v>5376</v>
      </c>
      <c r="R581" s="2" t="s">
        <v>5377</v>
      </c>
      <c r="S581" s="2">
        <v>311.0</v>
      </c>
      <c r="AN581" s="2" t="s">
        <v>1368</v>
      </c>
    </row>
    <row r="582" ht="15.75" customHeight="1">
      <c r="A582" s="2" t="s">
        <v>5378</v>
      </c>
      <c r="B582" s="2" t="s">
        <v>1361</v>
      </c>
      <c r="C582" s="2">
        <v>2005.0</v>
      </c>
      <c r="D582" s="2" t="s">
        <v>5379</v>
      </c>
      <c r="E582" s="2" t="s">
        <v>5380</v>
      </c>
      <c r="F582" s="2" t="s">
        <v>5381</v>
      </c>
      <c r="I582" s="2" t="s">
        <v>5382</v>
      </c>
      <c r="L582" s="2" t="s">
        <v>1394</v>
      </c>
      <c r="M582" s="2" t="s">
        <v>5383</v>
      </c>
      <c r="N582" s="2" t="s">
        <v>5384</v>
      </c>
      <c r="P582" s="2" t="s">
        <v>5385</v>
      </c>
      <c r="R582" s="2" t="s">
        <v>1506</v>
      </c>
      <c r="S582" s="2">
        <v>20.0</v>
      </c>
      <c r="AN582" s="2" t="s">
        <v>1368</v>
      </c>
    </row>
    <row r="583" ht="15.75" customHeight="1">
      <c r="A583" s="2" t="s">
        <v>5386</v>
      </c>
      <c r="B583" s="2" t="s">
        <v>1361</v>
      </c>
      <c r="C583" s="2">
        <v>2008.0</v>
      </c>
      <c r="D583" s="2" t="s">
        <v>5387</v>
      </c>
      <c r="E583" s="2" t="s">
        <v>5388</v>
      </c>
      <c r="F583" s="2" t="s">
        <v>1760</v>
      </c>
      <c r="I583" s="2" t="s">
        <v>5389</v>
      </c>
      <c r="L583" s="2" t="s">
        <v>1458</v>
      </c>
      <c r="M583" s="2" t="s">
        <v>5390</v>
      </c>
      <c r="N583" s="2" t="s">
        <v>5391</v>
      </c>
      <c r="P583" s="2" t="s">
        <v>5392</v>
      </c>
      <c r="R583" s="2" t="s">
        <v>1506</v>
      </c>
      <c r="S583" s="2">
        <v>65.0</v>
      </c>
      <c r="AN583" s="2" t="s">
        <v>1368</v>
      </c>
    </row>
    <row r="584" ht="15.75" customHeight="1">
      <c r="A584" s="2" t="s">
        <v>5393</v>
      </c>
      <c r="B584" s="2" t="s">
        <v>1361</v>
      </c>
      <c r="C584" s="2">
        <v>2004.0</v>
      </c>
      <c r="D584" s="2" t="s">
        <v>5394</v>
      </c>
      <c r="E584" s="2" t="s">
        <v>5395</v>
      </c>
      <c r="F584" s="2" t="s">
        <v>1825</v>
      </c>
      <c r="H584" s="2" t="s">
        <v>5396</v>
      </c>
      <c r="I584" s="2" t="s">
        <v>5397</v>
      </c>
      <c r="K584" s="2" t="s">
        <v>5398</v>
      </c>
      <c r="L584" s="2" t="s">
        <v>2373</v>
      </c>
      <c r="M584" s="2" t="s">
        <v>5399</v>
      </c>
      <c r="N584" s="2" t="s">
        <v>5400</v>
      </c>
      <c r="P584" s="2" t="s">
        <v>5401</v>
      </c>
      <c r="R584" s="2" t="s">
        <v>1453</v>
      </c>
      <c r="S584" s="2">
        <v>86.0</v>
      </c>
      <c r="AN584" s="2" t="s">
        <v>1368</v>
      </c>
    </row>
    <row r="585" ht="15.75" customHeight="1">
      <c r="A585" s="2" t="s">
        <v>5402</v>
      </c>
      <c r="B585" s="2" t="s">
        <v>1361</v>
      </c>
      <c r="C585" s="2">
        <v>2012.0</v>
      </c>
      <c r="D585" s="2" t="s">
        <v>5403</v>
      </c>
      <c r="E585" s="2" t="s">
        <v>5404</v>
      </c>
      <c r="F585" s="2" t="s">
        <v>5405</v>
      </c>
      <c r="I585" s="2" t="s">
        <v>5406</v>
      </c>
      <c r="L585" s="2" t="s">
        <v>1405</v>
      </c>
      <c r="M585" s="2" t="s">
        <v>5407</v>
      </c>
      <c r="N585" s="2" t="s">
        <v>5408</v>
      </c>
      <c r="P585" s="2" t="s">
        <v>5409</v>
      </c>
      <c r="S585" s="2">
        <v>1.0</v>
      </c>
      <c r="AN585" s="2" t="s">
        <v>1368</v>
      </c>
    </row>
    <row r="586" ht="15.75" customHeight="1">
      <c r="A586" s="2" t="s">
        <v>5410</v>
      </c>
      <c r="B586" s="2" t="s">
        <v>1361</v>
      </c>
      <c r="C586" s="2">
        <v>2009.0</v>
      </c>
      <c r="D586" s="2" t="s">
        <v>5411</v>
      </c>
      <c r="E586" s="2" t="s">
        <v>5412</v>
      </c>
      <c r="L586" s="2" t="s">
        <v>1364</v>
      </c>
      <c r="M586" s="2" t="s">
        <v>5413</v>
      </c>
      <c r="N586" s="2" t="s">
        <v>5414</v>
      </c>
      <c r="AN586" s="2" t="s">
        <v>1368</v>
      </c>
    </row>
    <row r="587" ht="15.75" customHeight="1">
      <c r="A587" s="2" t="s">
        <v>5415</v>
      </c>
      <c r="B587" s="2" t="s">
        <v>1361</v>
      </c>
      <c r="C587" s="2">
        <v>2005.0</v>
      </c>
      <c r="D587" s="2" t="s">
        <v>5416</v>
      </c>
      <c r="E587" s="2" t="s">
        <v>5417</v>
      </c>
      <c r="F587" s="2" t="s">
        <v>5418</v>
      </c>
      <c r="I587" s="2" t="s">
        <v>5419</v>
      </c>
      <c r="L587" s="2" t="s">
        <v>1394</v>
      </c>
      <c r="M587" s="2" t="s">
        <v>5420</v>
      </c>
      <c r="N587" s="2" t="s">
        <v>5421</v>
      </c>
      <c r="P587" s="2" t="s">
        <v>5422</v>
      </c>
      <c r="R587" s="2" t="s">
        <v>5423</v>
      </c>
      <c r="S587" s="2">
        <v>125.0</v>
      </c>
      <c r="AN587" s="2" t="s">
        <v>1368</v>
      </c>
    </row>
    <row r="588" ht="15.75" customHeight="1">
      <c r="A588" s="2" t="s">
        <v>5424</v>
      </c>
      <c r="B588" s="2" t="s">
        <v>1361</v>
      </c>
      <c r="C588" s="2">
        <v>2017.0</v>
      </c>
      <c r="D588" s="2" t="s">
        <v>4843</v>
      </c>
      <c r="E588" s="2" t="s">
        <v>5425</v>
      </c>
      <c r="F588" s="2" t="s">
        <v>5426</v>
      </c>
      <c r="H588" s="2" t="s">
        <v>5427</v>
      </c>
      <c r="K588" s="2" t="s">
        <v>5428</v>
      </c>
      <c r="L588" s="2" t="s">
        <v>1658</v>
      </c>
      <c r="M588" s="2" t="s">
        <v>5429</v>
      </c>
      <c r="N588" s="2" t="s">
        <v>5430</v>
      </c>
      <c r="P588" s="2" t="s">
        <v>5431</v>
      </c>
      <c r="R588" s="2" t="s">
        <v>1462</v>
      </c>
      <c r="S588" s="2">
        <v>1.0</v>
      </c>
      <c r="AN588" s="2" t="s">
        <v>1368</v>
      </c>
    </row>
    <row r="589" ht="15.75" customHeight="1">
      <c r="A589" s="2" t="s">
        <v>5432</v>
      </c>
      <c r="B589" s="2" t="s">
        <v>1361</v>
      </c>
      <c r="C589" s="2">
        <v>1991.0</v>
      </c>
      <c r="D589" s="2" t="s">
        <v>5433</v>
      </c>
      <c r="E589" s="2" t="s">
        <v>5434</v>
      </c>
      <c r="F589" s="2" t="s">
        <v>1425</v>
      </c>
      <c r="I589" s="2" t="s">
        <v>5435</v>
      </c>
      <c r="K589" s="2" t="s">
        <v>5436</v>
      </c>
      <c r="L589" s="2" t="s">
        <v>2607</v>
      </c>
      <c r="M589" s="2" t="s">
        <v>5437</v>
      </c>
      <c r="N589" s="2" t="s">
        <v>5438</v>
      </c>
      <c r="P589" s="2" t="s">
        <v>5439</v>
      </c>
      <c r="R589" s="2" t="s">
        <v>1453</v>
      </c>
      <c r="S589" s="2">
        <v>20.0</v>
      </c>
      <c r="AN589" s="2" t="s">
        <v>1368</v>
      </c>
    </row>
    <row r="590" ht="15.75" customHeight="1">
      <c r="A590" s="2" t="s">
        <v>5440</v>
      </c>
      <c r="B590" s="2" t="s">
        <v>1361</v>
      </c>
      <c r="C590" s="2">
        <v>2010.0</v>
      </c>
      <c r="D590" s="2" t="s">
        <v>5441</v>
      </c>
      <c r="E590" s="2" t="s">
        <v>5442</v>
      </c>
      <c r="F590" s="2" t="s">
        <v>1688</v>
      </c>
      <c r="L590" s="2" t="s">
        <v>1449</v>
      </c>
      <c r="M590" s="2" t="s">
        <v>5443</v>
      </c>
      <c r="N590" s="2" t="s">
        <v>5444</v>
      </c>
      <c r="P590" s="2" t="s">
        <v>5445</v>
      </c>
      <c r="AN590" s="2" t="s">
        <v>1368</v>
      </c>
    </row>
    <row r="591" ht="15.75" customHeight="1">
      <c r="A591" s="2" t="s">
        <v>5446</v>
      </c>
      <c r="B591" s="2" t="s">
        <v>1361</v>
      </c>
      <c r="C591" s="2">
        <v>1999.0</v>
      </c>
      <c r="D591" s="2" t="s">
        <v>5447</v>
      </c>
      <c r="E591" s="2" t="s">
        <v>5448</v>
      </c>
      <c r="F591" s="2" t="s">
        <v>2665</v>
      </c>
      <c r="I591" s="2" t="s">
        <v>5449</v>
      </c>
      <c r="L591" s="2" t="s">
        <v>1434</v>
      </c>
      <c r="M591" s="2" t="s">
        <v>5450</v>
      </c>
      <c r="N591" s="2" t="s">
        <v>5451</v>
      </c>
      <c r="P591" s="2" t="s">
        <v>5452</v>
      </c>
      <c r="R591" s="2" t="s">
        <v>1506</v>
      </c>
      <c r="S591" s="2">
        <v>27.0</v>
      </c>
      <c r="AN591" s="2" t="s">
        <v>1368</v>
      </c>
    </row>
    <row r="592" ht="15.75" customHeight="1">
      <c r="A592" s="2" t="s">
        <v>5453</v>
      </c>
      <c r="B592" s="2" t="s">
        <v>1361</v>
      </c>
      <c r="C592" s="2">
        <v>2014.0</v>
      </c>
      <c r="D592" s="2" t="s">
        <v>5454</v>
      </c>
      <c r="E592" s="2" t="s">
        <v>5455</v>
      </c>
      <c r="F592" s="2" t="s">
        <v>3916</v>
      </c>
      <c r="I592" s="2" t="s">
        <v>5456</v>
      </c>
      <c r="L592" s="2" t="s">
        <v>1476</v>
      </c>
      <c r="M592" s="2" t="s">
        <v>5457</v>
      </c>
      <c r="N592" s="2" t="s">
        <v>5458</v>
      </c>
      <c r="P592" s="2" t="s">
        <v>5459</v>
      </c>
      <c r="R592" s="2" t="s">
        <v>5460</v>
      </c>
      <c r="S592" s="2">
        <v>3.0</v>
      </c>
      <c r="AN592" s="2" t="s">
        <v>1368</v>
      </c>
    </row>
    <row r="593" ht="15.75" customHeight="1">
      <c r="A593" s="2" t="s">
        <v>5461</v>
      </c>
      <c r="B593" s="2" t="s">
        <v>1361</v>
      </c>
      <c r="C593" s="2">
        <v>2001.0</v>
      </c>
      <c r="D593" s="2" t="s">
        <v>5447</v>
      </c>
      <c r="E593" s="2" t="s">
        <v>5462</v>
      </c>
      <c r="F593" s="2" t="s">
        <v>4086</v>
      </c>
      <c r="I593" s="2" t="s">
        <v>5463</v>
      </c>
      <c r="L593" s="2" t="s">
        <v>1414</v>
      </c>
      <c r="M593" s="2" t="s">
        <v>5464</v>
      </c>
      <c r="N593" s="2" t="s">
        <v>5465</v>
      </c>
      <c r="P593" s="2" t="s">
        <v>5466</v>
      </c>
      <c r="R593" s="2" t="s">
        <v>1453</v>
      </c>
      <c r="S593" s="2">
        <v>91.0</v>
      </c>
      <c r="AN593" s="2" t="s">
        <v>1368</v>
      </c>
    </row>
    <row r="594" ht="15.75" customHeight="1">
      <c r="A594" s="2" t="s">
        <v>5467</v>
      </c>
      <c r="B594" s="2" t="s">
        <v>1361</v>
      </c>
      <c r="C594" s="2">
        <v>1978.0</v>
      </c>
      <c r="D594" s="2" t="s">
        <v>5468</v>
      </c>
      <c r="E594" s="2" t="s">
        <v>5469</v>
      </c>
      <c r="F594" s="2" t="s">
        <v>5470</v>
      </c>
      <c r="I594" s="2" t="s">
        <v>5471</v>
      </c>
      <c r="L594" s="2" t="s">
        <v>5472</v>
      </c>
      <c r="M594" s="2" t="s">
        <v>5473</v>
      </c>
      <c r="N594" s="2" t="s">
        <v>5474</v>
      </c>
      <c r="P594" s="2" t="s">
        <v>5475</v>
      </c>
      <c r="R594" s="2" t="s">
        <v>1453</v>
      </c>
      <c r="S594" s="2">
        <v>45.0</v>
      </c>
      <c r="AN594" s="2" t="s">
        <v>1368</v>
      </c>
    </row>
    <row r="595" ht="15.75" customHeight="1">
      <c r="A595" s="2" t="s">
        <v>5476</v>
      </c>
      <c r="B595" s="2" t="s">
        <v>1361</v>
      </c>
      <c r="C595" s="2">
        <v>2009.0</v>
      </c>
      <c r="D595" s="2" t="s">
        <v>5477</v>
      </c>
      <c r="E595" s="2" t="s">
        <v>961</v>
      </c>
      <c r="F595" s="2" t="s">
        <v>1510</v>
      </c>
      <c r="H595" s="2" t="s">
        <v>1511</v>
      </c>
      <c r="I595" s="2" t="s">
        <v>963</v>
      </c>
      <c r="J595" s="2" t="s">
        <v>5478</v>
      </c>
      <c r="K595" s="2" t="s">
        <v>962</v>
      </c>
      <c r="L595" s="2" t="s">
        <v>5479</v>
      </c>
      <c r="M595" s="2" t="s">
        <v>1385</v>
      </c>
      <c r="N595" s="2" t="s">
        <v>1386</v>
      </c>
      <c r="P595" s="2" t="s">
        <v>5480</v>
      </c>
      <c r="R595" s="2" t="s">
        <v>5481</v>
      </c>
      <c r="S595" s="2">
        <v>325.0</v>
      </c>
      <c r="AN595" s="2" t="s">
        <v>3548</v>
      </c>
    </row>
    <row r="596" ht="15.75" customHeight="1">
      <c r="A596" s="2" t="s">
        <v>5482</v>
      </c>
      <c r="B596" s="2" t="s">
        <v>1361</v>
      </c>
      <c r="C596" s="2">
        <v>2016.0</v>
      </c>
      <c r="D596" s="2" t="s">
        <v>5483</v>
      </c>
      <c r="E596" s="2" t="s">
        <v>5484</v>
      </c>
      <c r="F596" s="2" t="s">
        <v>2480</v>
      </c>
      <c r="H596" s="2" t="s">
        <v>2481</v>
      </c>
      <c r="I596" s="2" t="s">
        <v>5485</v>
      </c>
      <c r="J596" s="2" t="s">
        <v>5486</v>
      </c>
      <c r="K596" s="2" t="s">
        <v>5487</v>
      </c>
      <c r="L596" s="2" t="s">
        <v>5488</v>
      </c>
      <c r="M596" s="2" t="s">
        <v>1385</v>
      </c>
      <c r="N596" s="2" t="s">
        <v>1386</v>
      </c>
      <c r="P596" s="2" t="s">
        <v>5489</v>
      </c>
      <c r="R596" s="2" t="s">
        <v>1462</v>
      </c>
      <c r="S596" s="2">
        <v>6.0</v>
      </c>
      <c r="AN596" s="2" t="s">
        <v>2244</v>
      </c>
    </row>
    <row r="597" ht="15.75" customHeight="1">
      <c r="A597" s="2" t="s">
        <v>5490</v>
      </c>
      <c r="B597" s="2" t="s">
        <v>1396</v>
      </c>
      <c r="C597" s="2">
        <v>1992.0</v>
      </c>
      <c r="D597" s="2" t="s">
        <v>5491</v>
      </c>
      <c r="E597" s="2" t="s">
        <v>5492</v>
      </c>
      <c r="G597" s="2" t="s">
        <v>5493</v>
      </c>
      <c r="J597" s="2" t="s">
        <v>5494</v>
      </c>
      <c r="L597" s="2" t="s">
        <v>3458</v>
      </c>
      <c r="M597" s="2" t="s">
        <v>1385</v>
      </c>
      <c r="N597" s="2" t="s">
        <v>1386</v>
      </c>
      <c r="Q597" s="2">
        <v>244.0</v>
      </c>
      <c r="AA597" s="2" t="s">
        <v>5495</v>
      </c>
      <c r="AN597" s="2" t="s">
        <v>5496</v>
      </c>
    </row>
    <row r="598" ht="15.75" customHeight="1">
      <c r="A598" s="2" t="s">
        <v>5497</v>
      </c>
      <c r="B598" s="2" t="s">
        <v>1396</v>
      </c>
      <c r="C598" s="2">
        <v>2016.0</v>
      </c>
      <c r="D598" s="2" t="s">
        <v>5498</v>
      </c>
      <c r="E598" s="2" t="s">
        <v>5499</v>
      </c>
      <c r="G598" s="2" t="s">
        <v>5500</v>
      </c>
      <c r="J598" s="2" t="s">
        <v>5501</v>
      </c>
      <c r="L598" s="2" t="s">
        <v>1502</v>
      </c>
      <c r="M598" s="2" t="s">
        <v>1385</v>
      </c>
      <c r="N598" s="2" t="s">
        <v>1386</v>
      </c>
      <c r="Q598" s="2">
        <v>144.0</v>
      </c>
      <c r="AA598" s="2" t="s">
        <v>5498</v>
      </c>
      <c r="AB598" s="2" t="s">
        <v>5502</v>
      </c>
      <c r="AN598" s="2" t="s">
        <v>5503</v>
      </c>
    </row>
    <row r="599" ht="15.75" customHeight="1">
      <c r="A599" s="2" t="s">
        <v>5504</v>
      </c>
      <c r="B599" s="2" t="s">
        <v>1623</v>
      </c>
      <c r="C599" s="2">
        <v>2018.0</v>
      </c>
      <c r="D599" s="2" t="s">
        <v>5505</v>
      </c>
      <c r="E599" s="2" t="s">
        <v>5506</v>
      </c>
      <c r="L599" s="2" t="s">
        <v>1420</v>
      </c>
      <c r="M599" s="2" t="s">
        <v>1385</v>
      </c>
      <c r="N599" s="2" t="s">
        <v>1386</v>
      </c>
      <c r="P599" s="2" t="s">
        <v>5507</v>
      </c>
      <c r="AA599" s="2" t="s">
        <v>5505</v>
      </c>
      <c r="AB599" s="2" t="s">
        <v>4883</v>
      </c>
      <c r="AN599" s="2" t="s">
        <v>2244</v>
      </c>
    </row>
    <row r="600" ht="15.75" customHeight="1">
      <c r="A600" s="2" t="s">
        <v>5508</v>
      </c>
      <c r="B600" s="2" t="s">
        <v>1623</v>
      </c>
      <c r="C600" s="2">
        <v>2012.0</v>
      </c>
      <c r="D600" s="2" t="s">
        <v>5509</v>
      </c>
      <c r="E600" s="2" t="s">
        <v>5510</v>
      </c>
      <c r="J600" s="2" t="s">
        <v>5511</v>
      </c>
      <c r="L600" s="2" t="s">
        <v>1405</v>
      </c>
      <c r="M600" s="2" t="s">
        <v>1385</v>
      </c>
      <c r="N600" s="2" t="s">
        <v>1386</v>
      </c>
      <c r="AB600" s="2" t="s">
        <v>2410</v>
      </c>
      <c r="AN600" s="2" t="s">
        <v>2169</v>
      </c>
    </row>
    <row r="601" ht="15.75" customHeight="1">
      <c r="A601" s="2" t="s">
        <v>5512</v>
      </c>
      <c r="B601" s="2" t="s">
        <v>1361</v>
      </c>
      <c r="C601" s="2">
        <v>2015.0</v>
      </c>
      <c r="D601" s="2" t="s">
        <v>5513</v>
      </c>
      <c r="E601" s="2" t="s">
        <v>5514</v>
      </c>
      <c r="F601" s="2" t="s">
        <v>2205</v>
      </c>
      <c r="H601" s="2" t="s">
        <v>2206</v>
      </c>
      <c r="I601" s="2" t="s">
        <v>5515</v>
      </c>
      <c r="K601" s="2" t="s">
        <v>5516</v>
      </c>
      <c r="L601" s="2" t="s">
        <v>1373</v>
      </c>
      <c r="M601" s="2" t="s">
        <v>1385</v>
      </c>
      <c r="N601" s="2" t="s">
        <v>1386</v>
      </c>
      <c r="P601" s="2" t="s">
        <v>5517</v>
      </c>
      <c r="R601" s="2" t="s">
        <v>1373</v>
      </c>
      <c r="S601" s="2">
        <v>61.0</v>
      </c>
      <c r="AN601" s="2" t="s">
        <v>2244</v>
      </c>
    </row>
    <row r="602" ht="15.75" customHeight="1">
      <c r="A602" s="2" t="s">
        <v>5518</v>
      </c>
      <c r="B602" s="2" t="s">
        <v>1396</v>
      </c>
      <c r="C602" s="2">
        <v>2018.0</v>
      </c>
      <c r="D602" s="2" t="s">
        <v>4843</v>
      </c>
      <c r="E602" s="2" t="s">
        <v>5519</v>
      </c>
      <c r="J602" s="2" t="s">
        <v>5520</v>
      </c>
      <c r="L602" s="2" t="s">
        <v>1420</v>
      </c>
      <c r="M602" s="2" t="s">
        <v>1385</v>
      </c>
      <c r="N602" s="2" t="s">
        <v>1386</v>
      </c>
      <c r="AN602" s="2" t="s">
        <v>1368</v>
      </c>
    </row>
    <row r="603" ht="15.75" customHeight="1">
      <c r="A603" s="2" t="s">
        <v>5521</v>
      </c>
      <c r="B603" s="2" t="s">
        <v>1396</v>
      </c>
      <c r="C603" s="2">
        <v>2018.0</v>
      </c>
      <c r="D603" s="2" t="s">
        <v>4843</v>
      </c>
      <c r="E603" s="2" t="s">
        <v>5522</v>
      </c>
      <c r="J603" s="2" t="s">
        <v>5523</v>
      </c>
      <c r="L603" s="2" t="s">
        <v>1420</v>
      </c>
      <c r="M603" s="2" t="s">
        <v>1385</v>
      </c>
      <c r="N603" s="2" t="s">
        <v>1386</v>
      </c>
      <c r="AN603" s="2" t="s">
        <v>1368</v>
      </c>
    </row>
    <row r="604" ht="15.75" customHeight="1">
      <c r="A604" s="2" t="s">
        <v>5524</v>
      </c>
      <c r="B604" s="2" t="s">
        <v>1396</v>
      </c>
      <c r="C604" s="2">
        <v>2017.0</v>
      </c>
      <c r="D604" s="2" t="s">
        <v>4843</v>
      </c>
      <c r="E604" s="2" t="s">
        <v>5525</v>
      </c>
      <c r="J604" s="2" t="s">
        <v>5526</v>
      </c>
      <c r="L604" s="2" t="s">
        <v>1658</v>
      </c>
      <c r="M604" s="2" t="s">
        <v>1385</v>
      </c>
      <c r="N604" s="2" t="s">
        <v>1386</v>
      </c>
      <c r="AN604" s="2" t="s">
        <v>1368</v>
      </c>
    </row>
    <row r="605" ht="15.75" customHeight="1">
      <c r="A605" s="2" t="s">
        <v>5527</v>
      </c>
      <c r="B605" s="2" t="s">
        <v>1396</v>
      </c>
      <c r="C605" s="2">
        <v>2018.0</v>
      </c>
      <c r="D605" s="2" t="s">
        <v>4843</v>
      </c>
      <c r="E605" s="2" t="s">
        <v>5528</v>
      </c>
      <c r="J605" s="2" t="s">
        <v>5529</v>
      </c>
      <c r="L605" s="2" t="s">
        <v>1420</v>
      </c>
      <c r="M605" s="2" t="s">
        <v>1385</v>
      </c>
      <c r="N605" s="2" t="s">
        <v>1386</v>
      </c>
      <c r="AN605" s="2" t="s">
        <v>1368</v>
      </c>
    </row>
    <row r="606" ht="15.75" customHeight="1">
      <c r="A606" s="2" t="s">
        <v>5530</v>
      </c>
      <c r="B606" s="2" t="s">
        <v>1396</v>
      </c>
      <c r="C606" s="2">
        <v>2017.0</v>
      </c>
      <c r="D606" s="2" t="s">
        <v>4843</v>
      </c>
      <c r="E606" s="2" t="s">
        <v>5531</v>
      </c>
      <c r="J606" s="2" t="s">
        <v>5532</v>
      </c>
      <c r="L606" s="2" t="s">
        <v>1658</v>
      </c>
      <c r="M606" s="2" t="s">
        <v>1385</v>
      </c>
      <c r="N606" s="2" t="s">
        <v>1386</v>
      </c>
      <c r="AN606" s="2" t="s">
        <v>1368</v>
      </c>
    </row>
    <row r="607" ht="15.75" customHeight="1">
      <c r="A607" s="2" t="s">
        <v>5533</v>
      </c>
      <c r="B607" s="2" t="s">
        <v>1623</v>
      </c>
      <c r="C607" s="2">
        <v>2015.0</v>
      </c>
      <c r="D607" s="2" t="s">
        <v>4843</v>
      </c>
      <c r="E607" s="2" t="s">
        <v>5534</v>
      </c>
      <c r="J607" s="2" t="s">
        <v>5535</v>
      </c>
      <c r="L607" s="2" t="s">
        <v>1373</v>
      </c>
      <c r="M607" s="2" t="s">
        <v>1385</v>
      </c>
      <c r="N607" s="2" t="s">
        <v>1386</v>
      </c>
      <c r="AN607" s="2" t="s">
        <v>1368</v>
      </c>
    </row>
    <row r="608" ht="15.75" customHeight="1">
      <c r="A608" s="2" t="s">
        <v>5536</v>
      </c>
      <c r="B608" s="2" t="s">
        <v>1396</v>
      </c>
      <c r="C608" s="2">
        <v>2018.0</v>
      </c>
      <c r="D608" s="2" t="s">
        <v>4843</v>
      </c>
      <c r="E608" s="2" t="s">
        <v>5537</v>
      </c>
      <c r="J608" s="2" t="s">
        <v>5538</v>
      </c>
      <c r="L608" s="2" t="s">
        <v>1420</v>
      </c>
      <c r="M608" s="2" t="s">
        <v>1385</v>
      </c>
      <c r="N608" s="2" t="s">
        <v>1386</v>
      </c>
      <c r="AN608" s="2" t="s">
        <v>1368</v>
      </c>
    </row>
    <row r="609" ht="15.75" customHeight="1">
      <c r="A609" s="2" t="s">
        <v>5539</v>
      </c>
      <c r="B609" s="2" t="s">
        <v>1396</v>
      </c>
      <c r="C609" s="2">
        <v>2018.0</v>
      </c>
      <c r="D609" s="2" t="s">
        <v>4843</v>
      </c>
      <c r="E609" s="2" t="s">
        <v>5540</v>
      </c>
      <c r="J609" s="2" t="s">
        <v>5541</v>
      </c>
      <c r="L609" s="2" t="s">
        <v>1420</v>
      </c>
      <c r="M609" s="2" t="s">
        <v>1385</v>
      </c>
      <c r="N609" s="2" t="s">
        <v>1386</v>
      </c>
      <c r="AN609" s="2" t="s">
        <v>1368</v>
      </c>
    </row>
    <row r="610" ht="15.75" customHeight="1">
      <c r="A610" s="2" t="s">
        <v>5542</v>
      </c>
      <c r="B610" s="2" t="s">
        <v>1396</v>
      </c>
      <c r="C610" s="2">
        <v>2018.0</v>
      </c>
      <c r="D610" s="2" t="s">
        <v>4843</v>
      </c>
      <c r="E610" s="2" t="s">
        <v>5543</v>
      </c>
      <c r="J610" s="2" t="s">
        <v>5544</v>
      </c>
      <c r="L610" s="2" t="s">
        <v>1420</v>
      </c>
      <c r="M610" s="2" t="s">
        <v>1385</v>
      </c>
      <c r="N610" s="2" t="s">
        <v>1386</v>
      </c>
      <c r="AN610" s="2" t="s">
        <v>1368</v>
      </c>
    </row>
    <row r="611" ht="15.75" customHeight="1">
      <c r="A611" s="2" t="s">
        <v>5545</v>
      </c>
      <c r="B611" s="2" t="s">
        <v>1396</v>
      </c>
      <c r="C611" s="2">
        <v>2017.0</v>
      </c>
      <c r="D611" s="2" t="s">
        <v>5505</v>
      </c>
      <c r="E611" s="2" t="s">
        <v>5546</v>
      </c>
      <c r="G611" s="2" t="s">
        <v>5547</v>
      </c>
      <c r="K611" s="2" t="s">
        <v>5548</v>
      </c>
      <c r="L611" s="2" t="s">
        <v>1658</v>
      </c>
      <c r="M611" s="2" t="s">
        <v>1385</v>
      </c>
      <c r="N611" s="2" t="s">
        <v>1386</v>
      </c>
      <c r="Q611" s="2">
        <v>103.0</v>
      </c>
      <c r="AN611" s="2" t="s">
        <v>1368</v>
      </c>
    </row>
    <row r="612" ht="15.75" customHeight="1">
      <c r="A612" s="2" t="s">
        <v>5549</v>
      </c>
      <c r="B612" s="2" t="s">
        <v>1623</v>
      </c>
      <c r="C612" s="2">
        <v>2010.0</v>
      </c>
      <c r="D612" s="2" t="s">
        <v>5550</v>
      </c>
      <c r="E612" s="2" t="s">
        <v>5551</v>
      </c>
      <c r="L612" s="2" t="s">
        <v>1449</v>
      </c>
      <c r="M612" s="2" t="s">
        <v>1385</v>
      </c>
      <c r="N612" s="2" t="s">
        <v>1386</v>
      </c>
      <c r="P612" s="2" t="s">
        <v>5552</v>
      </c>
      <c r="AN612" s="2" t="s">
        <v>1368</v>
      </c>
    </row>
    <row r="613" ht="15.75" customHeight="1">
      <c r="A613" s="2" t="s">
        <v>5553</v>
      </c>
      <c r="B613" s="2" t="s">
        <v>1361</v>
      </c>
      <c r="C613" s="2">
        <v>2017.0</v>
      </c>
      <c r="D613" s="2" t="s">
        <v>2487</v>
      </c>
      <c r="E613" s="2" t="s">
        <v>5554</v>
      </c>
      <c r="L613" s="2" t="s">
        <v>1658</v>
      </c>
      <c r="M613" s="2" t="s">
        <v>1385</v>
      </c>
      <c r="N613" s="2" t="s">
        <v>1386</v>
      </c>
      <c r="AN613" s="2" t="s">
        <v>1368</v>
      </c>
    </row>
    <row r="614" ht="15.75" customHeight="1">
      <c r="A614" s="2" t="s">
        <v>5555</v>
      </c>
      <c r="B614" s="2" t="s">
        <v>1361</v>
      </c>
      <c r="C614" s="2">
        <v>2012.0</v>
      </c>
      <c r="D614" s="2" t="s">
        <v>5556</v>
      </c>
      <c r="E614" s="2" t="s">
        <v>5557</v>
      </c>
      <c r="F614" s="2" t="s">
        <v>5558</v>
      </c>
      <c r="H614" s="2" t="s">
        <v>5559</v>
      </c>
      <c r="I614" s="2" t="s">
        <v>5560</v>
      </c>
      <c r="K614" s="2" t="s">
        <v>5561</v>
      </c>
      <c r="L614" s="2" t="s">
        <v>1405</v>
      </c>
      <c r="M614" s="2" t="s">
        <v>1385</v>
      </c>
      <c r="N614" s="2" t="s">
        <v>1386</v>
      </c>
      <c r="AN614" s="2" t="s">
        <v>1368</v>
      </c>
    </row>
    <row r="615" ht="15.75" customHeight="1">
      <c r="A615" s="2" t="s">
        <v>5562</v>
      </c>
      <c r="B615" s="2" t="s">
        <v>1766</v>
      </c>
      <c r="C615" s="2">
        <v>2009.0</v>
      </c>
      <c r="D615" s="2" t="s">
        <v>5563</v>
      </c>
      <c r="E615" s="2" t="s">
        <v>5564</v>
      </c>
      <c r="F615" s="2" t="s">
        <v>5565</v>
      </c>
      <c r="L615" s="2" t="s">
        <v>1364</v>
      </c>
      <c r="M615" s="2" t="s">
        <v>1385</v>
      </c>
      <c r="N615" s="2" t="s">
        <v>1386</v>
      </c>
      <c r="P615" s="2" t="s">
        <v>5566</v>
      </c>
      <c r="AA615" s="2" t="s">
        <v>2441</v>
      </c>
      <c r="AB615" s="2" t="s">
        <v>2146</v>
      </c>
      <c r="AN615" s="2" t="s">
        <v>1368</v>
      </c>
      <c r="AP615" s="2" t="s">
        <v>5567</v>
      </c>
    </row>
    <row r="616" ht="15.75" customHeight="1">
      <c r="A616" s="2" t="s">
        <v>5568</v>
      </c>
      <c r="B616" s="2" t="s">
        <v>1396</v>
      </c>
      <c r="C616" s="2">
        <v>1992.0</v>
      </c>
      <c r="D616" s="2" t="s">
        <v>5569</v>
      </c>
      <c r="E616" s="2" t="s">
        <v>5570</v>
      </c>
      <c r="L616" s="2" t="s">
        <v>3458</v>
      </c>
      <c r="M616" s="2" t="s">
        <v>1385</v>
      </c>
      <c r="N616" s="2" t="s">
        <v>1386</v>
      </c>
      <c r="AA616" s="2" t="s">
        <v>5571</v>
      </c>
      <c r="AN616" s="2" t="s">
        <v>1368</v>
      </c>
    </row>
    <row r="617" ht="15.75" customHeight="1">
      <c r="A617" s="2" t="s">
        <v>5572</v>
      </c>
      <c r="B617" s="2" t="s">
        <v>1361</v>
      </c>
      <c r="C617" s="2">
        <v>2009.0</v>
      </c>
      <c r="D617" s="2" t="s">
        <v>5573</v>
      </c>
      <c r="E617" s="2" t="s">
        <v>5574</v>
      </c>
      <c r="F617" s="2" t="s">
        <v>5575</v>
      </c>
      <c r="H617" s="2" t="s">
        <v>5576</v>
      </c>
      <c r="I617" s="2" t="s">
        <v>5577</v>
      </c>
      <c r="K617" s="2" t="s">
        <v>5578</v>
      </c>
      <c r="L617" s="2" t="s">
        <v>1364</v>
      </c>
      <c r="M617" s="2" t="s">
        <v>1385</v>
      </c>
      <c r="N617" s="2" t="s">
        <v>1386</v>
      </c>
      <c r="AN617" s="2" t="s">
        <v>1368</v>
      </c>
    </row>
    <row r="618" ht="15.75" customHeight="1">
      <c r="A618" s="2" t="s">
        <v>5579</v>
      </c>
      <c r="B618" s="2" t="s">
        <v>1361</v>
      </c>
      <c r="C618" s="2">
        <v>2009.0</v>
      </c>
      <c r="D618" s="2" t="s">
        <v>5580</v>
      </c>
      <c r="E618" s="2" t="s">
        <v>5581</v>
      </c>
      <c r="F618" s="2" t="s">
        <v>5582</v>
      </c>
      <c r="H618" s="2" t="s">
        <v>5583</v>
      </c>
      <c r="I618" s="2" t="s">
        <v>5584</v>
      </c>
      <c r="K618" s="2" t="s">
        <v>5585</v>
      </c>
      <c r="L618" s="2" t="s">
        <v>1364</v>
      </c>
      <c r="M618" s="2" t="s">
        <v>1385</v>
      </c>
      <c r="N618" s="2" t="s">
        <v>1386</v>
      </c>
      <c r="AN618" s="2" t="s">
        <v>1368</v>
      </c>
    </row>
    <row r="619" ht="15.75" customHeight="1">
      <c r="A619" s="2" t="s">
        <v>5586</v>
      </c>
      <c r="B619" s="2" t="s">
        <v>1361</v>
      </c>
      <c r="C619" s="2">
        <v>2017.0</v>
      </c>
      <c r="D619" s="2" t="s">
        <v>5587</v>
      </c>
      <c r="E619" s="2" t="s">
        <v>5588</v>
      </c>
      <c r="F619" s="2" t="s">
        <v>1688</v>
      </c>
      <c r="H619" s="2" t="s">
        <v>1689</v>
      </c>
      <c r="I619" s="2" t="s">
        <v>5589</v>
      </c>
      <c r="K619" s="2" t="s">
        <v>5590</v>
      </c>
      <c r="L619" s="2" t="s">
        <v>1709</v>
      </c>
      <c r="M619" s="2" t="s">
        <v>1385</v>
      </c>
      <c r="N619" s="2" t="s">
        <v>1386</v>
      </c>
      <c r="P619" s="2" t="s">
        <v>5591</v>
      </c>
      <c r="R619" s="2" t="s">
        <v>2637</v>
      </c>
      <c r="S619" s="2">
        <v>114.0</v>
      </c>
      <c r="AN619" s="2" t="s">
        <v>1368</v>
      </c>
    </row>
    <row r="620" ht="15.75" customHeight="1">
      <c r="A620" s="2" t="s">
        <v>5592</v>
      </c>
      <c r="B620" s="2" t="s">
        <v>1361</v>
      </c>
      <c r="C620" s="2">
        <v>2015.0</v>
      </c>
      <c r="D620" s="2" t="s">
        <v>5593</v>
      </c>
      <c r="E620" s="2" t="s">
        <v>5594</v>
      </c>
      <c r="F620" s="2" t="s">
        <v>5595</v>
      </c>
      <c r="H620" s="2" t="s">
        <v>5596</v>
      </c>
      <c r="I620" s="2" t="s">
        <v>5597</v>
      </c>
      <c r="K620" s="2" t="s">
        <v>5598</v>
      </c>
      <c r="L620" s="2" t="s">
        <v>5599</v>
      </c>
      <c r="M620" s="2" t="s">
        <v>1385</v>
      </c>
      <c r="N620" s="2" t="s">
        <v>1386</v>
      </c>
      <c r="P620" s="2" t="s">
        <v>5600</v>
      </c>
      <c r="S620" s="2">
        <v>14.0</v>
      </c>
      <c r="AN620" s="2" t="s">
        <v>1368</v>
      </c>
    </row>
    <row r="621" ht="15.75" customHeight="1">
      <c r="A621" s="2" t="s">
        <v>5601</v>
      </c>
      <c r="B621" s="2" t="s">
        <v>1396</v>
      </c>
      <c r="C621" s="2">
        <v>2003.0</v>
      </c>
      <c r="D621" s="2" t="s">
        <v>5602</v>
      </c>
      <c r="E621" s="2" t="s">
        <v>5603</v>
      </c>
      <c r="L621" s="2" t="s">
        <v>1606</v>
      </c>
      <c r="M621" s="2" t="s">
        <v>1385</v>
      </c>
      <c r="N621" s="2" t="s">
        <v>1386</v>
      </c>
      <c r="AA621" s="2" t="s">
        <v>5604</v>
      </c>
      <c r="AB621" s="2" t="s">
        <v>5605</v>
      </c>
      <c r="AN621" s="2" t="s">
        <v>1368</v>
      </c>
    </row>
    <row r="622" ht="15.75" customHeight="1">
      <c r="A622" s="2" t="s">
        <v>5606</v>
      </c>
      <c r="B622" s="2" t="s">
        <v>1361</v>
      </c>
      <c r="C622" s="2">
        <v>2015.0</v>
      </c>
      <c r="D622" s="2" t="s">
        <v>5607</v>
      </c>
      <c r="E622" s="2" t="s">
        <v>5608</v>
      </c>
      <c r="F622" s="2" t="s">
        <v>5609</v>
      </c>
      <c r="H622" s="2" t="s">
        <v>5610</v>
      </c>
      <c r="I622" s="2" t="s">
        <v>5611</v>
      </c>
      <c r="J622" s="2" t="s">
        <v>5612</v>
      </c>
      <c r="K622" s="2" t="s">
        <v>5613</v>
      </c>
      <c r="L622" s="2" t="s">
        <v>5599</v>
      </c>
      <c r="M622" s="2" t="s">
        <v>1385</v>
      </c>
      <c r="N622" s="2" t="s">
        <v>1386</v>
      </c>
      <c r="P622" s="2" t="s">
        <v>5614</v>
      </c>
      <c r="R622" s="2" t="s">
        <v>2271</v>
      </c>
      <c r="S622" s="2">
        <v>15.0</v>
      </c>
      <c r="AN622" s="2" t="s">
        <v>1368</v>
      </c>
    </row>
    <row r="623" ht="15.75" customHeight="1">
      <c r="A623" s="2" t="s">
        <v>5615</v>
      </c>
      <c r="B623" s="2" t="s">
        <v>1361</v>
      </c>
      <c r="C623" s="2">
        <v>2017.0</v>
      </c>
      <c r="D623" s="2" t="s">
        <v>5616</v>
      </c>
      <c r="E623" s="2" t="s">
        <v>5617</v>
      </c>
      <c r="F623" s="2" t="s">
        <v>1380</v>
      </c>
      <c r="H623" s="2" t="s">
        <v>1381</v>
      </c>
      <c r="I623" s="2" t="s">
        <v>5618</v>
      </c>
      <c r="L623" s="2" t="s">
        <v>5619</v>
      </c>
      <c r="M623" s="2" t="s">
        <v>1385</v>
      </c>
      <c r="N623" s="2" t="s">
        <v>1386</v>
      </c>
      <c r="P623" s="2" t="s">
        <v>5620</v>
      </c>
      <c r="R623" s="2" t="s">
        <v>5621</v>
      </c>
      <c r="S623" s="2">
        <v>543.0</v>
      </c>
      <c r="AN623" s="2" t="s">
        <v>1368</v>
      </c>
    </row>
    <row r="624" ht="15.75" customHeight="1">
      <c r="A624" s="2" t="s">
        <v>5622</v>
      </c>
      <c r="B624" s="2" t="s">
        <v>1766</v>
      </c>
      <c r="C624" s="2">
        <v>2010.0</v>
      </c>
      <c r="D624" s="2" t="s">
        <v>5623</v>
      </c>
      <c r="E624" s="2" t="s">
        <v>5624</v>
      </c>
      <c r="F624" s="2" t="s">
        <v>5625</v>
      </c>
      <c r="L624" s="2" t="s">
        <v>1449</v>
      </c>
      <c r="M624" s="2" t="s">
        <v>1385</v>
      </c>
      <c r="N624" s="2" t="s">
        <v>1386</v>
      </c>
      <c r="AA624" s="2" t="s">
        <v>5626</v>
      </c>
      <c r="AB624" s="2" t="s">
        <v>5627</v>
      </c>
      <c r="AN624" s="2" t="s">
        <v>1368</v>
      </c>
      <c r="AP624" s="2" t="s">
        <v>5628</v>
      </c>
    </row>
    <row r="625" ht="15.75" customHeight="1">
      <c r="A625" s="2" t="s">
        <v>5629</v>
      </c>
      <c r="B625" s="2" t="s">
        <v>1361</v>
      </c>
      <c r="C625" s="2">
        <v>2015.0</v>
      </c>
      <c r="D625" s="2" t="s">
        <v>5630</v>
      </c>
      <c r="E625" s="2" t="s">
        <v>5631</v>
      </c>
      <c r="J625" s="2" t="s">
        <v>5632</v>
      </c>
      <c r="L625" s="2" t="s">
        <v>1373</v>
      </c>
      <c r="M625" s="2" t="s">
        <v>1385</v>
      </c>
      <c r="N625" s="2" t="s">
        <v>1386</v>
      </c>
      <c r="R625" s="2" t="s">
        <v>5633</v>
      </c>
      <c r="AN625" s="2" t="s">
        <v>1368</v>
      </c>
    </row>
    <row r="626" ht="15.75" customHeight="1">
      <c r="A626" s="2" t="s">
        <v>5634</v>
      </c>
      <c r="B626" s="2" t="s">
        <v>1396</v>
      </c>
      <c r="C626" s="2">
        <v>2000.0</v>
      </c>
      <c r="D626" s="2" t="s">
        <v>2487</v>
      </c>
      <c r="E626" s="2" t="s">
        <v>5635</v>
      </c>
      <c r="L626" s="2" t="s">
        <v>2429</v>
      </c>
      <c r="M626" s="2" t="s">
        <v>1385</v>
      </c>
      <c r="N626" s="2" t="s">
        <v>1386</v>
      </c>
      <c r="AA626" s="2" t="s">
        <v>5636</v>
      </c>
      <c r="AN626" s="2" t="s">
        <v>1368</v>
      </c>
    </row>
    <row r="627" ht="15.75" customHeight="1">
      <c r="A627" s="2" t="s">
        <v>5637</v>
      </c>
      <c r="B627" s="2" t="s">
        <v>1361</v>
      </c>
      <c r="C627" s="2">
        <v>2014.0</v>
      </c>
      <c r="D627" s="2" t="s">
        <v>5638</v>
      </c>
      <c r="E627" s="2" t="s">
        <v>5639</v>
      </c>
      <c r="J627" s="2" t="s">
        <v>5640</v>
      </c>
      <c r="L627" s="2" t="s">
        <v>1476</v>
      </c>
      <c r="M627" s="2" t="s">
        <v>1385</v>
      </c>
      <c r="N627" s="2" t="s">
        <v>1386</v>
      </c>
      <c r="AN627" s="2" t="s">
        <v>1368</v>
      </c>
    </row>
    <row r="628" ht="15.75" customHeight="1">
      <c r="A628" s="2" t="s">
        <v>5641</v>
      </c>
      <c r="B628" s="2" t="s">
        <v>1361</v>
      </c>
      <c r="C628" s="2">
        <v>2017.0</v>
      </c>
      <c r="D628" s="2" t="s">
        <v>5630</v>
      </c>
      <c r="E628" s="2" t="s">
        <v>5639</v>
      </c>
      <c r="L628" s="2" t="s">
        <v>1658</v>
      </c>
      <c r="M628" s="2" t="s">
        <v>1385</v>
      </c>
      <c r="N628" s="2" t="s">
        <v>1386</v>
      </c>
      <c r="AN628" s="2" t="s">
        <v>1368</v>
      </c>
    </row>
    <row r="629" ht="15.75" customHeight="1">
      <c r="A629" s="2" t="s">
        <v>5642</v>
      </c>
      <c r="B629" s="2" t="s">
        <v>1361</v>
      </c>
      <c r="C629" s="2">
        <v>2007.0</v>
      </c>
      <c r="D629" s="2" t="s">
        <v>5643</v>
      </c>
      <c r="E629" s="2" t="s">
        <v>5644</v>
      </c>
      <c r="F629" s="2" t="s">
        <v>5645</v>
      </c>
      <c r="I629" s="2" t="s">
        <v>5646</v>
      </c>
      <c r="L629" s="2" t="s">
        <v>2380</v>
      </c>
      <c r="M629" s="2" t="s">
        <v>5647</v>
      </c>
      <c r="N629" s="2" t="s">
        <v>5648</v>
      </c>
      <c r="P629" s="2" t="s">
        <v>5649</v>
      </c>
      <c r="R629" s="2" t="s">
        <v>5423</v>
      </c>
      <c r="S629" s="2" t="s">
        <v>3136</v>
      </c>
      <c r="AN629" s="2" t="s">
        <v>1368</v>
      </c>
    </row>
    <row r="630" ht="15.75" customHeight="1">
      <c r="A630" s="2" t="s">
        <v>5650</v>
      </c>
      <c r="B630" s="2" t="s">
        <v>1361</v>
      </c>
      <c r="C630" s="2">
        <v>2000.0</v>
      </c>
      <c r="D630" s="2" t="s">
        <v>5651</v>
      </c>
      <c r="E630" s="2" t="s">
        <v>5652</v>
      </c>
      <c r="F630" s="2" t="s">
        <v>5653</v>
      </c>
      <c r="L630" s="2" t="s">
        <v>2429</v>
      </c>
      <c r="M630" s="2" t="s">
        <v>5654</v>
      </c>
      <c r="N630" s="2" t="s">
        <v>5655</v>
      </c>
      <c r="P630" s="2" t="s">
        <v>5656</v>
      </c>
      <c r="R630" s="2" t="s">
        <v>1462</v>
      </c>
      <c r="S630" s="2" t="s">
        <v>5657</v>
      </c>
      <c r="AN630" s="2" t="s">
        <v>1368</v>
      </c>
    </row>
    <row r="631" ht="15.75" customHeight="1">
      <c r="A631" s="2" t="s">
        <v>5658</v>
      </c>
      <c r="B631" s="2" t="s">
        <v>1361</v>
      </c>
      <c r="C631" s="2">
        <v>1991.0</v>
      </c>
      <c r="D631" s="2" t="s">
        <v>5659</v>
      </c>
      <c r="E631" s="2" t="s">
        <v>5660</v>
      </c>
      <c r="L631" s="2" t="s">
        <v>2607</v>
      </c>
      <c r="M631" s="2" t="s">
        <v>5661</v>
      </c>
      <c r="N631" s="2" t="s">
        <v>5662</v>
      </c>
      <c r="AN631" s="2" t="s">
        <v>1368</v>
      </c>
    </row>
    <row r="632" ht="15.75" customHeight="1">
      <c r="A632" s="2" t="s">
        <v>5663</v>
      </c>
      <c r="B632" s="2" t="s">
        <v>1361</v>
      </c>
      <c r="C632" s="2">
        <v>1989.0</v>
      </c>
      <c r="D632" s="2" t="s">
        <v>5664</v>
      </c>
      <c r="E632" s="2" t="s">
        <v>5665</v>
      </c>
      <c r="F632" s="2" t="s">
        <v>5666</v>
      </c>
      <c r="H632" s="2" t="s">
        <v>5667</v>
      </c>
      <c r="I632" s="2" t="s">
        <v>5668</v>
      </c>
      <c r="K632" s="2" t="s">
        <v>5669</v>
      </c>
      <c r="L632" s="2" t="s">
        <v>2701</v>
      </c>
      <c r="M632" s="2" t="s">
        <v>5670</v>
      </c>
      <c r="N632" s="2" t="s">
        <v>5671</v>
      </c>
      <c r="AN632" s="2" t="s">
        <v>1368</v>
      </c>
    </row>
    <row r="633" ht="15.75" customHeight="1">
      <c r="A633" s="2" t="s">
        <v>5672</v>
      </c>
      <c r="B633" s="2" t="s">
        <v>1361</v>
      </c>
      <c r="C633" s="2">
        <v>2004.0</v>
      </c>
      <c r="D633" s="2" t="s">
        <v>5673</v>
      </c>
      <c r="E633" s="2" t="s">
        <v>5674</v>
      </c>
      <c r="F633" s="2" t="s">
        <v>1825</v>
      </c>
      <c r="I633" s="2" t="s">
        <v>5675</v>
      </c>
      <c r="K633" s="2" t="s">
        <v>5676</v>
      </c>
      <c r="L633" s="2" t="s">
        <v>2373</v>
      </c>
      <c r="M633" s="2" t="s">
        <v>5677</v>
      </c>
      <c r="N633" s="2" t="s">
        <v>5678</v>
      </c>
      <c r="P633" s="2" t="s">
        <v>5679</v>
      </c>
      <c r="R633" s="2" t="s">
        <v>1480</v>
      </c>
      <c r="S633" s="2" t="s">
        <v>5680</v>
      </c>
      <c r="AN633" s="2" t="s">
        <v>1368</v>
      </c>
    </row>
    <row r="634" ht="15.75" customHeight="1">
      <c r="A634" s="2" t="s">
        <v>5681</v>
      </c>
      <c r="B634" s="2" t="s">
        <v>1361</v>
      </c>
      <c r="C634" s="2">
        <v>2006.0</v>
      </c>
      <c r="D634" s="2" t="s">
        <v>5682</v>
      </c>
      <c r="E634" s="2" t="s">
        <v>5683</v>
      </c>
      <c r="F634" s="2" t="s">
        <v>5684</v>
      </c>
      <c r="L634" s="2" t="s">
        <v>1727</v>
      </c>
      <c r="M634" s="2" t="s">
        <v>5685</v>
      </c>
      <c r="N634" s="2" t="s">
        <v>5686</v>
      </c>
      <c r="P634" s="2" t="s">
        <v>5687</v>
      </c>
      <c r="AN634" s="2" t="s">
        <v>1368</v>
      </c>
    </row>
    <row r="635" ht="15.75" customHeight="1">
      <c r="A635" s="2" t="s">
        <v>5688</v>
      </c>
      <c r="B635" s="2" t="s">
        <v>1361</v>
      </c>
      <c r="C635" s="2">
        <v>1999.0</v>
      </c>
      <c r="D635" s="2" t="s">
        <v>5689</v>
      </c>
      <c r="E635" s="2" t="s">
        <v>5690</v>
      </c>
      <c r="F635" s="2" t="s">
        <v>1425</v>
      </c>
      <c r="I635" s="2" t="s">
        <v>5691</v>
      </c>
      <c r="L635" s="2" t="s">
        <v>1434</v>
      </c>
      <c r="M635" s="2" t="s">
        <v>3961</v>
      </c>
      <c r="N635" s="2" t="s">
        <v>3962</v>
      </c>
      <c r="P635" s="2" t="s">
        <v>5692</v>
      </c>
      <c r="S635" s="2" t="s">
        <v>3417</v>
      </c>
      <c r="AN635" s="2" t="s">
        <v>1368</v>
      </c>
    </row>
    <row r="636" ht="15.75" customHeight="1">
      <c r="A636" s="2" t="s">
        <v>5693</v>
      </c>
      <c r="B636" s="2" t="s">
        <v>2615</v>
      </c>
      <c r="C636" s="2">
        <v>1998.0</v>
      </c>
      <c r="D636" s="2" t="s">
        <v>5694</v>
      </c>
      <c r="E636" s="2" t="s">
        <v>5695</v>
      </c>
      <c r="F636" s="2" t="s">
        <v>5696</v>
      </c>
      <c r="L636" s="2" t="s">
        <v>1958</v>
      </c>
      <c r="M636" s="2" t="s">
        <v>5697</v>
      </c>
      <c r="N636" s="2" t="s">
        <v>5698</v>
      </c>
      <c r="AN636" s="2" t="s">
        <v>1368</v>
      </c>
    </row>
    <row r="637" ht="15.75" customHeight="1">
      <c r="A637" s="2" t="s">
        <v>5699</v>
      </c>
      <c r="B637" s="2" t="s">
        <v>1361</v>
      </c>
      <c r="C637" s="2">
        <v>2005.0</v>
      </c>
      <c r="D637" s="2" t="s">
        <v>5700</v>
      </c>
      <c r="E637" s="2" t="s">
        <v>5701</v>
      </c>
      <c r="F637" s="2" t="s">
        <v>5702</v>
      </c>
      <c r="I637" s="2" t="s">
        <v>5703</v>
      </c>
      <c r="L637" s="2" t="s">
        <v>1394</v>
      </c>
      <c r="M637" s="2" t="s">
        <v>5704</v>
      </c>
      <c r="N637" s="2" t="s">
        <v>5705</v>
      </c>
      <c r="P637" s="2" t="s">
        <v>5706</v>
      </c>
      <c r="R637" s="2" t="s">
        <v>1506</v>
      </c>
      <c r="S637" s="2" t="s">
        <v>2637</v>
      </c>
      <c r="AN637" s="2" t="s">
        <v>1368</v>
      </c>
    </row>
    <row r="638" ht="15.75" customHeight="1">
      <c r="A638" s="2" t="s">
        <v>5707</v>
      </c>
      <c r="B638" s="2" t="s">
        <v>1361</v>
      </c>
      <c r="C638" s="2">
        <v>2012.0</v>
      </c>
      <c r="D638" s="2" t="s">
        <v>5708</v>
      </c>
      <c r="E638" s="2" t="s">
        <v>5709</v>
      </c>
      <c r="F638" s="2" t="s">
        <v>5710</v>
      </c>
      <c r="I638" s="2" t="s">
        <v>5711</v>
      </c>
      <c r="L638" s="2" t="s">
        <v>1405</v>
      </c>
      <c r="M638" s="2" t="s">
        <v>5712</v>
      </c>
      <c r="N638" s="2" t="s">
        <v>5713</v>
      </c>
      <c r="P638" s="2" t="s">
        <v>5714</v>
      </c>
      <c r="S638" s="2" t="s">
        <v>5715</v>
      </c>
      <c r="AN638" s="2" t="s">
        <v>1368</v>
      </c>
    </row>
    <row r="639" ht="15.75" customHeight="1">
      <c r="A639" s="2" t="s">
        <v>5716</v>
      </c>
      <c r="B639" s="2" t="s">
        <v>1361</v>
      </c>
      <c r="C639" s="2">
        <v>1989.0</v>
      </c>
      <c r="D639" s="2" t="s">
        <v>5717</v>
      </c>
      <c r="E639" s="2" t="s">
        <v>5718</v>
      </c>
      <c r="F639" s="2" t="s">
        <v>4679</v>
      </c>
      <c r="L639" s="2" t="s">
        <v>2701</v>
      </c>
      <c r="M639" s="2" t="s">
        <v>5719</v>
      </c>
      <c r="N639" s="2" t="s">
        <v>5720</v>
      </c>
      <c r="P639" s="2" t="s">
        <v>5721</v>
      </c>
      <c r="R639" s="2" t="s">
        <v>1462</v>
      </c>
      <c r="S639" s="2" t="s">
        <v>1453</v>
      </c>
      <c r="AN639" s="2" t="s">
        <v>1368</v>
      </c>
    </row>
    <row r="640" ht="15.75" customHeight="1">
      <c r="A640" s="2" t="s">
        <v>5722</v>
      </c>
      <c r="B640" s="2" t="s">
        <v>1361</v>
      </c>
      <c r="C640" s="2">
        <v>2017.0</v>
      </c>
      <c r="D640" s="2" t="s">
        <v>5723</v>
      </c>
      <c r="E640" s="2" t="s">
        <v>5724</v>
      </c>
      <c r="F640" s="2" t="s">
        <v>3689</v>
      </c>
      <c r="I640" s="2" t="s">
        <v>5725</v>
      </c>
      <c r="L640" s="2" t="s">
        <v>1658</v>
      </c>
      <c r="M640" s="2" t="s">
        <v>5726</v>
      </c>
      <c r="N640" s="2" t="s">
        <v>5727</v>
      </c>
      <c r="P640" s="2" t="s">
        <v>5728</v>
      </c>
      <c r="S640" s="2" t="s">
        <v>2237</v>
      </c>
      <c r="AN640" s="2" t="s">
        <v>1368</v>
      </c>
    </row>
    <row r="641" ht="15.75" customHeight="1">
      <c r="A641" s="2" t="s">
        <v>5729</v>
      </c>
      <c r="B641" s="2" t="s">
        <v>1361</v>
      </c>
      <c r="C641" s="2">
        <v>2007.0</v>
      </c>
      <c r="D641" s="2" t="s">
        <v>5730</v>
      </c>
      <c r="E641" s="2" t="s">
        <v>5731</v>
      </c>
      <c r="F641" s="2" t="s">
        <v>5732</v>
      </c>
      <c r="I641" s="2" t="s">
        <v>5733</v>
      </c>
      <c r="L641" s="2" t="s">
        <v>2380</v>
      </c>
      <c r="M641" s="2" t="s">
        <v>5734</v>
      </c>
      <c r="N641" s="2" t="s">
        <v>5735</v>
      </c>
      <c r="P641" s="2" t="s">
        <v>5736</v>
      </c>
      <c r="R641" s="2" t="s">
        <v>1462</v>
      </c>
      <c r="S641" s="2" t="s">
        <v>5737</v>
      </c>
      <c r="AN641" s="2" t="s">
        <v>1368</v>
      </c>
    </row>
    <row r="642" ht="15.75" customHeight="1">
      <c r="A642" s="2" t="s">
        <v>5738</v>
      </c>
      <c r="B642" s="2" t="s">
        <v>1361</v>
      </c>
      <c r="C642" s="2">
        <v>1995.0</v>
      </c>
      <c r="D642" s="2" t="s">
        <v>5739</v>
      </c>
      <c r="E642" s="2" t="s">
        <v>5740</v>
      </c>
      <c r="F642" s="2" t="s">
        <v>5741</v>
      </c>
      <c r="I642" s="2" t="s">
        <v>5742</v>
      </c>
      <c r="L642" s="2" t="s">
        <v>2089</v>
      </c>
      <c r="M642" s="2" t="s">
        <v>5743</v>
      </c>
      <c r="N642" s="2" t="s">
        <v>5744</v>
      </c>
      <c r="P642" s="2" t="s">
        <v>5745</v>
      </c>
      <c r="R642" s="2" t="s">
        <v>1600</v>
      </c>
      <c r="S642" s="2" t="s">
        <v>3306</v>
      </c>
      <c r="AN642" s="2" t="s">
        <v>1368</v>
      </c>
    </row>
    <row r="643" ht="15.75" customHeight="1">
      <c r="A643" s="2" t="s">
        <v>5746</v>
      </c>
      <c r="B643" s="2" t="s">
        <v>1361</v>
      </c>
      <c r="C643" s="2">
        <v>2009.0</v>
      </c>
      <c r="D643" s="2" t="s">
        <v>5747</v>
      </c>
      <c r="E643" s="2" t="s">
        <v>5748</v>
      </c>
      <c r="F643" s="2" t="s">
        <v>5749</v>
      </c>
      <c r="L643" s="2" t="s">
        <v>1364</v>
      </c>
      <c r="M643" s="2" t="s">
        <v>5750</v>
      </c>
      <c r="N643" s="2" t="s">
        <v>5751</v>
      </c>
      <c r="R643" s="2" t="s">
        <v>1453</v>
      </c>
      <c r="S643" s="2" t="s">
        <v>2237</v>
      </c>
      <c r="AN643" s="2" t="s">
        <v>1368</v>
      </c>
    </row>
    <row r="644" ht="15.75" customHeight="1">
      <c r="A644" s="2" t="s">
        <v>5752</v>
      </c>
      <c r="B644" s="2" t="s">
        <v>1361</v>
      </c>
      <c r="C644" s="2">
        <v>2007.0</v>
      </c>
      <c r="D644" s="2" t="s">
        <v>5753</v>
      </c>
      <c r="E644" s="2" t="s">
        <v>5754</v>
      </c>
      <c r="F644" s="2" t="s">
        <v>5755</v>
      </c>
      <c r="L644" s="2" t="s">
        <v>2380</v>
      </c>
      <c r="M644" s="2" t="s">
        <v>5756</v>
      </c>
      <c r="N644" s="2" t="s">
        <v>5757</v>
      </c>
      <c r="AN644" s="2" t="s">
        <v>1368</v>
      </c>
    </row>
    <row r="645" ht="15.75" customHeight="1">
      <c r="A645" s="2" t="s">
        <v>5758</v>
      </c>
      <c r="B645" s="2" t="s">
        <v>1361</v>
      </c>
      <c r="C645" s="2">
        <v>1991.0</v>
      </c>
      <c r="D645" s="2" t="s">
        <v>5759</v>
      </c>
      <c r="E645" s="2" t="s">
        <v>5760</v>
      </c>
      <c r="F645" s="2" t="s">
        <v>5761</v>
      </c>
      <c r="I645" s="2" t="s">
        <v>5762</v>
      </c>
      <c r="L645" s="2" t="s">
        <v>2607</v>
      </c>
      <c r="M645" s="2" t="s">
        <v>5763</v>
      </c>
      <c r="N645" s="2" t="s">
        <v>5764</v>
      </c>
      <c r="P645" s="2" t="s">
        <v>5765</v>
      </c>
      <c r="R645" s="2" t="s">
        <v>1462</v>
      </c>
      <c r="S645" s="2" t="s">
        <v>1937</v>
      </c>
      <c r="AN645" s="2" t="s">
        <v>1368</v>
      </c>
    </row>
    <row r="646" ht="15.75" customHeight="1">
      <c r="A646" s="2" t="s">
        <v>5766</v>
      </c>
      <c r="B646" s="2" t="s">
        <v>1361</v>
      </c>
      <c r="C646" s="2">
        <v>1991.0</v>
      </c>
      <c r="D646" s="2" t="s">
        <v>5767</v>
      </c>
      <c r="E646" s="2" t="s">
        <v>5768</v>
      </c>
      <c r="F646" s="2" t="s">
        <v>5769</v>
      </c>
      <c r="H646" s="2" t="s">
        <v>5770</v>
      </c>
      <c r="I646" s="2" t="s">
        <v>5771</v>
      </c>
      <c r="K646" s="2" t="s">
        <v>5772</v>
      </c>
      <c r="L646" s="2" t="s">
        <v>2607</v>
      </c>
      <c r="M646" s="2" t="s">
        <v>5773</v>
      </c>
      <c r="N646" s="2" t="s">
        <v>5774</v>
      </c>
      <c r="P646" s="2" t="s">
        <v>5775</v>
      </c>
      <c r="S646" s="2" t="s">
        <v>1480</v>
      </c>
      <c r="AN646" s="2" t="s">
        <v>1368</v>
      </c>
    </row>
    <row r="647" ht="15.75" customHeight="1">
      <c r="A647" s="2" t="s">
        <v>5776</v>
      </c>
      <c r="B647" s="2" t="s">
        <v>1361</v>
      </c>
      <c r="C647" s="2">
        <v>2014.0</v>
      </c>
      <c r="D647" s="2" t="s">
        <v>5777</v>
      </c>
      <c r="E647" s="2" t="s">
        <v>5778</v>
      </c>
      <c r="F647" s="2" t="s">
        <v>3916</v>
      </c>
      <c r="I647" s="2" t="s">
        <v>5779</v>
      </c>
      <c r="L647" s="2" t="s">
        <v>1476</v>
      </c>
      <c r="M647" s="2" t="s">
        <v>5780</v>
      </c>
      <c r="N647" s="2" t="s">
        <v>5781</v>
      </c>
      <c r="P647" s="2" t="s">
        <v>5782</v>
      </c>
      <c r="R647" s="2" t="s">
        <v>5460</v>
      </c>
      <c r="S647" s="2" t="s">
        <v>1600</v>
      </c>
      <c r="AN647" s="2" t="s">
        <v>1368</v>
      </c>
    </row>
    <row r="648" ht="15.75" customHeight="1">
      <c r="A648" s="2" t="s">
        <v>5783</v>
      </c>
      <c r="B648" s="2" t="s">
        <v>2615</v>
      </c>
      <c r="C648" s="2">
        <v>2006.0</v>
      </c>
      <c r="D648" s="2" t="s">
        <v>5784</v>
      </c>
      <c r="E648" s="2" t="s">
        <v>5785</v>
      </c>
      <c r="F648" s="2" t="s">
        <v>5786</v>
      </c>
      <c r="L648" s="2" t="s">
        <v>1727</v>
      </c>
      <c r="M648" s="2" t="s">
        <v>5787</v>
      </c>
      <c r="N648" s="2" t="s">
        <v>5788</v>
      </c>
      <c r="AN648" s="2" t="s">
        <v>1368</v>
      </c>
    </row>
    <row r="649" ht="15.75" customHeight="1">
      <c r="A649" s="2" t="s">
        <v>5789</v>
      </c>
      <c r="B649" s="2" t="s">
        <v>1361</v>
      </c>
      <c r="C649" s="2">
        <v>2008.0</v>
      </c>
      <c r="D649" s="2" t="s">
        <v>5790</v>
      </c>
      <c r="E649" s="2" t="s">
        <v>5791</v>
      </c>
      <c r="F649" s="2" t="s">
        <v>5792</v>
      </c>
      <c r="L649" s="2" t="s">
        <v>1458</v>
      </c>
      <c r="M649" s="2" t="s">
        <v>5793</v>
      </c>
      <c r="N649" s="2" t="s">
        <v>5794</v>
      </c>
      <c r="P649" s="2" t="s">
        <v>5795</v>
      </c>
      <c r="S649" s="2" t="s">
        <v>2237</v>
      </c>
      <c r="AN649" s="2" t="s">
        <v>1368</v>
      </c>
    </row>
    <row r="650" ht="15.75" customHeight="1">
      <c r="A650" s="2" t="s">
        <v>5796</v>
      </c>
      <c r="B650" s="2" t="s">
        <v>1361</v>
      </c>
      <c r="C650" s="2">
        <v>1995.0</v>
      </c>
      <c r="D650" s="2" t="s">
        <v>5797</v>
      </c>
      <c r="E650" s="2" t="s">
        <v>5798</v>
      </c>
      <c r="F650" s="2" t="s">
        <v>5799</v>
      </c>
      <c r="I650" s="2" t="s">
        <v>5800</v>
      </c>
      <c r="L650" s="2" t="s">
        <v>2089</v>
      </c>
      <c r="M650" s="2" t="s">
        <v>5801</v>
      </c>
      <c r="N650" s="2" t="s">
        <v>5802</v>
      </c>
      <c r="P650" s="2" t="s">
        <v>4119</v>
      </c>
      <c r="R650" s="2" t="s">
        <v>1600</v>
      </c>
      <c r="S650" s="2" t="s">
        <v>1937</v>
      </c>
      <c r="AN650" s="2" t="s">
        <v>1368</v>
      </c>
    </row>
    <row r="651" ht="15.75" customHeight="1">
      <c r="A651" s="2" t="s">
        <v>5803</v>
      </c>
      <c r="B651" s="2" t="s">
        <v>1361</v>
      </c>
      <c r="C651" s="2">
        <v>2004.0</v>
      </c>
      <c r="D651" s="2" t="s">
        <v>5804</v>
      </c>
      <c r="E651" s="2" t="s">
        <v>5805</v>
      </c>
      <c r="F651" s="2" t="s">
        <v>5806</v>
      </c>
      <c r="I651" s="2" t="s">
        <v>5807</v>
      </c>
      <c r="L651" s="2" t="s">
        <v>2373</v>
      </c>
      <c r="M651" s="2" t="s">
        <v>5808</v>
      </c>
      <c r="N651" s="2" t="s">
        <v>5809</v>
      </c>
      <c r="P651" s="2" t="s">
        <v>5810</v>
      </c>
      <c r="R651" s="2" t="s">
        <v>1462</v>
      </c>
      <c r="S651" s="2" t="s">
        <v>2042</v>
      </c>
      <c r="AN651" s="2" t="s">
        <v>1368</v>
      </c>
    </row>
    <row r="652" ht="15.75" customHeight="1">
      <c r="A652" s="2" t="s">
        <v>5811</v>
      </c>
      <c r="B652" s="2" t="s">
        <v>1361</v>
      </c>
      <c r="C652" s="2">
        <v>1980.0</v>
      </c>
      <c r="D652" s="2" t="s">
        <v>5812</v>
      </c>
      <c r="E652" s="2" t="s">
        <v>5813</v>
      </c>
      <c r="F652" s="2" t="s">
        <v>2205</v>
      </c>
      <c r="I652" s="2" t="s">
        <v>5814</v>
      </c>
      <c r="L652" s="2" t="s">
        <v>5815</v>
      </c>
      <c r="M652" s="2" t="s">
        <v>5816</v>
      </c>
      <c r="N652" s="2" t="s">
        <v>5817</v>
      </c>
      <c r="P652" s="2" t="s">
        <v>5818</v>
      </c>
      <c r="R652" s="2" t="s">
        <v>1453</v>
      </c>
      <c r="S652" s="2" t="s">
        <v>1506</v>
      </c>
      <c r="AN652" s="2" t="s">
        <v>1368</v>
      </c>
    </row>
    <row r="653" ht="15.75" customHeight="1">
      <c r="A653" s="2" t="s">
        <v>5819</v>
      </c>
      <c r="B653" s="2" t="s">
        <v>1361</v>
      </c>
      <c r="C653" s="2">
        <v>1996.0</v>
      </c>
      <c r="D653" s="2" t="s">
        <v>5820</v>
      </c>
      <c r="E653" s="2" t="s">
        <v>5821</v>
      </c>
      <c r="F653" s="2" t="s">
        <v>5822</v>
      </c>
      <c r="L653" s="2" t="s">
        <v>2492</v>
      </c>
      <c r="M653" s="2" t="s">
        <v>5823</v>
      </c>
      <c r="N653" s="2" t="s">
        <v>5824</v>
      </c>
      <c r="P653" s="2" t="s">
        <v>5825</v>
      </c>
      <c r="R653" s="2" t="s">
        <v>5423</v>
      </c>
      <c r="S653" s="2" t="s">
        <v>1600</v>
      </c>
      <c r="AN653" s="2" t="s">
        <v>1368</v>
      </c>
    </row>
    <row r="654" ht="15.75" customHeight="1">
      <c r="A654" s="2" t="s">
        <v>5826</v>
      </c>
      <c r="B654" s="2" t="s">
        <v>1361</v>
      </c>
      <c r="C654" s="2">
        <v>2006.0</v>
      </c>
      <c r="D654" s="2" t="s">
        <v>5827</v>
      </c>
      <c r="E654" s="2" t="s">
        <v>5828</v>
      </c>
      <c r="F654" s="2" t="s">
        <v>5829</v>
      </c>
      <c r="I654" s="2" t="s">
        <v>5830</v>
      </c>
      <c r="L654" s="2" t="s">
        <v>1727</v>
      </c>
      <c r="M654" s="2" t="s">
        <v>5831</v>
      </c>
      <c r="N654" s="2" t="s">
        <v>5832</v>
      </c>
      <c r="P654" s="2" t="s">
        <v>5833</v>
      </c>
      <c r="R654" s="2" t="s">
        <v>1600</v>
      </c>
      <c r="S654" s="2" t="s">
        <v>2124</v>
      </c>
      <c r="AN654" s="2" t="s">
        <v>1368</v>
      </c>
    </row>
    <row r="655" ht="15.75" customHeight="1">
      <c r="A655" s="2" t="s">
        <v>5834</v>
      </c>
      <c r="B655" s="2" t="s">
        <v>1361</v>
      </c>
      <c r="C655" s="2">
        <v>1993.0</v>
      </c>
      <c r="D655" s="2" t="s">
        <v>5835</v>
      </c>
      <c r="E655" s="2" t="s">
        <v>5836</v>
      </c>
      <c r="F655" s="2" t="s">
        <v>5837</v>
      </c>
      <c r="I655" s="2" t="s">
        <v>5838</v>
      </c>
      <c r="L655" s="2" t="s">
        <v>2735</v>
      </c>
      <c r="M655" s="2" t="s">
        <v>5839</v>
      </c>
      <c r="N655" s="2" t="s">
        <v>5840</v>
      </c>
      <c r="P655" s="2" t="s">
        <v>5841</v>
      </c>
      <c r="R655" s="2" t="s">
        <v>1453</v>
      </c>
      <c r="S655" s="2" t="s">
        <v>5842</v>
      </c>
      <c r="AN655" s="2" t="s">
        <v>1368</v>
      </c>
    </row>
    <row r="656" ht="15.75" customHeight="1">
      <c r="A656" s="2" t="s">
        <v>5843</v>
      </c>
      <c r="B656" s="2" t="s">
        <v>1361</v>
      </c>
      <c r="C656" s="2">
        <v>2004.0</v>
      </c>
      <c r="D656" s="2" t="s">
        <v>5844</v>
      </c>
      <c r="E656" s="2" t="s">
        <v>5845</v>
      </c>
      <c r="F656" s="2" t="s">
        <v>5846</v>
      </c>
      <c r="I656" s="2" t="s">
        <v>5847</v>
      </c>
      <c r="L656" s="2" t="s">
        <v>2373</v>
      </c>
      <c r="M656" s="2" t="s">
        <v>5848</v>
      </c>
      <c r="N656" s="2" t="s">
        <v>5849</v>
      </c>
      <c r="P656" s="2" t="s">
        <v>5850</v>
      </c>
      <c r="R656" s="2" t="s">
        <v>5851</v>
      </c>
      <c r="S656" s="2" t="s">
        <v>1506</v>
      </c>
      <c r="AN656" s="2" t="s">
        <v>1368</v>
      </c>
    </row>
    <row r="657" ht="15.75" customHeight="1">
      <c r="A657" s="2" t="s">
        <v>5852</v>
      </c>
      <c r="B657" s="2" t="s">
        <v>1361</v>
      </c>
      <c r="C657" s="2">
        <v>2004.0</v>
      </c>
      <c r="D657" s="2" t="s">
        <v>5853</v>
      </c>
      <c r="E657" s="2" t="s">
        <v>5854</v>
      </c>
      <c r="F657" s="2" t="s">
        <v>5855</v>
      </c>
      <c r="I657" s="2" t="s">
        <v>5856</v>
      </c>
      <c r="L657" s="2" t="s">
        <v>2373</v>
      </c>
      <c r="M657" s="2" t="s">
        <v>5857</v>
      </c>
      <c r="N657" s="2" t="s">
        <v>5858</v>
      </c>
      <c r="P657" s="2" t="s">
        <v>5859</v>
      </c>
      <c r="R657" s="2" t="s">
        <v>1506</v>
      </c>
      <c r="S657" s="2" t="s">
        <v>1506</v>
      </c>
      <c r="AN657" s="2" t="s">
        <v>1368</v>
      </c>
    </row>
    <row r="658" ht="15.75" customHeight="1">
      <c r="A658" s="2" t="s">
        <v>5860</v>
      </c>
      <c r="B658" s="2" t="s">
        <v>1361</v>
      </c>
      <c r="C658" s="2">
        <v>2015.0</v>
      </c>
      <c r="D658" s="2" t="s">
        <v>5861</v>
      </c>
      <c r="E658" s="2" t="s">
        <v>5862</v>
      </c>
      <c r="F658" s="2" t="s">
        <v>4215</v>
      </c>
      <c r="I658" s="2" t="s">
        <v>5863</v>
      </c>
      <c r="L658" s="2" t="s">
        <v>1373</v>
      </c>
      <c r="M658" s="2" t="s">
        <v>5864</v>
      </c>
      <c r="N658" s="2" t="s">
        <v>5865</v>
      </c>
      <c r="P658" s="2" t="s">
        <v>5866</v>
      </c>
      <c r="S658" s="2" t="s">
        <v>2799</v>
      </c>
      <c r="AN658" s="2" t="s">
        <v>1368</v>
      </c>
    </row>
    <row r="659" ht="15.75" customHeight="1">
      <c r="A659" s="2" t="s">
        <v>5867</v>
      </c>
      <c r="B659" s="2" t="s">
        <v>1361</v>
      </c>
      <c r="C659" s="2">
        <v>1997.0</v>
      </c>
      <c r="D659" s="2" t="s">
        <v>5790</v>
      </c>
      <c r="E659" s="2" t="s">
        <v>5868</v>
      </c>
      <c r="F659" s="2" t="s">
        <v>5869</v>
      </c>
      <c r="L659" s="2" t="s">
        <v>1804</v>
      </c>
      <c r="M659" s="2" t="s">
        <v>5870</v>
      </c>
      <c r="N659" s="2" t="s">
        <v>5871</v>
      </c>
      <c r="P659" s="2" t="s">
        <v>5872</v>
      </c>
      <c r="S659" s="2" t="s">
        <v>4806</v>
      </c>
      <c r="AN659" s="2" t="s">
        <v>1368</v>
      </c>
    </row>
    <row r="660" ht="15.75" customHeight="1">
      <c r="A660" s="2" t="s">
        <v>5873</v>
      </c>
      <c r="B660" s="2" t="s">
        <v>1361</v>
      </c>
      <c r="C660" s="2">
        <v>2017.0</v>
      </c>
      <c r="D660" s="2" t="s">
        <v>5874</v>
      </c>
      <c r="E660" s="2" t="s">
        <v>5875</v>
      </c>
      <c r="F660" s="2" t="s">
        <v>2641</v>
      </c>
      <c r="H660" s="2" t="s">
        <v>5876</v>
      </c>
      <c r="I660" s="2" t="s">
        <v>5877</v>
      </c>
      <c r="J660" s="2" t="s">
        <v>5878</v>
      </c>
      <c r="L660" s="2" t="s">
        <v>5879</v>
      </c>
      <c r="M660" s="2" t="s">
        <v>5880</v>
      </c>
      <c r="N660" s="2" t="s">
        <v>5881</v>
      </c>
      <c r="O660" s="2" t="s">
        <v>5882</v>
      </c>
      <c r="P660" s="2" t="s">
        <v>5883</v>
      </c>
      <c r="R660" s="2" t="s">
        <v>1443</v>
      </c>
      <c r="S660" s="2" t="s">
        <v>2271</v>
      </c>
      <c r="U660" s="2" t="s">
        <v>5884</v>
      </c>
      <c r="V660" s="2" t="s">
        <v>5885</v>
      </c>
      <c r="AH660" s="2" t="s">
        <v>1541</v>
      </c>
      <c r="AN660" s="2" t="s">
        <v>5886</v>
      </c>
    </row>
    <row r="661" ht="15.75" customHeight="1">
      <c r="A661" s="2" t="s">
        <v>5887</v>
      </c>
      <c r="B661" s="2" t="s">
        <v>1361</v>
      </c>
      <c r="C661" s="2">
        <v>2017.0</v>
      </c>
      <c r="D661" s="2" t="s">
        <v>5888</v>
      </c>
      <c r="E661" s="2" t="s">
        <v>5889</v>
      </c>
      <c r="F661" s="2" t="s">
        <v>5595</v>
      </c>
      <c r="H661" s="2" t="s">
        <v>5596</v>
      </c>
      <c r="I661" s="2" t="s">
        <v>5890</v>
      </c>
      <c r="J661" s="2" t="s">
        <v>5891</v>
      </c>
      <c r="K661" s="2" t="s">
        <v>5892</v>
      </c>
      <c r="L661" s="2" t="s">
        <v>1709</v>
      </c>
      <c r="M661" s="2" t="s">
        <v>5893</v>
      </c>
      <c r="N661" s="2" t="s">
        <v>5894</v>
      </c>
      <c r="O661" s="2" t="s">
        <v>5895</v>
      </c>
      <c r="P661" s="2" t="s">
        <v>5896</v>
      </c>
      <c r="S661" s="2" t="s">
        <v>5897</v>
      </c>
      <c r="U661" s="2" t="s">
        <v>5595</v>
      </c>
      <c r="V661" s="2" t="s">
        <v>5898</v>
      </c>
      <c r="AC661" s="2" t="s">
        <v>1540</v>
      </c>
      <c r="AH661" s="2" t="s">
        <v>1541</v>
      </c>
      <c r="AN661" s="2" t="s">
        <v>5899</v>
      </c>
    </row>
    <row r="662" ht="15.75" customHeight="1">
      <c r="A662" s="2" t="s">
        <v>5900</v>
      </c>
      <c r="B662" s="2" t="s">
        <v>1361</v>
      </c>
      <c r="C662" s="2">
        <v>2011.0</v>
      </c>
      <c r="D662" s="2" t="s">
        <v>5901</v>
      </c>
      <c r="E662" s="2" t="s">
        <v>770</v>
      </c>
      <c r="F662" s="2" t="s">
        <v>5902</v>
      </c>
      <c r="I662" s="2" t="s">
        <v>773</v>
      </c>
      <c r="K662" s="2" t="s">
        <v>772</v>
      </c>
      <c r="L662" s="2" t="s">
        <v>1627</v>
      </c>
      <c r="M662" s="2" t="s">
        <v>5903</v>
      </c>
      <c r="N662" s="2" t="s">
        <v>5904</v>
      </c>
      <c r="P662" s="2" t="s">
        <v>5905</v>
      </c>
      <c r="R662" s="2" t="s">
        <v>1453</v>
      </c>
      <c r="S662" s="2" t="s">
        <v>3391</v>
      </c>
      <c r="AN662" s="2" t="s">
        <v>2169</v>
      </c>
    </row>
    <row r="663" ht="15.75" customHeight="1">
      <c r="A663" s="2" t="s">
        <v>5906</v>
      </c>
      <c r="B663" s="2" t="s">
        <v>1361</v>
      </c>
      <c r="C663" s="2">
        <v>2006.0</v>
      </c>
      <c r="D663" s="2" t="s">
        <v>5907</v>
      </c>
      <c r="E663" s="2" t="s">
        <v>5908</v>
      </c>
      <c r="F663" s="2" t="s">
        <v>5909</v>
      </c>
      <c r="H663" s="2" t="s">
        <v>5910</v>
      </c>
      <c r="I663" s="2" t="s">
        <v>5911</v>
      </c>
      <c r="J663" s="2" t="s">
        <v>5912</v>
      </c>
      <c r="L663" s="2" t="s">
        <v>5913</v>
      </c>
      <c r="M663" s="2" t="s">
        <v>5914</v>
      </c>
      <c r="N663" s="2" t="s">
        <v>5915</v>
      </c>
      <c r="O663" s="2" t="s">
        <v>5916</v>
      </c>
      <c r="P663" s="2" t="s">
        <v>5917</v>
      </c>
      <c r="R663" s="2" t="s">
        <v>1462</v>
      </c>
      <c r="S663" s="2" t="s">
        <v>2928</v>
      </c>
      <c r="U663" s="2" t="s">
        <v>5909</v>
      </c>
      <c r="V663" s="2" t="s">
        <v>5918</v>
      </c>
      <c r="AC663" s="2" t="s">
        <v>1540</v>
      </c>
      <c r="AH663" s="2" t="s">
        <v>1541</v>
      </c>
      <c r="AN663" s="2" t="s">
        <v>1872</v>
      </c>
    </row>
    <row r="664" ht="15.75" customHeight="1">
      <c r="A664" s="2" t="s">
        <v>5919</v>
      </c>
      <c r="B664" s="2" t="s">
        <v>1361</v>
      </c>
      <c r="C664" s="2">
        <v>1999.0</v>
      </c>
      <c r="D664" s="2" t="s">
        <v>5920</v>
      </c>
      <c r="E664" s="2" t="s">
        <v>5921</v>
      </c>
      <c r="F664" s="2" t="s">
        <v>1510</v>
      </c>
      <c r="H664" s="2" t="s">
        <v>1546</v>
      </c>
      <c r="I664" s="2" t="s">
        <v>5922</v>
      </c>
      <c r="J664" s="2" t="s">
        <v>5923</v>
      </c>
      <c r="K664" s="2" t="s">
        <v>5924</v>
      </c>
      <c r="L664" s="2" t="s">
        <v>5925</v>
      </c>
      <c r="M664" s="2" t="s">
        <v>5926</v>
      </c>
      <c r="N664" s="2" t="s">
        <v>5927</v>
      </c>
      <c r="O664" s="2" t="s">
        <v>2134</v>
      </c>
      <c r="P664" s="2" t="s">
        <v>5928</v>
      </c>
      <c r="R664" s="2" t="s">
        <v>5929</v>
      </c>
      <c r="S664" s="2" t="s">
        <v>5930</v>
      </c>
      <c r="U664" s="2" t="s">
        <v>1510</v>
      </c>
      <c r="V664" s="2" t="s">
        <v>5931</v>
      </c>
      <c r="AC664" s="2" t="s">
        <v>1540</v>
      </c>
      <c r="AH664" s="2" t="s">
        <v>1541</v>
      </c>
      <c r="AN664" s="2" t="s">
        <v>1885</v>
      </c>
    </row>
    <row r="665" ht="15.75" customHeight="1">
      <c r="A665" s="2" t="s">
        <v>5932</v>
      </c>
      <c r="B665" s="2" t="s">
        <v>1361</v>
      </c>
      <c r="C665" s="2">
        <v>2015.0</v>
      </c>
      <c r="D665" s="2" t="s">
        <v>5933</v>
      </c>
      <c r="E665" s="2" t="s">
        <v>5934</v>
      </c>
      <c r="F665" s="2" t="s">
        <v>362</v>
      </c>
      <c r="H665" s="2" t="s">
        <v>1877</v>
      </c>
      <c r="I665" s="2" t="s">
        <v>364</v>
      </c>
      <c r="J665" s="2" t="s">
        <v>5935</v>
      </c>
      <c r="L665" s="2" t="s">
        <v>5936</v>
      </c>
      <c r="M665" s="2" t="s">
        <v>5937</v>
      </c>
      <c r="N665" s="2" t="s">
        <v>5938</v>
      </c>
      <c r="O665" s="2" t="s">
        <v>5939</v>
      </c>
      <c r="P665" s="2" t="s">
        <v>5940</v>
      </c>
      <c r="R665" s="2" t="s">
        <v>1480</v>
      </c>
      <c r="S665" s="2" t="s">
        <v>1537</v>
      </c>
      <c r="U665" s="2" t="s">
        <v>1876</v>
      </c>
      <c r="AC665" s="2" t="s">
        <v>1540</v>
      </c>
      <c r="AH665" s="2" t="s">
        <v>1541</v>
      </c>
      <c r="AN665" s="2" t="s">
        <v>1885</v>
      </c>
      <c r="AP665" s="2" t="s">
        <v>5941</v>
      </c>
    </row>
    <row r="666" ht="15.75" customHeight="1">
      <c r="A666" s="2" t="s">
        <v>5942</v>
      </c>
      <c r="B666" s="2" t="s">
        <v>1361</v>
      </c>
      <c r="C666" s="2">
        <v>2004.0</v>
      </c>
      <c r="D666" s="2" t="s">
        <v>5943</v>
      </c>
      <c r="E666" s="2" t="s">
        <v>5944</v>
      </c>
      <c r="F666" s="2" t="s">
        <v>1672</v>
      </c>
      <c r="H666" s="2" t="s">
        <v>5945</v>
      </c>
      <c r="I666" s="2" t="s">
        <v>5946</v>
      </c>
      <c r="J666" s="2" t="s">
        <v>5947</v>
      </c>
      <c r="L666" s="2" t="s">
        <v>5948</v>
      </c>
      <c r="M666" s="2" t="s">
        <v>5949</v>
      </c>
      <c r="N666" s="2" t="s">
        <v>5950</v>
      </c>
      <c r="O666" s="2" t="s">
        <v>5951</v>
      </c>
      <c r="P666" s="2" t="s">
        <v>5952</v>
      </c>
      <c r="R666" s="2" t="s">
        <v>1600</v>
      </c>
      <c r="S666" s="2" t="s">
        <v>5953</v>
      </c>
      <c r="U666" s="2" t="s">
        <v>5954</v>
      </c>
      <c r="V666" s="2" t="s">
        <v>5955</v>
      </c>
      <c r="AC666" s="2" t="s">
        <v>1540</v>
      </c>
      <c r="AH666" s="2" t="s">
        <v>1541</v>
      </c>
      <c r="AN666" s="2" t="s">
        <v>1885</v>
      </c>
    </row>
    <row r="667" ht="15.75" customHeight="1">
      <c r="A667" s="2" t="s">
        <v>5956</v>
      </c>
      <c r="B667" s="2" t="s">
        <v>1361</v>
      </c>
      <c r="C667" s="2">
        <v>2017.0</v>
      </c>
      <c r="D667" s="2" t="s">
        <v>5957</v>
      </c>
      <c r="E667" s="2" t="s">
        <v>149</v>
      </c>
      <c r="F667" s="2" t="s">
        <v>1613</v>
      </c>
      <c r="H667" s="2" t="s">
        <v>1614</v>
      </c>
      <c r="I667" s="2" t="s">
        <v>151</v>
      </c>
      <c r="J667" s="2" t="s">
        <v>5958</v>
      </c>
      <c r="K667" s="2" t="s">
        <v>5959</v>
      </c>
      <c r="L667" s="2" t="s">
        <v>5960</v>
      </c>
      <c r="M667" s="2" t="s">
        <v>5961</v>
      </c>
      <c r="N667" s="2" t="s">
        <v>5962</v>
      </c>
      <c r="O667" s="2" t="s">
        <v>2229</v>
      </c>
      <c r="P667" s="2" t="s">
        <v>5963</v>
      </c>
      <c r="R667" s="2" t="s">
        <v>1462</v>
      </c>
      <c r="S667" s="2" t="s">
        <v>1600</v>
      </c>
      <c r="U667" s="2" t="s">
        <v>5964</v>
      </c>
      <c r="V667" s="2" t="s">
        <v>5965</v>
      </c>
      <c r="AC667" s="2" t="s">
        <v>1540</v>
      </c>
      <c r="AH667" s="2" t="s">
        <v>1541</v>
      </c>
      <c r="AN667" s="2" t="s">
        <v>5966</v>
      </c>
    </row>
    <row r="668" ht="15.75" customHeight="1">
      <c r="A668" s="2" t="s">
        <v>5967</v>
      </c>
      <c r="B668" s="2" t="s">
        <v>1361</v>
      </c>
      <c r="C668" s="2">
        <v>2015.0</v>
      </c>
      <c r="D668" s="2" t="s">
        <v>5968</v>
      </c>
      <c r="E668" s="2" t="s">
        <v>5969</v>
      </c>
      <c r="F668" s="2" t="s">
        <v>5970</v>
      </c>
      <c r="H668" s="2" t="s">
        <v>3742</v>
      </c>
      <c r="I668" s="2" t="s">
        <v>5971</v>
      </c>
      <c r="J668" s="2" t="s">
        <v>5972</v>
      </c>
      <c r="K668" s="2" t="s">
        <v>5973</v>
      </c>
      <c r="L668" s="2" t="s">
        <v>5974</v>
      </c>
      <c r="M668" s="2" t="s">
        <v>5975</v>
      </c>
      <c r="N668" s="2" t="s">
        <v>5976</v>
      </c>
      <c r="P668" s="2" t="s">
        <v>5977</v>
      </c>
      <c r="R668" s="2" t="s">
        <v>1462</v>
      </c>
      <c r="S668" s="2" t="s">
        <v>2042</v>
      </c>
      <c r="AN668" s="2" t="s">
        <v>1621</v>
      </c>
    </row>
    <row r="669" ht="15.75" customHeight="1">
      <c r="A669" s="2" t="s">
        <v>5978</v>
      </c>
      <c r="B669" s="2" t="s">
        <v>1361</v>
      </c>
      <c r="C669" s="2">
        <v>2012.0</v>
      </c>
      <c r="D669" s="2" t="s">
        <v>5979</v>
      </c>
      <c r="E669" s="2" t="s">
        <v>5980</v>
      </c>
      <c r="F669" s="2" t="s">
        <v>5575</v>
      </c>
      <c r="H669" s="2" t="s">
        <v>5576</v>
      </c>
      <c r="I669" s="2" t="s">
        <v>5981</v>
      </c>
      <c r="J669" s="2" t="s">
        <v>5982</v>
      </c>
      <c r="L669" s="2" t="s">
        <v>3753</v>
      </c>
      <c r="M669" s="2" t="s">
        <v>5983</v>
      </c>
      <c r="N669" s="2" t="s">
        <v>5984</v>
      </c>
      <c r="O669" s="2" t="s">
        <v>5985</v>
      </c>
      <c r="P669" s="2" t="s">
        <v>5986</v>
      </c>
      <c r="S669" s="2" t="s">
        <v>5987</v>
      </c>
      <c r="U669" s="2" t="s">
        <v>5575</v>
      </c>
      <c r="V669" s="2" t="s">
        <v>5988</v>
      </c>
      <c r="AC669" s="2" t="s">
        <v>1540</v>
      </c>
      <c r="AH669" s="2" t="s">
        <v>1541</v>
      </c>
      <c r="AN669" s="2" t="s">
        <v>5989</v>
      </c>
    </row>
    <row r="670" ht="15.75" customHeight="1">
      <c r="A670" s="2" t="s">
        <v>5990</v>
      </c>
      <c r="B670" s="2" t="s">
        <v>1361</v>
      </c>
      <c r="C670" s="2">
        <v>2010.0</v>
      </c>
      <c r="D670" s="2" t="s">
        <v>5991</v>
      </c>
      <c r="E670" s="2" t="s">
        <v>5992</v>
      </c>
      <c r="F670" s="2" t="s">
        <v>1688</v>
      </c>
      <c r="H670" s="2" t="s">
        <v>2892</v>
      </c>
      <c r="I670" s="2" t="s">
        <v>5993</v>
      </c>
      <c r="J670" s="2" t="s">
        <v>5994</v>
      </c>
      <c r="K670" s="2" t="s">
        <v>5995</v>
      </c>
      <c r="L670" s="2" t="s">
        <v>5996</v>
      </c>
      <c r="M670" s="2" t="s">
        <v>5997</v>
      </c>
      <c r="N670" s="2" t="s">
        <v>5998</v>
      </c>
      <c r="O670" s="2" t="s">
        <v>2897</v>
      </c>
      <c r="P670" s="2" t="s">
        <v>5999</v>
      </c>
      <c r="R670" s="2" t="s">
        <v>2042</v>
      </c>
      <c r="S670" s="2" t="s">
        <v>2900</v>
      </c>
      <c r="U670" s="2" t="s">
        <v>2901</v>
      </c>
      <c r="AC670" s="2" t="s">
        <v>1540</v>
      </c>
      <c r="AH670" s="2" t="s">
        <v>1541</v>
      </c>
      <c r="AN670" s="2" t="s">
        <v>2852</v>
      </c>
    </row>
    <row r="671" ht="15.75" customHeight="1">
      <c r="A671" s="2" t="s">
        <v>6000</v>
      </c>
      <c r="B671" s="2" t="s">
        <v>1361</v>
      </c>
      <c r="C671" s="2">
        <v>2002.0</v>
      </c>
      <c r="D671" s="2" t="s">
        <v>6001</v>
      </c>
      <c r="E671" s="2" t="s">
        <v>1178</v>
      </c>
      <c r="F671" s="2" t="s">
        <v>1380</v>
      </c>
      <c r="H671" s="2" t="s">
        <v>1381</v>
      </c>
      <c r="I671" s="2" t="s">
        <v>1180</v>
      </c>
      <c r="K671" s="2" t="s">
        <v>1179</v>
      </c>
      <c r="L671" s="2" t="s">
        <v>1493</v>
      </c>
      <c r="M671" s="2" t="s">
        <v>6002</v>
      </c>
      <c r="N671" s="2" t="s">
        <v>6003</v>
      </c>
      <c r="AN671" s="2" t="s">
        <v>1621</v>
      </c>
    </row>
    <row r="672" ht="15.75" customHeight="1">
      <c r="A672" s="2" t="s">
        <v>6004</v>
      </c>
      <c r="B672" s="2" t="s">
        <v>1396</v>
      </c>
      <c r="C672" s="2">
        <v>1990.0</v>
      </c>
      <c r="D672" s="2" t="s">
        <v>5659</v>
      </c>
      <c r="E672" s="2" t="s">
        <v>6005</v>
      </c>
      <c r="G672" s="2" t="s">
        <v>6006</v>
      </c>
      <c r="L672" s="2" t="s">
        <v>2668</v>
      </c>
      <c r="M672" s="2" t="s">
        <v>1562</v>
      </c>
      <c r="N672" s="2" t="s">
        <v>1563</v>
      </c>
      <c r="Q672" s="2">
        <v>280.0</v>
      </c>
      <c r="AA672" s="2" t="s">
        <v>2187</v>
      </c>
      <c r="AB672" s="2" t="s">
        <v>5295</v>
      </c>
      <c r="AN672" s="2" t="s">
        <v>6007</v>
      </c>
    </row>
    <row r="673" ht="15.75" customHeight="1">
      <c r="A673" s="2" t="s">
        <v>6008</v>
      </c>
      <c r="B673" s="2" t="s">
        <v>1361</v>
      </c>
      <c r="C673" s="2">
        <v>2015.0</v>
      </c>
      <c r="D673" s="2" t="s">
        <v>6009</v>
      </c>
      <c r="E673" s="2" t="s">
        <v>6010</v>
      </c>
      <c r="F673" s="2" t="s">
        <v>5575</v>
      </c>
      <c r="H673" s="2" t="s">
        <v>6011</v>
      </c>
      <c r="I673" s="2" t="s">
        <v>6012</v>
      </c>
      <c r="J673" s="2" t="s">
        <v>6013</v>
      </c>
      <c r="K673" s="2" t="s">
        <v>6014</v>
      </c>
      <c r="L673" s="2" t="s">
        <v>1373</v>
      </c>
      <c r="M673" s="2" t="s">
        <v>1385</v>
      </c>
      <c r="N673" s="2" t="s">
        <v>1386</v>
      </c>
      <c r="P673" s="2" t="s">
        <v>6015</v>
      </c>
      <c r="S673" s="2" t="s">
        <v>6016</v>
      </c>
      <c r="AN673" s="2" t="s">
        <v>1368</v>
      </c>
    </row>
    <row r="674" ht="15.75" customHeight="1">
      <c r="A674" s="2" t="s">
        <v>6017</v>
      </c>
      <c r="B674" s="2" t="s">
        <v>1361</v>
      </c>
      <c r="C674" s="2">
        <v>2014.0</v>
      </c>
      <c r="D674" s="2" t="s">
        <v>6018</v>
      </c>
      <c r="E674" s="2" t="s">
        <v>6019</v>
      </c>
      <c r="F674" s="2" t="s">
        <v>1863</v>
      </c>
      <c r="H674" s="2" t="s">
        <v>1864</v>
      </c>
      <c r="I674" s="2" t="s">
        <v>6020</v>
      </c>
      <c r="J674" s="2" t="s">
        <v>6021</v>
      </c>
      <c r="K674" s="2" t="s">
        <v>6022</v>
      </c>
      <c r="L674" s="2" t="s">
        <v>1476</v>
      </c>
      <c r="M674" s="2" t="s">
        <v>1385</v>
      </c>
      <c r="N674" s="2" t="s">
        <v>1386</v>
      </c>
      <c r="P674" s="2" t="s">
        <v>6023</v>
      </c>
      <c r="S674" s="2" t="s">
        <v>5842</v>
      </c>
      <c r="AN674" s="2" t="s">
        <v>1368</v>
      </c>
    </row>
    <row r="675" ht="15.75" customHeight="1">
      <c r="A675" s="2" t="s">
        <v>6024</v>
      </c>
      <c r="B675" s="2" t="s">
        <v>1766</v>
      </c>
      <c r="C675" s="2">
        <v>2014.0</v>
      </c>
      <c r="D675" s="2" t="s">
        <v>6025</v>
      </c>
      <c r="E675" s="2" t="s">
        <v>6026</v>
      </c>
      <c r="F675" s="2" t="s">
        <v>6027</v>
      </c>
      <c r="L675" s="2" t="s">
        <v>1476</v>
      </c>
      <c r="M675" s="2" t="s">
        <v>1385</v>
      </c>
      <c r="N675" s="2" t="s">
        <v>1386</v>
      </c>
      <c r="P675" s="2" t="s">
        <v>6028</v>
      </c>
      <c r="AA675" s="2" t="s">
        <v>2187</v>
      </c>
      <c r="AN675" s="2" t="s">
        <v>2169</v>
      </c>
    </row>
    <row r="676" ht="15.75" customHeight="1">
      <c r="A676" s="2" t="s">
        <v>6029</v>
      </c>
      <c r="B676" s="2" t="s">
        <v>1361</v>
      </c>
      <c r="C676" s="2">
        <v>2011.0</v>
      </c>
      <c r="D676" s="2" t="s">
        <v>6030</v>
      </c>
      <c r="E676" s="2" t="s">
        <v>6031</v>
      </c>
      <c r="F676" s="2" t="s">
        <v>1688</v>
      </c>
      <c r="I676" s="2" t="s">
        <v>6032</v>
      </c>
      <c r="J676" s="2" t="s">
        <v>6033</v>
      </c>
      <c r="K676" s="2" t="s">
        <v>6034</v>
      </c>
      <c r="L676" s="2" t="s">
        <v>6035</v>
      </c>
      <c r="M676" s="2" t="s">
        <v>1385</v>
      </c>
      <c r="N676" s="2" t="s">
        <v>1386</v>
      </c>
      <c r="P676" s="2" t="s">
        <v>6036</v>
      </c>
      <c r="R676" s="2" t="s">
        <v>2840</v>
      </c>
      <c r="S676" s="2" t="s">
        <v>6037</v>
      </c>
      <c r="U676" s="2" t="s">
        <v>6038</v>
      </c>
      <c r="AN676" s="2" t="s">
        <v>2238</v>
      </c>
    </row>
    <row r="677" ht="15.75" customHeight="1">
      <c r="A677" s="2" t="s">
        <v>6039</v>
      </c>
      <c r="B677" s="2" t="s">
        <v>1396</v>
      </c>
      <c r="C677" s="2">
        <v>2016.0</v>
      </c>
      <c r="D677" s="2" t="s">
        <v>6040</v>
      </c>
      <c r="E677" s="2" t="s">
        <v>6041</v>
      </c>
      <c r="J677" s="2" t="s">
        <v>6042</v>
      </c>
      <c r="L677" s="2" t="s">
        <v>1502</v>
      </c>
      <c r="M677" s="2" t="s">
        <v>1385</v>
      </c>
      <c r="N677" s="2" t="s">
        <v>1386</v>
      </c>
      <c r="AA677" s="2" t="s">
        <v>6043</v>
      </c>
      <c r="AB677" s="2" t="s">
        <v>6044</v>
      </c>
      <c r="AN677" s="2" t="s">
        <v>2244</v>
      </c>
    </row>
    <row r="678" ht="15.75" customHeight="1">
      <c r="A678" s="2" t="s">
        <v>6045</v>
      </c>
      <c r="B678" s="2" t="s">
        <v>1766</v>
      </c>
      <c r="C678" s="2">
        <v>1999.0</v>
      </c>
      <c r="D678" s="2" t="s">
        <v>6046</v>
      </c>
      <c r="E678" s="2" t="s">
        <v>6047</v>
      </c>
      <c r="F678" s="2" t="s">
        <v>6048</v>
      </c>
      <c r="L678" s="2" t="s">
        <v>1434</v>
      </c>
      <c r="M678" s="2" t="s">
        <v>1385</v>
      </c>
      <c r="N678" s="2" t="s">
        <v>1386</v>
      </c>
      <c r="P678" s="2" t="s">
        <v>6049</v>
      </c>
      <c r="AA678" s="2" t="s">
        <v>6050</v>
      </c>
      <c r="AB678" s="2" t="s">
        <v>6051</v>
      </c>
      <c r="AN678" s="2" t="s">
        <v>2244</v>
      </c>
    </row>
    <row r="679" ht="15.75" customHeight="1">
      <c r="A679" s="2" t="s">
        <v>6052</v>
      </c>
      <c r="B679" s="2" t="s">
        <v>1361</v>
      </c>
      <c r="C679" s="2">
        <v>2018.0</v>
      </c>
      <c r="D679" s="2" t="s">
        <v>6053</v>
      </c>
      <c r="E679" s="2" t="s">
        <v>6054</v>
      </c>
      <c r="F679" s="2" t="s">
        <v>1510</v>
      </c>
      <c r="H679" s="2" t="s">
        <v>1917</v>
      </c>
      <c r="I679" s="2" t="s">
        <v>6055</v>
      </c>
      <c r="J679" s="2" t="s">
        <v>6056</v>
      </c>
      <c r="K679" s="2" t="s">
        <v>6057</v>
      </c>
      <c r="L679" s="2" t="s">
        <v>6058</v>
      </c>
      <c r="M679" s="2" t="s">
        <v>1385</v>
      </c>
      <c r="N679" s="2" t="s">
        <v>1386</v>
      </c>
      <c r="P679" s="2" t="s">
        <v>6059</v>
      </c>
      <c r="R679" s="2" t="s">
        <v>6060</v>
      </c>
      <c r="S679" s="2" t="s">
        <v>6061</v>
      </c>
      <c r="AN679" s="2" t="s">
        <v>1621</v>
      </c>
    </row>
    <row r="680" ht="15.75" customHeight="1">
      <c r="A680" s="2" t="s">
        <v>6062</v>
      </c>
      <c r="B680" s="2" t="s">
        <v>1361</v>
      </c>
      <c r="C680" s="2">
        <v>2015.0</v>
      </c>
      <c r="D680" s="2" t="s">
        <v>6063</v>
      </c>
      <c r="E680" s="2" t="s">
        <v>6064</v>
      </c>
      <c r="F680" s="2" t="s">
        <v>1363</v>
      </c>
      <c r="H680" s="2" t="s">
        <v>1775</v>
      </c>
      <c r="I680" s="2" t="s">
        <v>6065</v>
      </c>
      <c r="J680" s="2" t="s">
        <v>6066</v>
      </c>
      <c r="L680" s="2" t="s">
        <v>2153</v>
      </c>
      <c r="M680" s="2" t="s">
        <v>1385</v>
      </c>
      <c r="N680" s="2" t="s">
        <v>1386</v>
      </c>
      <c r="P680" s="2" t="s">
        <v>6067</v>
      </c>
      <c r="R680" s="2" t="s">
        <v>3474</v>
      </c>
      <c r="S680" s="2" t="s">
        <v>3475</v>
      </c>
      <c r="AN680" s="2" t="s">
        <v>1621</v>
      </c>
    </row>
    <row r="681" ht="15.75" customHeight="1">
      <c r="A681" s="2" t="s">
        <v>6068</v>
      </c>
      <c r="B681" s="2" t="s">
        <v>1766</v>
      </c>
      <c r="C681" s="2">
        <v>2012.0</v>
      </c>
      <c r="D681" s="2" t="s">
        <v>6069</v>
      </c>
      <c r="E681" s="2" t="s">
        <v>6070</v>
      </c>
      <c r="F681" s="2" t="s">
        <v>6071</v>
      </c>
      <c r="K681" s="2" t="s">
        <v>6072</v>
      </c>
      <c r="L681" s="2" t="s">
        <v>1405</v>
      </c>
      <c r="M681" s="2" t="s">
        <v>1385</v>
      </c>
      <c r="N681" s="2" t="s">
        <v>1386</v>
      </c>
      <c r="P681" s="2" t="s">
        <v>6073</v>
      </c>
      <c r="AA681" s="2" t="s">
        <v>6074</v>
      </c>
      <c r="AN681" s="2" t="s">
        <v>1368</v>
      </c>
      <c r="AP681" s="2" t="s">
        <v>6075</v>
      </c>
    </row>
    <row r="682" ht="15.75" customHeight="1">
      <c r="A682" s="2" t="s">
        <v>6076</v>
      </c>
      <c r="B682" s="2" t="s">
        <v>1361</v>
      </c>
      <c r="C682" s="2">
        <v>2002.0</v>
      </c>
      <c r="D682" s="2" t="s">
        <v>6077</v>
      </c>
      <c r="E682" s="2" t="s">
        <v>6078</v>
      </c>
      <c r="F682" s="2" t="s">
        <v>6079</v>
      </c>
      <c r="H682" s="2" t="s">
        <v>6080</v>
      </c>
      <c r="I682" s="2" t="s">
        <v>6081</v>
      </c>
      <c r="J682" s="2" t="s">
        <v>6082</v>
      </c>
      <c r="K682" s="2" t="s">
        <v>6083</v>
      </c>
      <c r="L682" s="2" t="s">
        <v>6084</v>
      </c>
      <c r="M682" s="2" t="s">
        <v>1385</v>
      </c>
      <c r="N682" s="2" t="s">
        <v>1386</v>
      </c>
      <c r="P682" s="2" t="s">
        <v>6085</v>
      </c>
      <c r="R682" s="2" t="s">
        <v>1462</v>
      </c>
      <c r="S682" s="2" t="s">
        <v>6086</v>
      </c>
      <c r="AN682" s="2" t="s">
        <v>1368</v>
      </c>
    </row>
    <row r="683" ht="15.75" customHeight="1">
      <c r="A683" s="2" t="s">
        <v>6087</v>
      </c>
      <c r="B683" s="2" t="s">
        <v>1361</v>
      </c>
      <c r="C683" s="2">
        <v>1992.0</v>
      </c>
      <c r="D683" s="2" t="s">
        <v>6088</v>
      </c>
      <c r="E683" s="2" t="s">
        <v>6089</v>
      </c>
      <c r="F683" s="2" t="s">
        <v>6090</v>
      </c>
      <c r="H683" s="2" t="s">
        <v>6091</v>
      </c>
      <c r="I683" s="2" t="s">
        <v>6092</v>
      </c>
      <c r="L683" s="2" t="s">
        <v>3458</v>
      </c>
      <c r="M683" s="2" t="s">
        <v>1385</v>
      </c>
      <c r="N683" s="2" t="s">
        <v>1386</v>
      </c>
      <c r="P683" s="2" t="s">
        <v>6093</v>
      </c>
      <c r="R683" s="2" t="s">
        <v>1480</v>
      </c>
      <c r="S683" s="2" t="s">
        <v>6094</v>
      </c>
      <c r="AN683" s="2" t="s">
        <v>1368</v>
      </c>
    </row>
    <row r="684" ht="15.75" customHeight="1">
      <c r="A684" s="2" t="s">
        <v>6095</v>
      </c>
      <c r="B684" s="2" t="s">
        <v>1396</v>
      </c>
      <c r="C684" s="2">
        <v>2018.0</v>
      </c>
      <c r="D684" s="2" t="s">
        <v>6096</v>
      </c>
      <c r="E684" s="2" t="s">
        <v>6097</v>
      </c>
      <c r="J684" s="2" t="s">
        <v>6098</v>
      </c>
      <c r="L684" s="2" t="s">
        <v>1420</v>
      </c>
      <c r="M684" s="2" t="s">
        <v>1385</v>
      </c>
      <c r="N684" s="2" t="s">
        <v>1386</v>
      </c>
      <c r="O684" s="2" t="s">
        <v>6099</v>
      </c>
      <c r="AN684" s="2" t="s">
        <v>1368</v>
      </c>
    </row>
    <row r="685" ht="15.75" customHeight="1">
      <c r="A685" s="2" t="s">
        <v>6100</v>
      </c>
      <c r="B685" s="2" t="s">
        <v>1623</v>
      </c>
      <c r="C685" s="2">
        <v>2016.0</v>
      </c>
      <c r="D685" s="2" t="s">
        <v>6101</v>
      </c>
      <c r="E685" s="2" t="s">
        <v>6102</v>
      </c>
      <c r="L685" s="2" t="s">
        <v>1502</v>
      </c>
      <c r="M685" s="2" t="s">
        <v>1385</v>
      </c>
      <c r="N685" s="2" t="s">
        <v>1386</v>
      </c>
      <c r="AA685" s="2" t="s">
        <v>6103</v>
      </c>
      <c r="AN685" s="2" t="s">
        <v>1368</v>
      </c>
    </row>
    <row r="686" ht="15.75" customHeight="1">
      <c r="A686" s="2" t="s">
        <v>6104</v>
      </c>
      <c r="B686" s="2" t="s">
        <v>1623</v>
      </c>
      <c r="C686" s="2">
        <v>2006.0</v>
      </c>
      <c r="D686" s="2" t="s">
        <v>6105</v>
      </c>
      <c r="E686" s="2" t="s">
        <v>6106</v>
      </c>
      <c r="J686" s="2" t="s">
        <v>6107</v>
      </c>
      <c r="L686" s="2" t="s">
        <v>1727</v>
      </c>
      <c r="M686" s="2" t="s">
        <v>1385</v>
      </c>
      <c r="N686" s="2" t="s">
        <v>1386</v>
      </c>
      <c r="AA686" s="2" t="s">
        <v>6108</v>
      </c>
      <c r="AB686" s="2" t="s">
        <v>6109</v>
      </c>
      <c r="AN686" s="2" t="s">
        <v>1368</v>
      </c>
    </row>
    <row r="687" ht="15.75" customHeight="1">
      <c r="A687" s="2" t="s">
        <v>6110</v>
      </c>
      <c r="B687" s="2" t="s">
        <v>1396</v>
      </c>
      <c r="C687" s="2">
        <v>2015.0</v>
      </c>
      <c r="D687" s="2" t="s">
        <v>6111</v>
      </c>
      <c r="E687" s="2" t="s">
        <v>6112</v>
      </c>
      <c r="L687" s="2" t="s">
        <v>1373</v>
      </c>
      <c r="M687" s="2" t="s">
        <v>1385</v>
      </c>
      <c r="N687" s="2" t="s">
        <v>1386</v>
      </c>
      <c r="AA687" s="2" t="s">
        <v>6113</v>
      </c>
      <c r="AN687" s="2" t="s">
        <v>1368</v>
      </c>
    </row>
    <row r="688" ht="15.75" customHeight="1">
      <c r="A688" s="2" t="s">
        <v>6114</v>
      </c>
      <c r="B688" s="2" t="s">
        <v>1766</v>
      </c>
      <c r="C688" s="2">
        <v>2017.0</v>
      </c>
      <c r="D688" s="2" t="s">
        <v>6115</v>
      </c>
      <c r="E688" s="2" t="s">
        <v>6116</v>
      </c>
      <c r="F688" s="2" t="s">
        <v>6117</v>
      </c>
      <c r="J688" s="2" t="s">
        <v>6118</v>
      </c>
      <c r="L688" s="2" t="s">
        <v>1658</v>
      </c>
      <c r="M688" s="2" t="s">
        <v>1385</v>
      </c>
      <c r="N688" s="2" t="s">
        <v>1386</v>
      </c>
      <c r="P688" s="2" t="s">
        <v>5986</v>
      </c>
      <c r="AA688" s="2" t="s">
        <v>2409</v>
      </c>
      <c r="AB688" s="2" t="s">
        <v>2410</v>
      </c>
      <c r="AN688" s="2" t="s">
        <v>1368</v>
      </c>
      <c r="AP688" s="2" t="s">
        <v>2411</v>
      </c>
    </row>
    <row r="689" ht="15.75" customHeight="1">
      <c r="A689" s="2" t="s">
        <v>6119</v>
      </c>
      <c r="B689" s="2" t="s">
        <v>1361</v>
      </c>
      <c r="C689" s="2">
        <v>2018.0</v>
      </c>
      <c r="D689" s="2" t="s">
        <v>6120</v>
      </c>
      <c r="E689" s="2" t="s">
        <v>6121</v>
      </c>
      <c r="F689" s="2" t="s">
        <v>1484</v>
      </c>
      <c r="H689" s="2" t="s">
        <v>6122</v>
      </c>
      <c r="I689" s="2" t="s">
        <v>6123</v>
      </c>
      <c r="K689" s="2" t="s">
        <v>6124</v>
      </c>
      <c r="L689" s="2" t="s">
        <v>1420</v>
      </c>
      <c r="M689" s="2" t="s">
        <v>1385</v>
      </c>
      <c r="N689" s="2" t="s">
        <v>1386</v>
      </c>
      <c r="P689" s="2" t="s">
        <v>6125</v>
      </c>
      <c r="S689" s="2" t="s">
        <v>6126</v>
      </c>
      <c r="AN689" s="2" t="s">
        <v>1368</v>
      </c>
    </row>
    <row r="690" ht="15.75" customHeight="1">
      <c r="A690" s="2" t="s">
        <v>6127</v>
      </c>
      <c r="B690" s="2" t="s">
        <v>1361</v>
      </c>
      <c r="C690" s="2">
        <v>2010.0</v>
      </c>
      <c r="D690" s="2" t="s">
        <v>6128</v>
      </c>
      <c r="E690" s="2" t="s">
        <v>6129</v>
      </c>
      <c r="F690" s="2" t="s">
        <v>1510</v>
      </c>
      <c r="H690" s="2" t="s">
        <v>1511</v>
      </c>
      <c r="I690" s="2" t="s">
        <v>6130</v>
      </c>
      <c r="K690" s="2" t="s">
        <v>6131</v>
      </c>
      <c r="L690" s="2" t="s">
        <v>1449</v>
      </c>
      <c r="M690" s="2" t="s">
        <v>1385</v>
      </c>
      <c r="N690" s="2" t="s">
        <v>1386</v>
      </c>
      <c r="P690" s="2" t="s">
        <v>6132</v>
      </c>
      <c r="R690" s="2" t="s">
        <v>6133</v>
      </c>
      <c r="S690" s="2" t="s">
        <v>6134</v>
      </c>
      <c r="AN690" s="2" t="s">
        <v>1368</v>
      </c>
    </row>
    <row r="691" ht="15.75" customHeight="1">
      <c r="A691" s="2" t="s">
        <v>6135</v>
      </c>
      <c r="B691" s="2" t="s">
        <v>1781</v>
      </c>
      <c r="C691" s="2">
        <v>2006.0</v>
      </c>
      <c r="D691" s="2" t="s">
        <v>6136</v>
      </c>
      <c r="E691" s="2" t="s">
        <v>6137</v>
      </c>
      <c r="L691" s="2" t="s">
        <v>1727</v>
      </c>
      <c r="M691" s="2" t="s">
        <v>1385</v>
      </c>
      <c r="N691" s="2" t="s">
        <v>1386</v>
      </c>
      <c r="AN691" s="2" t="s">
        <v>1368</v>
      </c>
    </row>
    <row r="692" ht="15.75" customHeight="1">
      <c r="A692" s="2" t="s">
        <v>6138</v>
      </c>
      <c r="B692" s="2" t="s">
        <v>1361</v>
      </c>
      <c r="C692" s="2">
        <v>2010.0</v>
      </c>
      <c r="D692" s="2" t="s">
        <v>6139</v>
      </c>
      <c r="E692" s="2" t="s">
        <v>802</v>
      </c>
      <c r="F692" s="2" t="s">
        <v>6140</v>
      </c>
      <c r="H692" s="2" t="s">
        <v>6141</v>
      </c>
      <c r="I692" s="2" t="s">
        <v>804</v>
      </c>
      <c r="L692" s="2" t="s">
        <v>1449</v>
      </c>
      <c r="M692" s="2" t="s">
        <v>1385</v>
      </c>
      <c r="N692" s="2" t="s">
        <v>1386</v>
      </c>
      <c r="P692" s="2" t="s">
        <v>6142</v>
      </c>
      <c r="R692" s="2" t="s">
        <v>4442</v>
      </c>
      <c r="S692" s="2" t="s">
        <v>6143</v>
      </c>
      <c r="AN692" s="2" t="s">
        <v>1368</v>
      </c>
    </row>
    <row r="693" ht="15.75" customHeight="1">
      <c r="A693" s="2" t="s">
        <v>6144</v>
      </c>
      <c r="B693" s="2" t="s">
        <v>1361</v>
      </c>
      <c r="C693" s="2">
        <v>2009.0</v>
      </c>
      <c r="D693" s="2" t="s">
        <v>6145</v>
      </c>
      <c r="E693" s="2" t="s">
        <v>6146</v>
      </c>
      <c r="F693" s="2" t="s">
        <v>3689</v>
      </c>
      <c r="H693" s="2" t="s">
        <v>3690</v>
      </c>
      <c r="I693" s="2" t="s">
        <v>6147</v>
      </c>
      <c r="L693" s="2" t="s">
        <v>6148</v>
      </c>
      <c r="M693" s="2" t="s">
        <v>1385</v>
      </c>
      <c r="N693" s="2" t="s">
        <v>1386</v>
      </c>
      <c r="P693" s="2" t="s">
        <v>6149</v>
      </c>
      <c r="R693" s="2" t="s">
        <v>1462</v>
      </c>
      <c r="S693" s="2" t="s">
        <v>1462</v>
      </c>
      <c r="AN693" s="2" t="s">
        <v>1368</v>
      </c>
    </row>
    <row r="694" ht="15.75" customHeight="1">
      <c r="A694" s="2" t="s">
        <v>6150</v>
      </c>
      <c r="B694" s="2" t="s">
        <v>1361</v>
      </c>
      <c r="C694" s="2">
        <v>2016.0</v>
      </c>
      <c r="D694" s="2" t="s">
        <v>6151</v>
      </c>
      <c r="E694" s="2" t="s">
        <v>6152</v>
      </c>
      <c r="F694" s="2" t="s">
        <v>362</v>
      </c>
      <c r="H694" s="2" t="s">
        <v>1877</v>
      </c>
      <c r="I694" s="2" t="s">
        <v>6153</v>
      </c>
      <c r="J694" s="2" t="s">
        <v>6154</v>
      </c>
      <c r="L694" s="2" t="s">
        <v>6155</v>
      </c>
      <c r="M694" s="2" t="s">
        <v>1385</v>
      </c>
      <c r="N694" s="2" t="s">
        <v>1386</v>
      </c>
      <c r="P694" s="2" t="s">
        <v>6156</v>
      </c>
      <c r="R694" s="2" t="s">
        <v>1600</v>
      </c>
      <c r="S694" s="2" t="s">
        <v>1620</v>
      </c>
      <c r="AN694" s="2" t="s">
        <v>1368</v>
      </c>
    </row>
    <row r="695" ht="15.75" customHeight="1">
      <c r="A695" s="2" t="s">
        <v>6157</v>
      </c>
      <c r="B695" s="2" t="s">
        <v>1361</v>
      </c>
      <c r="C695" s="2">
        <v>2011.0</v>
      </c>
      <c r="D695" s="2" t="s">
        <v>6158</v>
      </c>
      <c r="E695" s="2" t="s">
        <v>6159</v>
      </c>
      <c r="F695" s="2" t="s">
        <v>2665</v>
      </c>
      <c r="H695" s="2" t="s">
        <v>6160</v>
      </c>
      <c r="I695" s="2" t="s">
        <v>6161</v>
      </c>
      <c r="K695" s="2" t="s">
        <v>6162</v>
      </c>
      <c r="L695" s="2" t="s">
        <v>1627</v>
      </c>
      <c r="M695" s="2" t="s">
        <v>1385</v>
      </c>
      <c r="N695" s="2" t="s">
        <v>1386</v>
      </c>
      <c r="AN695" s="2" t="s">
        <v>1368</v>
      </c>
    </row>
    <row r="696" ht="15.75" customHeight="1">
      <c r="A696" s="2" t="s">
        <v>6163</v>
      </c>
      <c r="B696" s="2" t="s">
        <v>1361</v>
      </c>
      <c r="C696" s="2">
        <v>2002.0</v>
      </c>
      <c r="D696" s="2" t="s">
        <v>6164</v>
      </c>
      <c r="E696" s="2" t="s">
        <v>6165</v>
      </c>
      <c r="F696" s="2" t="s">
        <v>5470</v>
      </c>
      <c r="H696" s="2" t="s">
        <v>6166</v>
      </c>
      <c r="I696" s="2" t="s">
        <v>6167</v>
      </c>
      <c r="L696" s="2" t="s">
        <v>1493</v>
      </c>
      <c r="M696" s="2" t="s">
        <v>1385</v>
      </c>
      <c r="N696" s="2" t="s">
        <v>1386</v>
      </c>
      <c r="P696" s="2" t="s">
        <v>6168</v>
      </c>
      <c r="R696" s="2" t="s">
        <v>1462</v>
      </c>
      <c r="S696" s="2" t="s">
        <v>3136</v>
      </c>
      <c r="AN696" s="2" t="s">
        <v>1368</v>
      </c>
    </row>
    <row r="697" ht="15.75" customHeight="1">
      <c r="A697" s="2" t="s">
        <v>6169</v>
      </c>
      <c r="B697" s="2" t="s">
        <v>1396</v>
      </c>
      <c r="C697" s="2">
        <v>2004.0</v>
      </c>
      <c r="D697" s="2" t="s">
        <v>6170</v>
      </c>
      <c r="E697" s="2" t="s">
        <v>6171</v>
      </c>
      <c r="L697" s="2" t="s">
        <v>2373</v>
      </c>
      <c r="M697" s="2" t="s">
        <v>1385</v>
      </c>
      <c r="N697" s="2" t="s">
        <v>1386</v>
      </c>
      <c r="AA697" s="2" t="s">
        <v>6172</v>
      </c>
      <c r="AN697" s="2" t="s">
        <v>1368</v>
      </c>
    </row>
    <row r="698" ht="15.75" customHeight="1">
      <c r="A698" s="2" t="s">
        <v>6173</v>
      </c>
      <c r="B698" s="2" t="s">
        <v>1396</v>
      </c>
      <c r="C698" s="2">
        <v>2011.0</v>
      </c>
      <c r="D698" s="2" t="s">
        <v>6174</v>
      </c>
      <c r="E698" s="2" t="s">
        <v>6175</v>
      </c>
      <c r="L698" s="2" t="s">
        <v>1627</v>
      </c>
      <c r="M698" s="2" t="s">
        <v>1385</v>
      </c>
      <c r="N698" s="2" t="s">
        <v>1386</v>
      </c>
      <c r="AA698" s="2" t="s">
        <v>2374</v>
      </c>
      <c r="AN698" s="2" t="s">
        <v>1368</v>
      </c>
    </row>
    <row r="699" ht="15.75" customHeight="1">
      <c r="A699" s="2" t="s">
        <v>6176</v>
      </c>
      <c r="B699" s="2" t="s">
        <v>1361</v>
      </c>
      <c r="C699" s="2">
        <v>2018.0</v>
      </c>
      <c r="D699" s="2" t="s">
        <v>6177</v>
      </c>
      <c r="E699" s="2" t="s">
        <v>6178</v>
      </c>
      <c r="F699" s="2" t="s">
        <v>2549</v>
      </c>
      <c r="H699" s="2" t="s">
        <v>2550</v>
      </c>
      <c r="I699" s="2" t="s">
        <v>6179</v>
      </c>
      <c r="K699" s="2" t="s">
        <v>6180</v>
      </c>
      <c r="L699" s="2" t="s">
        <v>1420</v>
      </c>
      <c r="M699" s="2" t="s">
        <v>1385</v>
      </c>
      <c r="N699" s="2" t="s">
        <v>1386</v>
      </c>
      <c r="R699" s="2" t="s">
        <v>1462</v>
      </c>
      <c r="S699" s="2" t="s">
        <v>6181</v>
      </c>
      <c r="AN699" s="2" t="s">
        <v>1368</v>
      </c>
    </row>
    <row r="700" ht="15.75" customHeight="1">
      <c r="A700" s="2" t="s">
        <v>6182</v>
      </c>
      <c r="B700" s="2" t="s">
        <v>1396</v>
      </c>
      <c r="C700" s="2">
        <v>1996.0</v>
      </c>
      <c r="D700" s="2" t="s">
        <v>6183</v>
      </c>
      <c r="E700" s="2" t="s">
        <v>6184</v>
      </c>
      <c r="L700" s="2" t="s">
        <v>2492</v>
      </c>
      <c r="M700" s="2" t="s">
        <v>1385</v>
      </c>
      <c r="N700" s="2" t="s">
        <v>1386</v>
      </c>
      <c r="AA700" s="2" t="s">
        <v>6185</v>
      </c>
      <c r="AN700" s="2" t="s">
        <v>1368</v>
      </c>
    </row>
    <row r="701" ht="15.75" customHeight="1">
      <c r="A701" s="2" t="s">
        <v>6186</v>
      </c>
      <c r="B701" s="2" t="s">
        <v>1396</v>
      </c>
      <c r="C701" s="2">
        <v>2016.0</v>
      </c>
      <c r="D701" s="2" t="s">
        <v>6170</v>
      </c>
      <c r="E701" s="2" t="s">
        <v>6187</v>
      </c>
      <c r="L701" s="2" t="s">
        <v>1502</v>
      </c>
      <c r="M701" s="2" t="s">
        <v>1385</v>
      </c>
      <c r="N701" s="2" t="s">
        <v>1386</v>
      </c>
      <c r="AA701" s="2" t="s">
        <v>6188</v>
      </c>
      <c r="AN701" s="2" t="s">
        <v>1368</v>
      </c>
    </row>
    <row r="702" ht="15.75" customHeight="1">
      <c r="A702" s="2" t="s">
        <v>6189</v>
      </c>
      <c r="B702" s="2" t="s">
        <v>1361</v>
      </c>
      <c r="C702" s="2">
        <v>2015.0</v>
      </c>
      <c r="D702" s="2" t="s">
        <v>6190</v>
      </c>
      <c r="E702" s="2" t="s">
        <v>383</v>
      </c>
      <c r="F702" s="2" t="s">
        <v>6191</v>
      </c>
      <c r="H702" s="2" t="s">
        <v>6192</v>
      </c>
      <c r="I702" s="2" t="s">
        <v>386</v>
      </c>
      <c r="L702" s="2" t="s">
        <v>1373</v>
      </c>
      <c r="M702" s="2" t="s">
        <v>1385</v>
      </c>
      <c r="N702" s="2" t="s">
        <v>1386</v>
      </c>
      <c r="P702" s="2" t="s">
        <v>5765</v>
      </c>
      <c r="S702" s="2" t="s">
        <v>6193</v>
      </c>
      <c r="AN702" s="2" t="s">
        <v>1368</v>
      </c>
    </row>
    <row r="703" ht="15.75" customHeight="1">
      <c r="A703" s="2" t="s">
        <v>6194</v>
      </c>
      <c r="B703" s="2" t="s">
        <v>1766</v>
      </c>
      <c r="C703" s="2">
        <v>2016.0</v>
      </c>
      <c r="D703" s="2" t="s">
        <v>6195</v>
      </c>
      <c r="E703" s="2" t="s">
        <v>6196</v>
      </c>
      <c r="F703" s="2" t="s">
        <v>6197</v>
      </c>
      <c r="L703" s="2" t="s">
        <v>1502</v>
      </c>
      <c r="M703" s="2" t="s">
        <v>1385</v>
      </c>
      <c r="N703" s="2" t="s">
        <v>1386</v>
      </c>
      <c r="P703" s="2" t="s">
        <v>6198</v>
      </c>
      <c r="AA703" s="2" t="s">
        <v>6199</v>
      </c>
      <c r="AN703" s="2" t="s">
        <v>1368</v>
      </c>
      <c r="AP703" s="2" t="s">
        <v>6200</v>
      </c>
    </row>
    <row r="704" ht="15.75" customHeight="1">
      <c r="A704" s="2" t="s">
        <v>6201</v>
      </c>
      <c r="B704" s="2" t="s">
        <v>1361</v>
      </c>
      <c r="C704" s="2">
        <v>2016.0</v>
      </c>
      <c r="D704" s="2" t="s">
        <v>6202</v>
      </c>
      <c r="E704" s="2" t="s">
        <v>6203</v>
      </c>
      <c r="F704" s="2" t="s">
        <v>6204</v>
      </c>
      <c r="H704" s="2" t="s">
        <v>6205</v>
      </c>
      <c r="I704" s="2" t="s">
        <v>6206</v>
      </c>
      <c r="K704" s="2" t="s">
        <v>6207</v>
      </c>
      <c r="L704" s="2" t="s">
        <v>1502</v>
      </c>
      <c r="M704" s="2" t="s">
        <v>1385</v>
      </c>
      <c r="N704" s="2" t="s">
        <v>1386</v>
      </c>
      <c r="P704" s="2" t="s">
        <v>6208</v>
      </c>
      <c r="R704" s="2" t="s">
        <v>2565</v>
      </c>
      <c r="S704" s="2" t="s">
        <v>6209</v>
      </c>
      <c r="AN704" s="2" t="s">
        <v>1368</v>
      </c>
    </row>
    <row r="705" ht="15.75" customHeight="1">
      <c r="A705" s="2" t="s">
        <v>6210</v>
      </c>
      <c r="B705" s="2" t="s">
        <v>1361</v>
      </c>
      <c r="C705" s="2">
        <v>2015.0</v>
      </c>
      <c r="D705" s="2" t="s">
        <v>6211</v>
      </c>
      <c r="E705" s="2" t="s">
        <v>6212</v>
      </c>
      <c r="F705" s="2" t="s">
        <v>2641</v>
      </c>
      <c r="H705" s="2" t="s">
        <v>5876</v>
      </c>
      <c r="I705" s="2" t="s">
        <v>6213</v>
      </c>
      <c r="K705" s="2" t="s">
        <v>6214</v>
      </c>
      <c r="L705" s="2" t="s">
        <v>1373</v>
      </c>
      <c r="M705" s="2" t="s">
        <v>1385</v>
      </c>
      <c r="N705" s="2" t="s">
        <v>1386</v>
      </c>
      <c r="AN705" s="2" t="s">
        <v>1368</v>
      </c>
    </row>
    <row r="706" ht="15.75" customHeight="1">
      <c r="A706" s="2" t="s">
        <v>6215</v>
      </c>
      <c r="B706" s="2" t="s">
        <v>1361</v>
      </c>
      <c r="C706" s="2">
        <v>2016.0</v>
      </c>
      <c r="D706" s="2" t="s">
        <v>6216</v>
      </c>
      <c r="E706" s="2" t="s">
        <v>6217</v>
      </c>
      <c r="F706" s="2" t="s">
        <v>1688</v>
      </c>
      <c r="I706" s="2" t="s">
        <v>6218</v>
      </c>
      <c r="L706" s="2" t="s">
        <v>1502</v>
      </c>
      <c r="M706" s="2" t="s">
        <v>1385</v>
      </c>
      <c r="N706" s="2" t="s">
        <v>1386</v>
      </c>
      <c r="P706" s="2" t="s">
        <v>6219</v>
      </c>
      <c r="R706" s="2" t="s">
        <v>1537</v>
      </c>
      <c r="S706" s="2" t="s">
        <v>6220</v>
      </c>
      <c r="AN706" s="2" t="s">
        <v>1368</v>
      </c>
    </row>
    <row r="707" ht="15.75" customHeight="1">
      <c r="A707" s="2" t="s">
        <v>6221</v>
      </c>
      <c r="B707" s="2" t="s">
        <v>1361</v>
      </c>
      <c r="C707" s="2">
        <v>2018.0</v>
      </c>
      <c r="D707" s="2" t="s">
        <v>6222</v>
      </c>
      <c r="E707" s="2" t="s">
        <v>6223</v>
      </c>
      <c r="F707" s="2" t="s">
        <v>6224</v>
      </c>
      <c r="H707" s="2" t="s">
        <v>6225</v>
      </c>
      <c r="I707" s="2" t="s">
        <v>6226</v>
      </c>
      <c r="K707" s="2" t="s">
        <v>6227</v>
      </c>
      <c r="L707" s="2" t="s">
        <v>1420</v>
      </c>
      <c r="M707" s="2" t="s">
        <v>1385</v>
      </c>
      <c r="N707" s="2" t="s">
        <v>1386</v>
      </c>
      <c r="P707" s="2" t="s">
        <v>6228</v>
      </c>
      <c r="R707" s="2" t="s">
        <v>3617</v>
      </c>
      <c r="S707" s="2" t="s">
        <v>2271</v>
      </c>
      <c r="AN707" s="2" t="s">
        <v>1368</v>
      </c>
    </row>
    <row r="708" ht="15.75" customHeight="1">
      <c r="A708" s="2" t="s">
        <v>6229</v>
      </c>
      <c r="B708" s="2" t="s">
        <v>1361</v>
      </c>
      <c r="C708" s="2">
        <v>2010.0</v>
      </c>
      <c r="D708" s="2" t="s">
        <v>6230</v>
      </c>
      <c r="E708" s="2" t="s">
        <v>6231</v>
      </c>
      <c r="F708" s="2" t="s">
        <v>1466</v>
      </c>
      <c r="H708" s="2" t="s">
        <v>6232</v>
      </c>
      <c r="I708" s="2" t="s">
        <v>6233</v>
      </c>
      <c r="K708" s="2" t="s">
        <v>6234</v>
      </c>
      <c r="L708" s="2" t="s">
        <v>1449</v>
      </c>
      <c r="M708" s="2" t="s">
        <v>1385</v>
      </c>
      <c r="N708" s="2" t="s">
        <v>1386</v>
      </c>
      <c r="AN708" s="2" t="s">
        <v>1368</v>
      </c>
    </row>
    <row r="709" ht="15.75" customHeight="1">
      <c r="A709" s="2" t="s">
        <v>6235</v>
      </c>
      <c r="B709" s="2" t="s">
        <v>1781</v>
      </c>
      <c r="C709" s="2">
        <v>2017.0</v>
      </c>
      <c r="D709" s="2" t="s">
        <v>6236</v>
      </c>
      <c r="E709" s="2" t="s">
        <v>6237</v>
      </c>
      <c r="L709" s="2" t="s">
        <v>1658</v>
      </c>
      <c r="M709" s="2" t="s">
        <v>1385</v>
      </c>
      <c r="N709" s="2" t="s">
        <v>1386</v>
      </c>
      <c r="AN709" s="2" t="s">
        <v>1368</v>
      </c>
    </row>
    <row r="710" ht="15.75" customHeight="1">
      <c r="A710" s="2" t="s">
        <v>6238</v>
      </c>
      <c r="B710" s="2" t="s">
        <v>1361</v>
      </c>
      <c r="C710" s="2">
        <v>2014.0</v>
      </c>
      <c r="D710" s="2" t="s">
        <v>6239</v>
      </c>
      <c r="E710" s="2" t="s">
        <v>6240</v>
      </c>
      <c r="F710" s="2" t="s">
        <v>1688</v>
      </c>
      <c r="H710" s="2" t="s">
        <v>1689</v>
      </c>
      <c r="I710" s="2" t="s">
        <v>6241</v>
      </c>
      <c r="J710" s="2" t="s">
        <v>6242</v>
      </c>
      <c r="K710" s="2" t="s">
        <v>6243</v>
      </c>
      <c r="L710" s="2" t="s">
        <v>1476</v>
      </c>
      <c r="M710" s="2" t="s">
        <v>1385</v>
      </c>
      <c r="N710" s="2" t="s">
        <v>1386</v>
      </c>
      <c r="P710" s="2" t="s">
        <v>6244</v>
      </c>
      <c r="R710" s="2" t="s">
        <v>3391</v>
      </c>
      <c r="S710" s="2" t="s">
        <v>6245</v>
      </c>
      <c r="AN710" s="2" t="s">
        <v>1368</v>
      </c>
    </row>
    <row r="711" ht="15.75" customHeight="1">
      <c r="A711" s="2" t="s">
        <v>6246</v>
      </c>
      <c r="B711" s="2" t="s">
        <v>1361</v>
      </c>
      <c r="C711" s="2">
        <v>2014.0</v>
      </c>
      <c r="D711" s="2" t="s">
        <v>6247</v>
      </c>
      <c r="E711" s="2" t="s">
        <v>6248</v>
      </c>
      <c r="F711" s="2" t="s">
        <v>2020</v>
      </c>
      <c r="H711" s="2" t="s">
        <v>2173</v>
      </c>
      <c r="I711" s="2" t="s">
        <v>6249</v>
      </c>
      <c r="K711" s="2" t="s">
        <v>6250</v>
      </c>
      <c r="L711" s="2" t="s">
        <v>6251</v>
      </c>
      <c r="M711" s="2" t="s">
        <v>1385</v>
      </c>
      <c r="N711" s="2" t="s">
        <v>1386</v>
      </c>
      <c r="P711" s="2" t="s">
        <v>6252</v>
      </c>
      <c r="S711" s="2" t="s">
        <v>2714</v>
      </c>
      <c r="AN711" s="2" t="s">
        <v>1368</v>
      </c>
    </row>
    <row r="712" ht="15.75" customHeight="1">
      <c r="A712" s="2" t="s">
        <v>6253</v>
      </c>
      <c r="B712" s="2" t="s">
        <v>1781</v>
      </c>
      <c r="C712" s="2">
        <v>2008.0</v>
      </c>
      <c r="D712" s="2" t="s">
        <v>6254</v>
      </c>
      <c r="E712" s="2" t="s">
        <v>6255</v>
      </c>
      <c r="L712" s="2" t="s">
        <v>1458</v>
      </c>
      <c r="M712" s="2" t="s">
        <v>1385</v>
      </c>
      <c r="N712" s="2" t="s">
        <v>1386</v>
      </c>
      <c r="AB712" s="2" t="s">
        <v>2146</v>
      </c>
      <c r="AN712" s="2" t="s">
        <v>1368</v>
      </c>
    </row>
    <row r="713" ht="15.75" customHeight="1">
      <c r="A713" s="2" t="s">
        <v>6256</v>
      </c>
      <c r="B713" s="2" t="s">
        <v>1361</v>
      </c>
      <c r="C713" s="2">
        <v>2010.0</v>
      </c>
      <c r="D713" s="2" t="s">
        <v>6257</v>
      </c>
      <c r="E713" s="2" t="s">
        <v>6258</v>
      </c>
      <c r="F713" s="2" t="s">
        <v>6259</v>
      </c>
      <c r="H713" s="2" t="s">
        <v>6260</v>
      </c>
      <c r="I713" s="2" t="s">
        <v>6261</v>
      </c>
      <c r="K713" s="2" t="s">
        <v>6262</v>
      </c>
      <c r="L713" s="2" t="s">
        <v>1449</v>
      </c>
      <c r="M713" s="2" t="s">
        <v>1385</v>
      </c>
      <c r="N713" s="2" t="s">
        <v>1386</v>
      </c>
      <c r="AN713" s="2" t="s">
        <v>1368</v>
      </c>
    </row>
    <row r="714" ht="15.75" customHeight="1">
      <c r="A714" s="2" t="s">
        <v>6263</v>
      </c>
      <c r="B714" s="2" t="s">
        <v>1361</v>
      </c>
      <c r="C714" s="2">
        <v>2012.0</v>
      </c>
      <c r="D714" s="2" t="s">
        <v>6264</v>
      </c>
      <c r="E714" s="2" t="s">
        <v>6265</v>
      </c>
      <c r="F714" s="2" t="s">
        <v>6266</v>
      </c>
      <c r="H714" s="2" t="s">
        <v>6267</v>
      </c>
      <c r="I714" s="2" t="s">
        <v>6268</v>
      </c>
      <c r="K714" s="2" t="s">
        <v>6269</v>
      </c>
      <c r="L714" s="2" t="s">
        <v>1405</v>
      </c>
      <c r="M714" s="2" t="s">
        <v>1385</v>
      </c>
      <c r="N714" s="2" t="s">
        <v>1386</v>
      </c>
      <c r="AN714" s="2" t="s">
        <v>1368</v>
      </c>
    </row>
    <row r="715" ht="15.75" customHeight="1">
      <c r="A715" s="2" t="s">
        <v>6270</v>
      </c>
      <c r="B715" s="2" t="s">
        <v>1396</v>
      </c>
      <c r="C715" s="2">
        <v>2013.0</v>
      </c>
      <c r="D715" s="2" t="s">
        <v>6271</v>
      </c>
      <c r="E715" s="2" t="s">
        <v>6272</v>
      </c>
      <c r="L715" s="2" t="s">
        <v>1429</v>
      </c>
      <c r="M715" s="2" t="s">
        <v>1385</v>
      </c>
      <c r="N715" s="2" t="s">
        <v>1386</v>
      </c>
      <c r="AA715" s="2" t="s">
        <v>2441</v>
      </c>
      <c r="AN715" s="2" t="s">
        <v>1368</v>
      </c>
    </row>
    <row r="716" ht="15.75" customHeight="1">
      <c r="A716" s="2" t="s">
        <v>6273</v>
      </c>
      <c r="B716" s="2" t="s">
        <v>1781</v>
      </c>
      <c r="C716" s="2">
        <v>1991.0</v>
      </c>
      <c r="D716" s="2" t="s">
        <v>5767</v>
      </c>
      <c r="E716" s="2" t="s">
        <v>6274</v>
      </c>
      <c r="L716" s="2" t="s">
        <v>2607</v>
      </c>
      <c r="M716" s="2" t="s">
        <v>1385</v>
      </c>
      <c r="N716" s="2" t="s">
        <v>1386</v>
      </c>
      <c r="AN716" s="2" t="s">
        <v>1368</v>
      </c>
    </row>
    <row r="717" ht="15.75" customHeight="1">
      <c r="A717" s="2" t="s">
        <v>6275</v>
      </c>
      <c r="B717" s="2" t="s">
        <v>1361</v>
      </c>
      <c r="C717" s="2">
        <v>2011.0</v>
      </c>
      <c r="D717" s="2" t="s">
        <v>6276</v>
      </c>
      <c r="E717" s="2" t="s">
        <v>6277</v>
      </c>
      <c r="F717" s="2" t="s">
        <v>6278</v>
      </c>
      <c r="H717" s="2" t="s">
        <v>5147</v>
      </c>
      <c r="I717" s="2" t="s">
        <v>6279</v>
      </c>
      <c r="K717" s="2" t="s">
        <v>6280</v>
      </c>
      <c r="L717" s="2" t="s">
        <v>1627</v>
      </c>
      <c r="M717" s="2" t="s">
        <v>1385</v>
      </c>
      <c r="N717" s="2" t="s">
        <v>1386</v>
      </c>
      <c r="P717" s="2" t="s">
        <v>6281</v>
      </c>
      <c r="R717" s="2" t="s">
        <v>1480</v>
      </c>
      <c r="S717" s="2" t="s">
        <v>6282</v>
      </c>
      <c r="AN717" s="2" t="s">
        <v>1368</v>
      </c>
    </row>
    <row r="718" ht="15.75" customHeight="1">
      <c r="A718" s="2" t="s">
        <v>6283</v>
      </c>
      <c r="B718" s="2" t="s">
        <v>1781</v>
      </c>
      <c r="C718" s="2">
        <v>2015.0</v>
      </c>
      <c r="D718" s="2" t="s">
        <v>6284</v>
      </c>
      <c r="E718" s="2" t="s">
        <v>6285</v>
      </c>
      <c r="L718" s="2" t="s">
        <v>1373</v>
      </c>
      <c r="M718" s="2" t="s">
        <v>1385</v>
      </c>
      <c r="N718" s="2" t="s">
        <v>1386</v>
      </c>
      <c r="AN718" s="2" t="s">
        <v>1368</v>
      </c>
    </row>
    <row r="719" ht="15.75" customHeight="1">
      <c r="A719" s="2" t="s">
        <v>6286</v>
      </c>
      <c r="B719" s="2" t="s">
        <v>1396</v>
      </c>
      <c r="C719" s="2">
        <v>2006.0</v>
      </c>
      <c r="D719" s="2" t="s">
        <v>6287</v>
      </c>
      <c r="E719" s="2" t="s">
        <v>6288</v>
      </c>
      <c r="G719" s="2" t="s">
        <v>6289</v>
      </c>
      <c r="K719" s="2" t="s">
        <v>6290</v>
      </c>
      <c r="L719" s="2" t="s">
        <v>1727</v>
      </c>
      <c r="M719" s="2" t="s">
        <v>1385</v>
      </c>
      <c r="N719" s="2" t="s">
        <v>1386</v>
      </c>
      <c r="Q719" s="2">
        <v>338.0</v>
      </c>
      <c r="AA719" s="2" t="s">
        <v>6291</v>
      </c>
      <c r="AN719" s="2" t="s">
        <v>1368</v>
      </c>
    </row>
    <row r="720" ht="15.75" customHeight="1">
      <c r="A720" s="2" t="s">
        <v>6292</v>
      </c>
      <c r="B720" s="2" t="s">
        <v>1361</v>
      </c>
      <c r="C720" s="2">
        <v>2011.0</v>
      </c>
      <c r="D720" s="2" t="s">
        <v>6293</v>
      </c>
      <c r="E720" s="2" t="s">
        <v>738</v>
      </c>
      <c r="F720" s="2" t="s">
        <v>6294</v>
      </c>
      <c r="H720" s="2" t="s">
        <v>6295</v>
      </c>
      <c r="I720" s="2" t="s">
        <v>741</v>
      </c>
      <c r="K720" s="2" t="s">
        <v>6296</v>
      </c>
      <c r="L720" s="2" t="s">
        <v>1627</v>
      </c>
      <c r="M720" s="2" t="s">
        <v>1385</v>
      </c>
      <c r="N720" s="2" t="s">
        <v>1386</v>
      </c>
      <c r="P720" s="2" t="s">
        <v>6297</v>
      </c>
      <c r="R720" s="2" t="s">
        <v>1506</v>
      </c>
      <c r="S720" s="2" t="s">
        <v>2629</v>
      </c>
      <c r="AN720" s="2" t="s">
        <v>1368</v>
      </c>
    </row>
    <row r="721" ht="15.75" customHeight="1">
      <c r="A721" s="2" t="s">
        <v>6298</v>
      </c>
      <c r="B721" s="2" t="s">
        <v>1361</v>
      </c>
      <c r="C721" s="2">
        <v>2002.0</v>
      </c>
      <c r="D721" s="2" t="s">
        <v>6299</v>
      </c>
      <c r="E721" s="2" t="s">
        <v>6300</v>
      </c>
      <c r="F721" s="2" t="s">
        <v>1760</v>
      </c>
      <c r="H721" s="2" t="s">
        <v>1761</v>
      </c>
      <c r="I721" s="2" t="s">
        <v>6301</v>
      </c>
      <c r="K721" s="2" t="s">
        <v>6302</v>
      </c>
      <c r="L721" s="2" t="s">
        <v>1493</v>
      </c>
      <c r="M721" s="2" t="s">
        <v>1385</v>
      </c>
      <c r="N721" s="2" t="s">
        <v>1386</v>
      </c>
      <c r="P721" s="2" t="s">
        <v>6303</v>
      </c>
      <c r="R721" s="2" t="s">
        <v>1462</v>
      </c>
      <c r="S721" s="2" t="s">
        <v>3211</v>
      </c>
      <c r="AN721" s="2" t="s">
        <v>1368</v>
      </c>
    </row>
    <row r="722" ht="15.75" customHeight="1">
      <c r="A722" s="2" t="s">
        <v>6304</v>
      </c>
      <c r="B722" s="2" t="s">
        <v>1361</v>
      </c>
      <c r="C722" s="2">
        <v>2000.0</v>
      </c>
      <c r="D722" s="2" t="s">
        <v>5659</v>
      </c>
      <c r="E722" s="2" t="s">
        <v>6305</v>
      </c>
      <c r="F722" s="2" t="s">
        <v>6306</v>
      </c>
      <c r="H722" s="2" t="s">
        <v>6307</v>
      </c>
      <c r="I722" s="2" t="s">
        <v>6308</v>
      </c>
      <c r="L722" s="2" t="s">
        <v>2429</v>
      </c>
      <c r="M722" s="2" t="s">
        <v>1385</v>
      </c>
      <c r="N722" s="2" t="s">
        <v>1386</v>
      </c>
      <c r="P722" s="2" t="s">
        <v>6309</v>
      </c>
      <c r="R722" s="2" t="s">
        <v>1600</v>
      </c>
      <c r="S722" s="2" t="s">
        <v>6310</v>
      </c>
      <c r="AN722" s="2" t="s">
        <v>1368</v>
      </c>
    </row>
    <row r="723" ht="15.75" customHeight="1">
      <c r="A723" s="2" t="s">
        <v>6311</v>
      </c>
      <c r="B723" s="2" t="s">
        <v>1361</v>
      </c>
      <c r="C723" s="2">
        <v>2018.0</v>
      </c>
      <c r="D723" s="2" t="s">
        <v>6312</v>
      </c>
      <c r="E723" s="2" t="s">
        <v>6313</v>
      </c>
      <c r="F723" s="2" t="s">
        <v>1688</v>
      </c>
      <c r="H723" s="2" t="s">
        <v>1689</v>
      </c>
      <c r="I723" s="2" t="s">
        <v>6314</v>
      </c>
      <c r="L723" s="2" t="s">
        <v>1420</v>
      </c>
      <c r="M723" s="2" t="s">
        <v>1385</v>
      </c>
      <c r="N723" s="2" t="s">
        <v>1386</v>
      </c>
      <c r="P723" s="2" t="s">
        <v>6315</v>
      </c>
      <c r="R723" s="2" t="s">
        <v>2877</v>
      </c>
      <c r="S723" s="2" t="s">
        <v>6316</v>
      </c>
      <c r="AN723" s="2" t="s">
        <v>1368</v>
      </c>
    </row>
    <row r="724" ht="15.75" customHeight="1">
      <c r="A724" s="2" t="s">
        <v>6317</v>
      </c>
      <c r="B724" s="2" t="s">
        <v>1396</v>
      </c>
      <c r="C724" s="2">
        <v>1965.0</v>
      </c>
      <c r="D724" s="2" t="s">
        <v>6318</v>
      </c>
      <c r="E724" s="2" t="s">
        <v>6319</v>
      </c>
      <c r="G724" s="2" t="s">
        <v>6320</v>
      </c>
      <c r="L724" s="2" t="s">
        <v>6321</v>
      </c>
      <c r="M724" s="2" t="s">
        <v>1385</v>
      </c>
      <c r="N724" s="2" t="s">
        <v>1386</v>
      </c>
      <c r="AA724" s="2" t="s">
        <v>3283</v>
      </c>
      <c r="AN724" s="2" t="s">
        <v>1368</v>
      </c>
    </row>
    <row r="725" ht="15.75" customHeight="1">
      <c r="A725" s="2" t="s">
        <v>6322</v>
      </c>
      <c r="B725" s="2" t="s">
        <v>1396</v>
      </c>
      <c r="C725" s="2">
        <v>2015.0</v>
      </c>
      <c r="D725" s="2" t="s">
        <v>5659</v>
      </c>
      <c r="E725" s="2" t="s">
        <v>6323</v>
      </c>
      <c r="G725" s="2" t="s">
        <v>6324</v>
      </c>
      <c r="K725" s="2" t="s">
        <v>6325</v>
      </c>
      <c r="L725" s="2" t="s">
        <v>1373</v>
      </c>
      <c r="M725" s="2" t="s">
        <v>1385</v>
      </c>
      <c r="N725" s="2" t="s">
        <v>1386</v>
      </c>
      <c r="Q725" s="2">
        <v>294.0</v>
      </c>
      <c r="AA725" s="2" t="s">
        <v>2187</v>
      </c>
      <c r="AN725" s="2" t="s">
        <v>1368</v>
      </c>
    </row>
    <row r="726" ht="15.75" customHeight="1">
      <c r="A726" s="2" t="s">
        <v>6326</v>
      </c>
      <c r="B726" s="2" t="s">
        <v>1361</v>
      </c>
      <c r="C726" s="2">
        <v>2013.0</v>
      </c>
      <c r="D726" s="2" t="s">
        <v>6327</v>
      </c>
      <c r="E726" s="2" t="s">
        <v>6328</v>
      </c>
      <c r="F726" s="2" t="s">
        <v>6329</v>
      </c>
      <c r="H726" s="2" t="s">
        <v>6330</v>
      </c>
      <c r="I726" s="2" t="s">
        <v>6331</v>
      </c>
      <c r="K726" s="2" t="s">
        <v>6332</v>
      </c>
      <c r="L726" s="2" t="s">
        <v>6333</v>
      </c>
      <c r="M726" s="2" t="s">
        <v>1385</v>
      </c>
      <c r="N726" s="2" t="s">
        <v>1386</v>
      </c>
      <c r="P726" s="2" t="s">
        <v>6334</v>
      </c>
      <c r="R726" s="2" t="s">
        <v>1600</v>
      </c>
      <c r="S726" s="2" t="s">
        <v>1620</v>
      </c>
      <c r="AN726" s="2" t="s">
        <v>1368</v>
      </c>
    </row>
    <row r="727" ht="15.75" customHeight="1">
      <c r="A727" s="2" t="s">
        <v>6335</v>
      </c>
      <c r="B727" s="2" t="s">
        <v>1361</v>
      </c>
      <c r="C727" s="2">
        <v>2015.0</v>
      </c>
      <c r="D727" s="2" t="s">
        <v>6336</v>
      </c>
      <c r="E727" s="2" t="s">
        <v>6337</v>
      </c>
      <c r="F727" s="2" t="s">
        <v>362</v>
      </c>
      <c r="H727" s="2" t="s">
        <v>1877</v>
      </c>
      <c r="I727" s="2" t="s">
        <v>6338</v>
      </c>
      <c r="J727" s="2" t="s">
        <v>6339</v>
      </c>
      <c r="K727" s="2" t="s">
        <v>6340</v>
      </c>
      <c r="L727" s="2" t="s">
        <v>6341</v>
      </c>
      <c r="M727" s="2" t="s">
        <v>1385</v>
      </c>
      <c r="N727" s="2" t="s">
        <v>1386</v>
      </c>
      <c r="P727" s="2" t="s">
        <v>6342</v>
      </c>
      <c r="R727" s="2" t="s">
        <v>1443</v>
      </c>
      <c r="S727" s="2" t="s">
        <v>1537</v>
      </c>
      <c r="AN727" s="2" t="s">
        <v>1368</v>
      </c>
    </row>
    <row r="728" ht="15.75" customHeight="1">
      <c r="A728" s="2" t="s">
        <v>6343</v>
      </c>
      <c r="B728" s="2" t="s">
        <v>1781</v>
      </c>
      <c r="C728" s="2">
        <v>2016.0</v>
      </c>
      <c r="D728" s="2" t="s">
        <v>6344</v>
      </c>
      <c r="E728" s="2" t="s">
        <v>6345</v>
      </c>
      <c r="L728" s="2" t="s">
        <v>1502</v>
      </c>
      <c r="M728" s="2" t="s">
        <v>1385</v>
      </c>
      <c r="N728" s="2" t="s">
        <v>1386</v>
      </c>
      <c r="AN728" s="2" t="s">
        <v>1368</v>
      </c>
    </row>
    <row r="729" ht="15.75" customHeight="1">
      <c r="A729" s="2" t="s">
        <v>6346</v>
      </c>
      <c r="B729" s="2" t="s">
        <v>1361</v>
      </c>
      <c r="C729" s="2">
        <v>2010.0</v>
      </c>
      <c r="D729" s="2" t="s">
        <v>6347</v>
      </c>
      <c r="E729" s="2" t="s">
        <v>6348</v>
      </c>
      <c r="F729" s="2" t="s">
        <v>1500</v>
      </c>
      <c r="I729" s="2" t="s">
        <v>6349</v>
      </c>
      <c r="L729" s="2" t="s">
        <v>1449</v>
      </c>
      <c r="M729" s="2" t="s">
        <v>6350</v>
      </c>
      <c r="N729" s="2" t="s">
        <v>6351</v>
      </c>
      <c r="P729" s="2" t="s">
        <v>6352</v>
      </c>
      <c r="R729" s="2">
        <v>3.0</v>
      </c>
      <c r="S729" s="2">
        <v>46.0</v>
      </c>
      <c r="AN729" s="2" t="s">
        <v>1368</v>
      </c>
    </row>
    <row r="730" ht="15.75" customHeight="1">
      <c r="A730" s="2" t="s">
        <v>6353</v>
      </c>
      <c r="B730" s="2" t="s">
        <v>1361</v>
      </c>
      <c r="C730" s="2">
        <v>2012.0</v>
      </c>
      <c r="D730" s="2" t="s">
        <v>6354</v>
      </c>
      <c r="E730" s="2" t="s">
        <v>6355</v>
      </c>
      <c r="F730" s="2" t="s">
        <v>6356</v>
      </c>
      <c r="H730" s="2" t="s">
        <v>6357</v>
      </c>
      <c r="K730" s="2" t="s">
        <v>6358</v>
      </c>
      <c r="L730" s="2" t="s">
        <v>1405</v>
      </c>
      <c r="M730" s="2" t="s">
        <v>4103</v>
      </c>
      <c r="N730" s="2" t="s">
        <v>4104</v>
      </c>
      <c r="P730" s="2" t="s">
        <v>6359</v>
      </c>
      <c r="R730" s="2">
        <v>2.0</v>
      </c>
      <c r="S730" s="2">
        <v>5.0</v>
      </c>
      <c r="AN730" s="2" t="s">
        <v>1368</v>
      </c>
    </row>
    <row r="731" ht="15.75" customHeight="1">
      <c r="A731" s="2" t="s">
        <v>6360</v>
      </c>
      <c r="B731" s="2" t="s">
        <v>1361</v>
      </c>
      <c r="C731" s="2">
        <v>2012.0</v>
      </c>
      <c r="D731" s="2" t="s">
        <v>6361</v>
      </c>
      <c r="E731" s="2" t="s">
        <v>6362</v>
      </c>
      <c r="F731" s="2" t="s">
        <v>6363</v>
      </c>
      <c r="H731" s="2" t="s">
        <v>6364</v>
      </c>
      <c r="I731" s="2" t="s">
        <v>6365</v>
      </c>
      <c r="J731" s="2" t="s">
        <v>6366</v>
      </c>
      <c r="L731" s="2" t="s">
        <v>2612</v>
      </c>
      <c r="M731" s="2" t="s">
        <v>6367</v>
      </c>
      <c r="N731" s="2" t="s">
        <v>6368</v>
      </c>
      <c r="O731" s="2" t="s">
        <v>5951</v>
      </c>
      <c r="P731" s="2" t="s">
        <v>6369</v>
      </c>
      <c r="R731" s="2">
        <v>5.0</v>
      </c>
      <c r="S731" s="2">
        <v>15.0</v>
      </c>
      <c r="V731" s="2" t="s">
        <v>6370</v>
      </c>
      <c r="AC731" s="2" t="s">
        <v>1540</v>
      </c>
      <c r="AH731" s="2" t="s">
        <v>1541</v>
      </c>
      <c r="AN731" s="2" t="s">
        <v>1885</v>
      </c>
    </row>
    <row r="732" ht="15.75" customHeight="1">
      <c r="A732" s="2" t="s">
        <v>6371</v>
      </c>
      <c r="B732" s="2" t="s">
        <v>1396</v>
      </c>
      <c r="C732" s="2">
        <v>2007.0</v>
      </c>
      <c r="D732" s="2" t="s">
        <v>6372</v>
      </c>
      <c r="E732" s="2" t="s">
        <v>6373</v>
      </c>
      <c r="L732" s="2" t="s">
        <v>2380</v>
      </c>
      <c r="M732" s="2" t="s">
        <v>6374</v>
      </c>
      <c r="N732" s="2" t="s">
        <v>6375</v>
      </c>
      <c r="AA732" s="2" t="s">
        <v>6376</v>
      </c>
      <c r="AC732" s="2" t="s">
        <v>1540</v>
      </c>
      <c r="AN732" s="2" t="s">
        <v>1872</v>
      </c>
    </row>
    <row r="733" ht="15.75" customHeight="1">
      <c r="A733" s="2" t="s">
        <v>6377</v>
      </c>
      <c r="B733" s="2" t="s">
        <v>1361</v>
      </c>
      <c r="C733" s="2">
        <v>2008.0</v>
      </c>
      <c r="D733" s="2" t="s">
        <v>6378</v>
      </c>
      <c r="E733" s="2" t="s">
        <v>6379</v>
      </c>
      <c r="F733" s="2" t="s">
        <v>6380</v>
      </c>
      <c r="H733" s="2" t="s">
        <v>6381</v>
      </c>
      <c r="I733" s="2" t="s">
        <v>6382</v>
      </c>
      <c r="J733" s="2" t="s">
        <v>6383</v>
      </c>
      <c r="K733" s="2" t="s">
        <v>6384</v>
      </c>
      <c r="L733" s="2" t="s">
        <v>1458</v>
      </c>
      <c r="M733" s="2" t="s">
        <v>1385</v>
      </c>
      <c r="N733" s="2" t="s">
        <v>1386</v>
      </c>
      <c r="P733" s="2" t="s">
        <v>6385</v>
      </c>
      <c r="R733" s="2">
        <v>4.0</v>
      </c>
      <c r="S733" s="2">
        <v>18.0</v>
      </c>
      <c r="AN733" s="2" t="s">
        <v>1368</v>
      </c>
    </row>
    <row r="734" ht="15.75" customHeight="1">
      <c r="A734" s="2" t="s">
        <v>6386</v>
      </c>
      <c r="B734" s="2" t="s">
        <v>1623</v>
      </c>
      <c r="C734" s="2">
        <v>2012.0</v>
      </c>
      <c r="D734" s="2" t="s">
        <v>6387</v>
      </c>
      <c r="E734" s="2" t="s">
        <v>6388</v>
      </c>
      <c r="J734" s="2" t="s">
        <v>6389</v>
      </c>
      <c r="L734" s="2" t="s">
        <v>1405</v>
      </c>
      <c r="M734" s="2" t="s">
        <v>1385</v>
      </c>
      <c r="N734" s="2" t="s">
        <v>1386</v>
      </c>
      <c r="O734" s="2" t="s">
        <v>6390</v>
      </c>
      <c r="AA734" s="2" t="s">
        <v>6391</v>
      </c>
      <c r="AB734" s="2" t="s">
        <v>6392</v>
      </c>
      <c r="AN734" s="2" t="s">
        <v>1368</v>
      </c>
    </row>
    <row r="735" ht="15.75" customHeight="1">
      <c r="A735" s="2" t="s">
        <v>6393</v>
      </c>
      <c r="B735" s="2" t="s">
        <v>1766</v>
      </c>
      <c r="C735" s="2">
        <v>2017.0</v>
      </c>
      <c r="D735" s="2" t="s">
        <v>6394</v>
      </c>
      <c r="E735" s="2" t="s">
        <v>6395</v>
      </c>
      <c r="F735" s="2" t="s">
        <v>6396</v>
      </c>
      <c r="L735" s="2" t="s">
        <v>1658</v>
      </c>
      <c r="M735" s="2" t="s">
        <v>1385</v>
      </c>
      <c r="N735" s="2" t="s">
        <v>1386</v>
      </c>
      <c r="P735" s="2" t="s">
        <v>6397</v>
      </c>
      <c r="AA735" s="2" t="s">
        <v>2441</v>
      </c>
      <c r="AN735" s="2" t="s">
        <v>1368</v>
      </c>
    </row>
    <row r="736" ht="15.75" customHeight="1">
      <c r="A736" s="2" t="s">
        <v>6398</v>
      </c>
      <c r="B736" s="2" t="s">
        <v>1361</v>
      </c>
      <c r="C736" s="2">
        <v>2001.0</v>
      </c>
      <c r="D736" s="2" t="s">
        <v>6399</v>
      </c>
      <c r="E736" s="2" t="s">
        <v>6400</v>
      </c>
      <c r="F736" s="2" t="s">
        <v>1474</v>
      </c>
      <c r="H736" s="2" t="s">
        <v>6401</v>
      </c>
      <c r="I736" s="2" t="s">
        <v>6402</v>
      </c>
      <c r="J736" s="2" t="s">
        <v>6403</v>
      </c>
      <c r="L736" s="2" t="s">
        <v>6404</v>
      </c>
      <c r="M736" s="2" t="s">
        <v>1385</v>
      </c>
      <c r="N736" s="2" t="s">
        <v>1386</v>
      </c>
      <c r="P736" s="2" t="s">
        <v>6405</v>
      </c>
      <c r="R736" s="2">
        <v>4.0</v>
      </c>
      <c r="S736" s="2">
        <v>91.0</v>
      </c>
      <c r="AN736" s="2" t="s">
        <v>1368</v>
      </c>
    </row>
    <row r="737" ht="15.75" customHeight="1">
      <c r="A737" s="2" t="s">
        <v>6406</v>
      </c>
      <c r="B737" s="2" t="s">
        <v>1361</v>
      </c>
      <c r="C737" s="2">
        <v>2006.0</v>
      </c>
      <c r="D737" s="2" t="s">
        <v>6407</v>
      </c>
      <c r="E737" s="2" t="s">
        <v>6408</v>
      </c>
      <c r="F737" s="2" t="s">
        <v>1863</v>
      </c>
      <c r="H737" s="2" t="s">
        <v>1864</v>
      </c>
      <c r="I737" s="2" t="s">
        <v>6409</v>
      </c>
      <c r="K737" s="2" t="s">
        <v>6410</v>
      </c>
      <c r="L737" s="2" t="s">
        <v>1727</v>
      </c>
      <c r="M737" s="2" t="s">
        <v>1385</v>
      </c>
      <c r="N737" s="2" t="s">
        <v>1386</v>
      </c>
      <c r="AN737" s="2" t="s">
        <v>1368</v>
      </c>
    </row>
    <row r="738" ht="15.75" customHeight="1">
      <c r="A738" s="2" t="s">
        <v>6411</v>
      </c>
      <c r="B738" s="2" t="s">
        <v>1781</v>
      </c>
      <c r="C738" s="2">
        <v>2016.0</v>
      </c>
      <c r="D738" s="2" t="s">
        <v>6412</v>
      </c>
      <c r="E738" s="2" t="s">
        <v>6413</v>
      </c>
      <c r="K738" s="2" t="s">
        <v>6414</v>
      </c>
      <c r="L738" s="2" t="s">
        <v>1502</v>
      </c>
      <c r="M738" s="2" t="s">
        <v>1385</v>
      </c>
      <c r="N738" s="2" t="s">
        <v>1386</v>
      </c>
      <c r="Q738" s="2">
        <v>1.0</v>
      </c>
      <c r="AN738" s="2" t="s">
        <v>1368</v>
      </c>
    </row>
    <row r="739" ht="15.75" customHeight="1">
      <c r="A739" s="2" t="s">
        <v>6415</v>
      </c>
      <c r="B739" s="2" t="s">
        <v>1361</v>
      </c>
      <c r="C739" s="2">
        <v>2002.0</v>
      </c>
      <c r="D739" s="2" t="s">
        <v>6416</v>
      </c>
      <c r="E739" s="2" t="s">
        <v>6417</v>
      </c>
      <c r="F739" s="2" t="s">
        <v>6418</v>
      </c>
      <c r="I739" s="2" t="s">
        <v>6419</v>
      </c>
      <c r="L739" s="2">
        <v>2002.0</v>
      </c>
      <c r="M739" s="2" t="s">
        <v>6420</v>
      </c>
      <c r="N739" s="2" t="s">
        <v>6421</v>
      </c>
      <c r="R739" s="2">
        <v>483.0</v>
      </c>
      <c r="S739" s="2">
        <v>112.0</v>
      </c>
      <c r="AN739" s="2" t="s">
        <v>1368</v>
      </c>
    </row>
    <row r="740" ht="15.75" customHeight="1">
      <c r="A740" s="2" t="s">
        <v>6422</v>
      </c>
      <c r="B740" s="2" t="s">
        <v>1361</v>
      </c>
      <c r="C740" s="2">
        <v>2014.0</v>
      </c>
      <c r="D740" s="2" t="s">
        <v>6423</v>
      </c>
      <c r="E740" s="2" t="s">
        <v>6424</v>
      </c>
      <c r="J740" s="2" t="s">
        <v>6425</v>
      </c>
      <c r="L740" s="2">
        <v>2014.0</v>
      </c>
      <c r="M740" s="2" t="s">
        <v>6426</v>
      </c>
      <c r="N740" s="2" t="s">
        <v>6427</v>
      </c>
      <c r="AN740" s="2" t="s">
        <v>1368</v>
      </c>
    </row>
    <row r="741" ht="15.75" customHeight="1">
      <c r="A741" s="2" t="s">
        <v>6428</v>
      </c>
      <c r="B741" s="2" t="s">
        <v>1361</v>
      </c>
      <c r="C741" s="2">
        <v>1996.0</v>
      </c>
      <c r="D741" s="2" t="s">
        <v>6429</v>
      </c>
      <c r="E741" s="2" t="s">
        <v>6430</v>
      </c>
      <c r="L741" s="2">
        <v>1996.0</v>
      </c>
      <c r="M741" s="2" t="s">
        <v>6431</v>
      </c>
      <c r="N741" s="2" t="s">
        <v>6432</v>
      </c>
      <c r="AN741" s="2" t="s">
        <v>1368</v>
      </c>
    </row>
    <row r="742" ht="15.75" customHeight="1">
      <c r="A742" s="2" t="s">
        <v>6433</v>
      </c>
      <c r="B742" s="2" t="s">
        <v>1361</v>
      </c>
      <c r="C742" s="2">
        <v>2014.0</v>
      </c>
      <c r="D742" s="2" t="s">
        <v>6434</v>
      </c>
      <c r="E742" s="2" t="s">
        <v>6435</v>
      </c>
      <c r="F742" s="2" t="s">
        <v>6436</v>
      </c>
      <c r="I742" s="2" t="s">
        <v>6437</v>
      </c>
      <c r="L742" s="2">
        <v>2014.0</v>
      </c>
      <c r="M742" s="2" t="s">
        <v>6438</v>
      </c>
      <c r="N742" s="2" t="s">
        <v>6439</v>
      </c>
      <c r="P742" s="2" t="s">
        <v>6440</v>
      </c>
      <c r="R742" s="2">
        <v>1.0</v>
      </c>
      <c r="S742" s="2">
        <v>22.0</v>
      </c>
      <c r="AN742" s="2" t="s">
        <v>1368</v>
      </c>
    </row>
    <row r="743" ht="15.75" customHeight="1">
      <c r="A743" s="2" t="s">
        <v>6441</v>
      </c>
      <c r="B743" s="2" t="s">
        <v>1361</v>
      </c>
      <c r="C743" s="2">
        <v>2009.0</v>
      </c>
      <c r="D743" s="2" t="s">
        <v>6442</v>
      </c>
      <c r="E743" s="2" t="s">
        <v>6443</v>
      </c>
      <c r="F743" s="2" t="s">
        <v>2053</v>
      </c>
      <c r="H743" s="2">
        <v>1.5409295E7</v>
      </c>
      <c r="I743" s="2" t="s">
        <v>977</v>
      </c>
      <c r="K743" s="2" t="s">
        <v>976</v>
      </c>
      <c r="L743" s="2">
        <v>2009.0</v>
      </c>
      <c r="M743" s="2" t="s">
        <v>1385</v>
      </c>
      <c r="N743" s="2" t="s">
        <v>1386</v>
      </c>
      <c r="P743" s="2" t="s">
        <v>6444</v>
      </c>
      <c r="R743" s="2">
        <v>2.0</v>
      </c>
      <c r="S743" s="2">
        <v>7.0</v>
      </c>
      <c r="AN743" s="2" t="s">
        <v>2244</v>
      </c>
    </row>
    <row r="744" ht="15.75" customHeight="1">
      <c r="A744" s="2" t="s">
        <v>6445</v>
      </c>
      <c r="B744" s="2" t="s">
        <v>1396</v>
      </c>
      <c r="C744" s="2">
        <v>2004.0</v>
      </c>
      <c r="D744" s="2" t="s">
        <v>6446</v>
      </c>
      <c r="E744" s="2" t="s">
        <v>6447</v>
      </c>
      <c r="L744" s="2">
        <v>2004.0</v>
      </c>
      <c r="M744" s="2" t="s">
        <v>1385</v>
      </c>
      <c r="N744" s="2" t="s">
        <v>1386</v>
      </c>
      <c r="AA744" s="2" t="s">
        <v>6448</v>
      </c>
      <c r="AN744" s="2" t="s">
        <v>1368</v>
      </c>
    </row>
    <row r="745" ht="15.75" customHeight="1">
      <c r="A745" s="2" t="s">
        <v>6449</v>
      </c>
      <c r="B745" s="2" t="s">
        <v>1361</v>
      </c>
      <c r="C745" s="2">
        <v>2005.0</v>
      </c>
      <c r="D745" s="2" t="s">
        <v>6450</v>
      </c>
      <c r="E745" s="2" t="s">
        <v>6451</v>
      </c>
      <c r="F745" s="2" t="s">
        <v>6278</v>
      </c>
      <c r="H745" s="2">
        <v>9645691.0</v>
      </c>
      <c r="I745" s="2" t="s">
        <v>6452</v>
      </c>
      <c r="K745" s="2" t="s">
        <v>6453</v>
      </c>
      <c r="L745" s="2">
        <v>2005.0</v>
      </c>
      <c r="M745" s="2" t="s">
        <v>1385</v>
      </c>
      <c r="N745" s="2" t="s">
        <v>1386</v>
      </c>
      <c r="P745" s="2" t="s">
        <v>6454</v>
      </c>
      <c r="R745" s="2">
        <v>1.0</v>
      </c>
      <c r="S745" s="2">
        <v>48.0</v>
      </c>
      <c r="AN745" s="2" t="s">
        <v>1368</v>
      </c>
    </row>
    <row r="746" ht="15.75" customHeight="1">
      <c r="A746" s="2" t="s">
        <v>6455</v>
      </c>
      <c r="B746" s="2" t="s">
        <v>1396</v>
      </c>
      <c r="C746" s="2">
        <v>1996.0</v>
      </c>
      <c r="D746" s="2" t="s">
        <v>6456</v>
      </c>
      <c r="E746" s="2" t="s">
        <v>6457</v>
      </c>
      <c r="L746" s="2">
        <v>1996.0</v>
      </c>
      <c r="M746" s="2" t="s">
        <v>1385</v>
      </c>
      <c r="N746" s="2" t="s">
        <v>1386</v>
      </c>
      <c r="AA746" s="2" t="s">
        <v>1628</v>
      </c>
      <c r="AN746" s="2" t="s">
        <v>1368</v>
      </c>
    </row>
    <row r="747" ht="15.75" customHeight="1">
      <c r="A747" s="2" t="s">
        <v>6458</v>
      </c>
      <c r="B747" s="2" t="s">
        <v>1766</v>
      </c>
      <c r="C747" s="2">
        <v>1989.0</v>
      </c>
      <c r="D747" s="2" t="s">
        <v>6459</v>
      </c>
      <c r="E747" s="2" t="s">
        <v>6460</v>
      </c>
      <c r="F747" s="2" t="s">
        <v>6461</v>
      </c>
      <c r="L747" s="2">
        <v>1989.0</v>
      </c>
      <c r="M747" s="2" t="s">
        <v>1385</v>
      </c>
      <c r="N747" s="2" t="s">
        <v>1386</v>
      </c>
      <c r="P747" s="2" t="s">
        <v>6462</v>
      </c>
      <c r="AA747" s="2" t="s">
        <v>6463</v>
      </c>
      <c r="AB747" s="2" t="s">
        <v>3609</v>
      </c>
      <c r="AN747" s="2" t="s">
        <v>1368</v>
      </c>
      <c r="AP747" s="2" t="s">
        <v>6464</v>
      </c>
    </row>
    <row r="748" ht="15.75" customHeight="1">
      <c r="A748" s="2" t="s">
        <v>6465</v>
      </c>
      <c r="B748" s="2" t="s">
        <v>1396</v>
      </c>
      <c r="C748" s="2">
        <v>2001.0</v>
      </c>
      <c r="D748" s="2" t="s">
        <v>6466</v>
      </c>
      <c r="E748" s="2" t="s">
        <v>6467</v>
      </c>
      <c r="K748" s="2" t="s">
        <v>6468</v>
      </c>
      <c r="L748" s="2">
        <v>2001.0</v>
      </c>
      <c r="M748" s="2" t="s">
        <v>1385</v>
      </c>
      <c r="N748" s="2" t="s">
        <v>1386</v>
      </c>
      <c r="AA748" s="2" t="s">
        <v>6469</v>
      </c>
      <c r="AC748" s="2" t="s">
        <v>3263</v>
      </c>
      <c r="AN748" s="2" t="s">
        <v>1368</v>
      </c>
    </row>
    <row r="749" ht="15.75" customHeight="1">
      <c r="A749" s="2" t="s">
        <v>6470</v>
      </c>
      <c r="B749" s="2" t="s">
        <v>1361</v>
      </c>
      <c r="C749" s="2">
        <v>2012.0</v>
      </c>
      <c r="D749" s="2" t="s">
        <v>6471</v>
      </c>
      <c r="E749" s="2" t="s">
        <v>6472</v>
      </c>
      <c r="F749" s="2" t="s">
        <v>6473</v>
      </c>
      <c r="I749" s="2" t="s">
        <v>6474</v>
      </c>
      <c r="L749" s="2" t="s">
        <v>1405</v>
      </c>
      <c r="M749" s="2" t="s">
        <v>6475</v>
      </c>
      <c r="N749" s="2" t="s">
        <v>6476</v>
      </c>
      <c r="P749" s="2" t="s">
        <v>6477</v>
      </c>
      <c r="R749" s="2" t="s">
        <v>5460</v>
      </c>
      <c r="S749" s="2" t="s">
        <v>6220</v>
      </c>
      <c r="AN749" s="2" t="s">
        <v>1368</v>
      </c>
    </row>
    <row r="750" ht="15.75" customHeight="1">
      <c r="A750" s="2" t="s">
        <v>6478</v>
      </c>
      <c r="B750" s="2" t="s">
        <v>1361</v>
      </c>
      <c r="C750" s="2">
        <v>1998.0</v>
      </c>
      <c r="D750" s="2" t="s">
        <v>6479</v>
      </c>
      <c r="E750" s="2" t="s">
        <v>6480</v>
      </c>
      <c r="F750" s="2" t="s">
        <v>3224</v>
      </c>
      <c r="I750" s="2" t="s">
        <v>6481</v>
      </c>
      <c r="L750" s="2" t="s">
        <v>1958</v>
      </c>
      <c r="M750" s="2" t="s">
        <v>6482</v>
      </c>
      <c r="N750" s="2" t="s">
        <v>6483</v>
      </c>
      <c r="P750" s="2" t="s">
        <v>6484</v>
      </c>
      <c r="R750" s="2" t="s">
        <v>1600</v>
      </c>
      <c r="S750" s="2" t="s">
        <v>5953</v>
      </c>
      <c r="AN750" s="2" t="s">
        <v>1368</v>
      </c>
    </row>
    <row r="751" ht="15.75" customHeight="1">
      <c r="A751" s="2" t="s">
        <v>6485</v>
      </c>
      <c r="B751" s="2" t="s">
        <v>1361</v>
      </c>
      <c r="C751" s="2">
        <v>2011.0</v>
      </c>
      <c r="D751" s="2" t="s">
        <v>6486</v>
      </c>
      <c r="E751" s="2" t="s">
        <v>6487</v>
      </c>
      <c r="F751" s="2" t="s">
        <v>6488</v>
      </c>
      <c r="I751" s="2" t="s">
        <v>6489</v>
      </c>
      <c r="L751" s="2" t="s">
        <v>1627</v>
      </c>
      <c r="M751" s="2" t="s">
        <v>6490</v>
      </c>
      <c r="N751" s="2" t="s">
        <v>6491</v>
      </c>
      <c r="P751" s="2" t="s">
        <v>6492</v>
      </c>
      <c r="R751" s="2" t="s">
        <v>1600</v>
      </c>
      <c r="S751" s="2" t="s">
        <v>2042</v>
      </c>
      <c r="AN751" s="2" t="s">
        <v>1368</v>
      </c>
    </row>
    <row r="752" ht="15.75" customHeight="1">
      <c r="A752" s="2" t="s">
        <v>6493</v>
      </c>
      <c r="B752" s="2" t="s">
        <v>1361</v>
      </c>
      <c r="C752" s="2">
        <v>2001.0</v>
      </c>
      <c r="D752" s="2" t="s">
        <v>6494</v>
      </c>
      <c r="E752" s="2" t="s">
        <v>6495</v>
      </c>
      <c r="F752" s="2" t="s">
        <v>2295</v>
      </c>
      <c r="I752" s="2" t="s">
        <v>6496</v>
      </c>
      <c r="L752" s="2" t="s">
        <v>1414</v>
      </c>
      <c r="M752" s="2" t="s">
        <v>6497</v>
      </c>
      <c r="N752" s="2" t="s">
        <v>6498</v>
      </c>
      <c r="P752" s="2" t="s">
        <v>6499</v>
      </c>
      <c r="R752" s="2" t="s">
        <v>1506</v>
      </c>
      <c r="S752" s="2" t="s">
        <v>2714</v>
      </c>
      <c r="AN752" s="2" t="s">
        <v>1368</v>
      </c>
    </row>
    <row r="753" ht="15.75" customHeight="1">
      <c r="A753" s="2" t="s">
        <v>6500</v>
      </c>
      <c r="B753" s="2" t="s">
        <v>1361</v>
      </c>
      <c r="C753" s="2">
        <v>2015.0</v>
      </c>
      <c r="D753" s="2" t="s">
        <v>6501</v>
      </c>
      <c r="E753" s="2" t="s">
        <v>6502</v>
      </c>
      <c r="F753" s="2" t="s">
        <v>6503</v>
      </c>
      <c r="I753" s="2" t="s">
        <v>6504</v>
      </c>
      <c r="L753" s="2" t="s">
        <v>1373</v>
      </c>
      <c r="M753" s="2" t="s">
        <v>6505</v>
      </c>
      <c r="N753" s="2" t="s">
        <v>6506</v>
      </c>
      <c r="P753" s="2" t="s">
        <v>6507</v>
      </c>
      <c r="S753" s="2" t="s">
        <v>6508</v>
      </c>
      <c r="AN753" s="2" t="s">
        <v>1368</v>
      </c>
    </row>
    <row r="754" ht="15.75" customHeight="1">
      <c r="A754" s="2" t="s">
        <v>6509</v>
      </c>
      <c r="B754" s="2" t="s">
        <v>1361</v>
      </c>
      <c r="C754" s="2">
        <v>2016.0</v>
      </c>
      <c r="D754" s="2" t="s">
        <v>6510</v>
      </c>
      <c r="E754" s="2" t="s">
        <v>6511</v>
      </c>
      <c r="F754" s="2" t="s">
        <v>6512</v>
      </c>
      <c r="I754" s="2" t="s">
        <v>6513</v>
      </c>
      <c r="L754" s="2" t="s">
        <v>1502</v>
      </c>
      <c r="M754" s="2" t="s">
        <v>6514</v>
      </c>
      <c r="N754" s="2" t="s">
        <v>6515</v>
      </c>
      <c r="P754" s="2" t="s">
        <v>6516</v>
      </c>
      <c r="S754" s="2" t="s">
        <v>6517</v>
      </c>
      <c r="AN754" s="2" t="s">
        <v>1368</v>
      </c>
    </row>
    <row r="755" ht="15.75" customHeight="1">
      <c r="A755" s="2" t="s">
        <v>6518</v>
      </c>
      <c r="B755" s="2" t="s">
        <v>1361</v>
      </c>
      <c r="C755" s="2">
        <v>1972.0</v>
      </c>
      <c r="D755" s="2" t="s">
        <v>6519</v>
      </c>
      <c r="E755" s="2" t="s">
        <v>6520</v>
      </c>
      <c r="F755" s="2" t="s">
        <v>2665</v>
      </c>
      <c r="I755" s="2" t="s">
        <v>6521</v>
      </c>
      <c r="L755" s="2" t="s">
        <v>6522</v>
      </c>
      <c r="M755" s="2" t="s">
        <v>6523</v>
      </c>
      <c r="N755" s="2" t="s">
        <v>6524</v>
      </c>
      <c r="P755" s="2" t="s">
        <v>6525</v>
      </c>
      <c r="R755" s="2" t="s">
        <v>1462</v>
      </c>
      <c r="S755" s="2" t="s">
        <v>1462</v>
      </c>
      <c r="AN755" s="2" t="s">
        <v>1368</v>
      </c>
    </row>
    <row r="756" ht="15.75" customHeight="1">
      <c r="A756" s="2" t="s">
        <v>6526</v>
      </c>
      <c r="B756" s="2" t="s">
        <v>1361</v>
      </c>
      <c r="C756" s="2">
        <v>2002.0</v>
      </c>
      <c r="D756" s="2" t="s">
        <v>6527</v>
      </c>
      <c r="E756" s="2" t="s">
        <v>6528</v>
      </c>
      <c r="F756" s="2" t="s">
        <v>6529</v>
      </c>
      <c r="L756" s="2" t="s">
        <v>1493</v>
      </c>
      <c r="M756" s="2" t="s">
        <v>6530</v>
      </c>
      <c r="N756" s="2" t="s">
        <v>6531</v>
      </c>
      <c r="P756" s="2" t="s">
        <v>6532</v>
      </c>
      <c r="R756" s="2" t="s">
        <v>1453</v>
      </c>
      <c r="S756" s="2" t="s">
        <v>6533</v>
      </c>
      <c r="AN756" s="2" t="s">
        <v>1368</v>
      </c>
    </row>
    <row r="757" ht="15.75" customHeight="1">
      <c r="A757" s="2" t="s">
        <v>6534</v>
      </c>
      <c r="B757" s="2" t="s">
        <v>1361</v>
      </c>
      <c r="C757" s="2">
        <v>2003.0</v>
      </c>
      <c r="D757" s="2" t="s">
        <v>6535</v>
      </c>
      <c r="E757" s="2" t="s">
        <v>6536</v>
      </c>
      <c r="F757" s="2" t="s">
        <v>6537</v>
      </c>
      <c r="H757" s="2" t="s">
        <v>6538</v>
      </c>
      <c r="K757" s="2" t="s">
        <v>6539</v>
      </c>
      <c r="L757" s="2" t="s">
        <v>1606</v>
      </c>
      <c r="M757" s="2" t="s">
        <v>6540</v>
      </c>
      <c r="N757" s="2" t="s">
        <v>6541</v>
      </c>
      <c r="P757" s="2" t="s">
        <v>6542</v>
      </c>
      <c r="R757" s="2" t="s">
        <v>1453</v>
      </c>
      <c r="S757" s="2" t="s">
        <v>1537</v>
      </c>
      <c r="AN757" s="2" t="s">
        <v>1368</v>
      </c>
    </row>
    <row r="758" ht="15.75" customHeight="1">
      <c r="A758" s="2" t="s">
        <v>6543</v>
      </c>
      <c r="B758" s="2" t="s">
        <v>1361</v>
      </c>
      <c r="C758" s="2">
        <v>1973.0</v>
      </c>
      <c r="D758" s="2" t="s">
        <v>6544</v>
      </c>
      <c r="E758" s="2" t="s">
        <v>6545</v>
      </c>
      <c r="F758" s="2" t="s">
        <v>6546</v>
      </c>
      <c r="I758" s="2" t="s">
        <v>6547</v>
      </c>
      <c r="L758" s="2" t="s">
        <v>3607</v>
      </c>
      <c r="M758" s="2" t="s">
        <v>6548</v>
      </c>
      <c r="N758" s="2" t="s">
        <v>6549</v>
      </c>
      <c r="P758" s="2" t="s">
        <v>6550</v>
      </c>
      <c r="R758" s="2" t="s">
        <v>6551</v>
      </c>
      <c r="S758" s="2" t="s">
        <v>2565</v>
      </c>
      <c r="AN758" s="2" t="s">
        <v>2244</v>
      </c>
    </row>
    <row r="759" ht="15.75" customHeight="1">
      <c r="A759" s="2" t="s">
        <v>6552</v>
      </c>
      <c r="B759" s="2" t="s">
        <v>1361</v>
      </c>
      <c r="C759" s="2">
        <v>1999.0</v>
      </c>
      <c r="D759" s="2" t="s">
        <v>6553</v>
      </c>
      <c r="E759" s="2" t="s">
        <v>6554</v>
      </c>
      <c r="F759" s="2" t="s">
        <v>6555</v>
      </c>
      <c r="L759" s="2" t="s">
        <v>1434</v>
      </c>
      <c r="M759" s="2" t="s">
        <v>6556</v>
      </c>
      <c r="N759" s="2" t="s">
        <v>6557</v>
      </c>
      <c r="P759" s="2" t="s">
        <v>6558</v>
      </c>
      <c r="AN759" s="2" t="s">
        <v>1368</v>
      </c>
    </row>
    <row r="760" ht="15.75" customHeight="1">
      <c r="A760" s="2" t="s">
        <v>6559</v>
      </c>
      <c r="B760" s="2" t="s">
        <v>1361</v>
      </c>
      <c r="C760" s="2">
        <v>2013.0</v>
      </c>
      <c r="D760" s="2" t="s">
        <v>6560</v>
      </c>
      <c r="E760" s="2" t="s">
        <v>6561</v>
      </c>
      <c r="F760" s="2" t="s">
        <v>2028</v>
      </c>
      <c r="I760" s="2" t="s">
        <v>6562</v>
      </c>
      <c r="L760" s="2" t="s">
        <v>1429</v>
      </c>
      <c r="M760" s="2" t="s">
        <v>6563</v>
      </c>
      <c r="N760" s="2" t="s">
        <v>6564</v>
      </c>
      <c r="P760" s="2" t="s">
        <v>6565</v>
      </c>
      <c r="R760" s="2" t="s">
        <v>1506</v>
      </c>
      <c r="S760" s="2" t="s">
        <v>2824</v>
      </c>
      <c r="AN760" s="2" t="s">
        <v>1368</v>
      </c>
    </row>
    <row r="761" ht="15.75" customHeight="1">
      <c r="A761" s="2" t="s">
        <v>6566</v>
      </c>
      <c r="B761" s="2" t="s">
        <v>1361</v>
      </c>
      <c r="C761" s="2">
        <v>1999.0</v>
      </c>
      <c r="D761" s="2" t="s">
        <v>6567</v>
      </c>
      <c r="E761" s="2" t="s">
        <v>6568</v>
      </c>
      <c r="F761" s="2" t="s">
        <v>5909</v>
      </c>
      <c r="I761" s="2" t="s">
        <v>6569</v>
      </c>
      <c r="L761" s="2" t="s">
        <v>1434</v>
      </c>
      <c r="M761" s="2" t="s">
        <v>6570</v>
      </c>
      <c r="N761" s="2" t="s">
        <v>6571</v>
      </c>
      <c r="P761" s="2" t="s">
        <v>6572</v>
      </c>
      <c r="R761" s="2" t="s">
        <v>1443</v>
      </c>
      <c r="S761" s="2" t="s">
        <v>2271</v>
      </c>
      <c r="AN761" s="2" t="s">
        <v>1368</v>
      </c>
    </row>
    <row r="762" ht="15.75" customHeight="1">
      <c r="A762" s="2" t="s">
        <v>6573</v>
      </c>
      <c r="B762" s="2" t="s">
        <v>1361</v>
      </c>
      <c r="C762" s="2">
        <v>1996.0</v>
      </c>
      <c r="D762" s="2" t="s">
        <v>6574</v>
      </c>
      <c r="E762" s="2" t="s">
        <v>6575</v>
      </c>
      <c r="F762" s="2" t="s">
        <v>6576</v>
      </c>
      <c r="L762" s="2" t="s">
        <v>2492</v>
      </c>
      <c r="M762" s="2" t="s">
        <v>6577</v>
      </c>
      <c r="N762" s="2" t="s">
        <v>6578</v>
      </c>
      <c r="S762" s="2" t="s">
        <v>2629</v>
      </c>
      <c r="AN762" s="2" t="s">
        <v>1368</v>
      </c>
    </row>
    <row r="763" ht="15.75" customHeight="1">
      <c r="A763" s="2" t="s">
        <v>6579</v>
      </c>
      <c r="B763" s="2" t="s">
        <v>1361</v>
      </c>
      <c r="C763" s="2">
        <v>2017.0</v>
      </c>
      <c r="D763" s="2" t="s">
        <v>6580</v>
      </c>
      <c r="E763" s="2" t="s">
        <v>6581</v>
      </c>
      <c r="F763" s="2" t="s">
        <v>5595</v>
      </c>
      <c r="I763" s="2" t="s">
        <v>6582</v>
      </c>
      <c r="L763" s="2" t="s">
        <v>1658</v>
      </c>
      <c r="M763" s="2" t="s">
        <v>6583</v>
      </c>
      <c r="N763" s="2" t="s">
        <v>6584</v>
      </c>
      <c r="P763" s="2" t="s">
        <v>6585</v>
      </c>
      <c r="S763" s="2" t="s">
        <v>3306</v>
      </c>
      <c r="AN763" s="2" t="s">
        <v>1368</v>
      </c>
    </row>
    <row r="764" ht="15.75" customHeight="1">
      <c r="A764" s="2" t="s">
        <v>6586</v>
      </c>
      <c r="B764" s="2" t="s">
        <v>1361</v>
      </c>
      <c r="C764" s="2">
        <v>2015.0</v>
      </c>
      <c r="D764" s="2" t="s">
        <v>6587</v>
      </c>
      <c r="E764" s="2" t="s">
        <v>6588</v>
      </c>
      <c r="F764" s="2" t="s">
        <v>6589</v>
      </c>
      <c r="I764" s="2" t="s">
        <v>6590</v>
      </c>
      <c r="L764" s="2" t="s">
        <v>1373</v>
      </c>
      <c r="M764" s="2" t="s">
        <v>6591</v>
      </c>
      <c r="N764" s="2" t="s">
        <v>6592</v>
      </c>
      <c r="P764" s="2" t="s">
        <v>6593</v>
      </c>
      <c r="S764" s="2" t="s">
        <v>6594</v>
      </c>
      <c r="AN764" s="2" t="s">
        <v>1368</v>
      </c>
    </row>
    <row r="765" ht="15.75" customHeight="1">
      <c r="A765" s="2" t="s">
        <v>6595</v>
      </c>
      <c r="B765" s="2" t="s">
        <v>1361</v>
      </c>
      <c r="C765" s="2">
        <v>2002.0</v>
      </c>
      <c r="D765" s="2" t="s">
        <v>6596</v>
      </c>
      <c r="E765" s="2" t="s">
        <v>6597</v>
      </c>
      <c r="F765" s="2" t="s">
        <v>6598</v>
      </c>
      <c r="I765" s="2" t="s">
        <v>6599</v>
      </c>
      <c r="K765" s="2" t="s">
        <v>6600</v>
      </c>
      <c r="L765" s="2" t="s">
        <v>1493</v>
      </c>
      <c r="M765" s="2" t="s">
        <v>6601</v>
      </c>
      <c r="N765" s="2" t="s">
        <v>6602</v>
      </c>
      <c r="P765" s="2" t="s">
        <v>6603</v>
      </c>
      <c r="R765" s="2" t="s">
        <v>1462</v>
      </c>
      <c r="S765" s="2" t="s">
        <v>2739</v>
      </c>
      <c r="AN765" s="2" t="s">
        <v>1368</v>
      </c>
    </row>
    <row r="766" ht="15.75" customHeight="1">
      <c r="A766" s="2" t="s">
        <v>6604</v>
      </c>
      <c r="B766" s="2" t="s">
        <v>1361</v>
      </c>
      <c r="C766" s="2">
        <v>2006.0</v>
      </c>
      <c r="D766" s="2" t="s">
        <v>6605</v>
      </c>
      <c r="E766" s="2" t="s">
        <v>1068</v>
      </c>
      <c r="F766" s="2" t="s">
        <v>6606</v>
      </c>
      <c r="I766" s="2" t="s">
        <v>1071</v>
      </c>
      <c r="L766" s="2" t="s">
        <v>1727</v>
      </c>
      <c r="M766" s="2" t="s">
        <v>6607</v>
      </c>
      <c r="N766" s="2" t="s">
        <v>6608</v>
      </c>
      <c r="P766" s="2" t="s">
        <v>6609</v>
      </c>
      <c r="R766" s="2" t="s">
        <v>6610</v>
      </c>
      <c r="S766" s="2" t="s">
        <v>6611</v>
      </c>
      <c r="AN766" s="2" t="s">
        <v>1368</v>
      </c>
    </row>
    <row r="767" ht="15.75" customHeight="1">
      <c r="A767" s="2" t="s">
        <v>6612</v>
      </c>
      <c r="B767" s="2" t="s">
        <v>1361</v>
      </c>
      <c r="C767" s="2">
        <v>2008.0</v>
      </c>
      <c r="D767" s="2" t="s">
        <v>6613</v>
      </c>
      <c r="E767" s="2" t="s">
        <v>6614</v>
      </c>
      <c r="F767" s="2" t="s">
        <v>1688</v>
      </c>
      <c r="I767" s="2" t="s">
        <v>6615</v>
      </c>
      <c r="L767" s="2" t="s">
        <v>1458</v>
      </c>
      <c r="M767" s="2" t="s">
        <v>6616</v>
      </c>
      <c r="N767" s="2" t="s">
        <v>6617</v>
      </c>
      <c r="P767" s="2" t="s">
        <v>6618</v>
      </c>
      <c r="R767" s="2" t="s">
        <v>3628</v>
      </c>
      <c r="S767" s="2" t="s">
        <v>3528</v>
      </c>
      <c r="AN767" s="2" t="s">
        <v>1368</v>
      </c>
    </row>
    <row r="768" ht="15.75" customHeight="1">
      <c r="A768" s="2" t="s">
        <v>6619</v>
      </c>
      <c r="B768" s="2" t="s">
        <v>1361</v>
      </c>
      <c r="C768" s="2">
        <v>2014.0</v>
      </c>
      <c r="D768" s="2" t="s">
        <v>6620</v>
      </c>
      <c r="E768" s="2" t="s">
        <v>6621</v>
      </c>
      <c r="L768" s="2" t="s">
        <v>1476</v>
      </c>
      <c r="M768" s="2" t="s">
        <v>6622</v>
      </c>
      <c r="N768" s="2" t="s">
        <v>6623</v>
      </c>
      <c r="AN768" s="2" t="s">
        <v>1368</v>
      </c>
    </row>
    <row r="769" ht="15.75" customHeight="1">
      <c r="A769" s="2" t="s">
        <v>6624</v>
      </c>
      <c r="B769" s="2" t="s">
        <v>1361</v>
      </c>
      <c r="C769" s="2">
        <v>1997.0</v>
      </c>
      <c r="D769" s="2" t="s">
        <v>6625</v>
      </c>
      <c r="E769" s="2" t="s">
        <v>6626</v>
      </c>
      <c r="F769" s="2" t="s">
        <v>1825</v>
      </c>
      <c r="I769" s="2" t="s">
        <v>6627</v>
      </c>
      <c r="L769" s="2" t="s">
        <v>1804</v>
      </c>
      <c r="M769" s="2" t="s">
        <v>6628</v>
      </c>
      <c r="N769" s="2" t="s">
        <v>6629</v>
      </c>
      <c r="P769" s="2" t="s">
        <v>6630</v>
      </c>
      <c r="R769" s="2" t="s">
        <v>1462</v>
      </c>
      <c r="S769" s="2" t="s">
        <v>2144</v>
      </c>
      <c r="AN769" s="2" t="s">
        <v>1368</v>
      </c>
    </row>
    <row r="770" ht="15.75" customHeight="1">
      <c r="A770" s="2" t="s">
        <v>6631</v>
      </c>
      <c r="B770" s="2" t="s">
        <v>1361</v>
      </c>
      <c r="C770" s="2">
        <v>2003.0</v>
      </c>
      <c r="D770" s="2" t="s">
        <v>6632</v>
      </c>
      <c r="E770" s="2" t="s">
        <v>6633</v>
      </c>
      <c r="F770" s="2" t="s">
        <v>6634</v>
      </c>
      <c r="L770" s="2" t="s">
        <v>1606</v>
      </c>
      <c r="M770" s="2" t="s">
        <v>6635</v>
      </c>
      <c r="N770" s="2" t="s">
        <v>6636</v>
      </c>
      <c r="P770" s="2" t="s">
        <v>6637</v>
      </c>
      <c r="R770" s="2" t="s">
        <v>1600</v>
      </c>
      <c r="S770" s="2" t="s">
        <v>1600</v>
      </c>
      <c r="AN770" s="2" t="s">
        <v>1368</v>
      </c>
    </row>
    <row r="771" ht="15.75" customHeight="1">
      <c r="A771" s="2" t="s">
        <v>6638</v>
      </c>
      <c r="B771" s="2" t="s">
        <v>1361</v>
      </c>
      <c r="C771" s="2">
        <v>1992.0</v>
      </c>
      <c r="D771" s="2" t="s">
        <v>6639</v>
      </c>
      <c r="E771" s="2" t="s">
        <v>6640</v>
      </c>
      <c r="F771" s="2" t="s">
        <v>6641</v>
      </c>
      <c r="I771" s="2" t="s">
        <v>6642</v>
      </c>
      <c r="L771" s="2" t="s">
        <v>3458</v>
      </c>
      <c r="M771" s="2" t="s">
        <v>6643</v>
      </c>
      <c r="N771" s="2" t="s">
        <v>6644</v>
      </c>
      <c r="P771" s="2" t="s">
        <v>6645</v>
      </c>
      <c r="AN771" s="2" t="s">
        <v>1368</v>
      </c>
    </row>
    <row r="772" ht="15.75" customHeight="1">
      <c r="A772" s="2" t="s">
        <v>6646</v>
      </c>
      <c r="B772" s="2" t="s">
        <v>1361</v>
      </c>
      <c r="C772" s="2">
        <v>2013.0</v>
      </c>
      <c r="D772" s="2" t="s">
        <v>6647</v>
      </c>
      <c r="E772" s="2" t="s">
        <v>6648</v>
      </c>
      <c r="F772" s="2" t="s">
        <v>1760</v>
      </c>
      <c r="I772" s="2" t="s">
        <v>6649</v>
      </c>
      <c r="L772" s="2" t="s">
        <v>1429</v>
      </c>
      <c r="M772" s="2" t="s">
        <v>6650</v>
      </c>
      <c r="N772" s="2" t="s">
        <v>6651</v>
      </c>
      <c r="P772" s="2" t="s">
        <v>6652</v>
      </c>
      <c r="S772" s="2" t="s">
        <v>6653</v>
      </c>
      <c r="AN772" s="2" t="s">
        <v>1621</v>
      </c>
    </row>
    <row r="773" ht="15.75" customHeight="1">
      <c r="A773" s="2" t="s">
        <v>6654</v>
      </c>
      <c r="B773" s="2" t="s">
        <v>1361</v>
      </c>
      <c r="C773" s="2">
        <v>2012.0</v>
      </c>
      <c r="D773" s="2" t="s">
        <v>6655</v>
      </c>
      <c r="E773" s="2" t="s">
        <v>659</v>
      </c>
      <c r="F773" s="2" t="s">
        <v>6656</v>
      </c>
      <c r="I773" s="2" t="s">
        <v>662</v>
      </c>
      <c r="L773" s="2" t="s">
        <v>1405</v>
      </c>
      <c r="M773" s="2" t="s">
        <v>6657</v>
      </c>
      <c r="N773" s="2" t="s">
        <v>6658</v>
      </c>
      <c r="P773" s="2" t="s">
        <v>6659</v>
      </c>
      <c r="R773" s="2" t="s">
        <v>1937</v>
      </c>
      <c r="S773" s="2" t="s">
        <v>1506</v>
      </c>
      <c r="AN773" s="2" t="s">
        <v>1368</v>
      </c>
    </row>
    <row r="774" ht="15.75" customHeight="1">
      <c r="A774" s="2" t="s">
        <v>6660</v>
      </c>
      <c r="B774" s="2" t="s">
        <v>1361</v>
      </c>
      <c r="C774" s="2">
        <v>2005.0</v>
      </c>
      <c r="D774" s="2" t="s">
        <v>6661</v>
      </c>
      <c r="E774" s="2" t="s">
        <v>6662</v>
      </c>
      <c r="F774" s="2" t="s">
        <v>2590</v>
      </c>
      <c r="I774" s="2" t="s">
        <v>6663</v>
      </c>
      <c r="L774" s="2" t="s">
        <v>1394</v>
      </c>
      <c r="M774" s="2" t="s">
        <v>6664</v>
      </c>
      <c r="N774" s="2" t="s">
        <v>6665</v>
      </c>
      <c r="P774" s="2" t="s">
        <v>6666</v>
      </c>
      <c r="R774" s="2" t="s">
        <v>1620</v>
      </c>
      <c r="S774" s="2" t="s">
        <v>3417</v>
      </c>
      <c r="AN774" s="2" t="s">
        <v>1368</v>
      </c>
    </row>
    <row r="775" ht="15.75" customHeight="1">
      <c r="A775" s="2" t="s">
        <v>6667</v>
      </c>
      <c r="B775" s="2" t="s">
        <v>1361</v>
      </c>
      <c r="C775" s="2">
        <v>2007.0</v>
      </c>
      <c r="D775" s="2" t="s">
        <v>6668</v>
      </c>
      <c r="E775" s="2" t="s">
        <v>6669</v>
      </c>
      <c r="F775" s="2" t="s">
        <v>1876</v>
      </c>
      <c r="H775" s="2" t="s">
        <v>1877</v>
      </c>
      <c r="I775" s="2" t="s">
        <v>6670</v>
      </c>
      <c r="J775" s="2" t="s">
        <v>6671</v>
      </c>
      <c r="L775" s="2" t="s">
        <v>6672</v>
      </c>
      <c r="M775" s="2" t="s">
        <v>6673</v>
      </c>
      <c r="N775" s="2" t="s">
        <v>6674</v>
      </c>
      <c r="O775" s="2" t="s">
        <v>6675</v>
      </c>
      <c r="P775" s="2" t="s">
        <v>6676</v>
      </c>
      <c r="R775" s="2" t="s">
        <v>1480</v>
      </c>
      <c r="S775" s="2" t="s">
        <v>1453</v>
      </c>
      <c r="U775" s="2" t="s">
        <v>1876</v>
      </c>
      <c r="AC775" s="2" t="s">
        <v>1540</v>
      </c>
      <c r="AH775" s="2" t="s">
        <v>1541</v>
      </c>
      <c r="AN775" s="2" t="s">
        <v>2159</v>
      </c>
      <c r="AP775" s="2" t="s">
        <v>6677</v>
      </c>
    </row>
    <row r="776" ht="15.75" customHeight="1">
      <c r="A776" s="2" t="s">
        <v>6678</v>
      </c>
      <c r="B776" s="2" t="s">
        <v>1361</v>
      </c>
      <c r="C776" s="2">
        <v>2013.0</v>
      </c>
      <c r="D776" s="2" t="s">
        <v>6679</v>
      </c>
      <c r="E776" s="2" t="s">
        <v>6680</v>
      </c>
      <c r="F776" s="2" t="s">
        <v>1688</v>
      </c>
      <c r="H776" s="2" t="s">
        <v>2892</v>
      </c>
      <c r="I776" s="2" t="s">
        <v>6681</v>
      </c>
      <c r="J776" s="2" t="s">
        <v>6682</v>
      </c>
      <c r="K776" s="2" t="s">
        <v>6683</v>
      </c>
      <c r="L776" s="2" t="s">
        <v>6684</v>
      </c>
      <c r="M776" s="2" t="s">
        <v>6685</v>
      </c>
      <c r="N776" s="2" t="s">
        <v>6686</v>
      </c>
      <c r="O776" s="2" t="s">
        <v>2897</v>
      </c>
      <c r="P776" s="2" t="s">
        <v>6687</v>
      </c>
      <c r="R776" s="2" t="s">
        <v>2042</v>
      </c>
      <c r="S776" s="2" t="s">
        <v>6688</v>
      </c>
      <c r="U776" s="2" t="s">
        <v>2901</v>
      </c>
      <c r="AC776" s="2" t="s">
        <v>1540</v>
      </c>
      <c r="AH776" s="2" t="s">
        <v>1541</v>
      </c>
      <c r="AN776" s="2" t="s">
        <v>1885</v>
      </c>
    </row>
    <row r="777" ht="15.75" customHeight="1">
      <c r="A777" s="2" t="s">
        <v>6689</v>
      </c>
      <c r="B777" s="2" t="s">
        <v>1361</v>
      </c>
      <c r="C777" s="2">
        <v>2014.0</v>
      </c>
      <c r="D777" s="2" t="s">
        <v>6690</v>
      </c>
      <c r="E777" s="2" t="s">
        <v>489</v>
      </c>
      <c r="F777" s="2" t="s">
        <v>1510</v>
      </c>
      <c r="H777" s="2" t="s">
        <v>1546</v>
      </c>
      <c r="I777" s="2" t="s">
        <v>491</v>
      </c>
      <c r="J777" s="2" t="s">
        <v>6691</v>
      </c>
      <c r="K777" s="2" t="s">
        <v>490</v>
      </c>
      <c r="L777" s="2" t="s">
        <v>6692</v>
      </c>
      <c r="M777" s="2" t="s">
        <v>6693</v>
      </c>
      <c r="N777" s="2" t="s">
        <v>6694</v>
      </c>
      <c r="O777" s="2" t="s">
        <v>6695</v>
      </c>
      <c r="P777" s="2" t="s">
        <v>6696</v>
      </c>
      <c r="R777" s="2" t="s">
        <v>6697</v>
      </c>
      <c r="S777" s="2" t="s">
        <v>6698</v>
      </c>
      <c r="U777" s="2" t="s">
        <v>1510</v>
      </c>
      <c r="AC777" s="2" t="s">
        <v>1540</v>
      </c>
      <c r="AH777" s="2" t="s">
        <v>1541</v>
      </c>
      <c r="AN777" s="2" t="s">
        <v>1872</v>
      </c>
    </row>
    <row r="778" ht="15.75" customHeight="1">
      <c r="A778" s="2" t="s">
        <v>6699</v>
      </c>
      <c r="B778" s="2" t="s">
        <v>1361</v>
      </c>
      <c r="C778" s="2">
        <v>2010.0</v>
      </c>
      <c r="D778" s="2" t="s">
        <v>6700</v>
      </c>
      <c r="E778" s="2" t="s">
        <v>6701</v>
      </c>
      <c r="F778" s="2" t="s">
        <v>1876</v>
      </c>
      <c r="H778" s="2" t="s">
        <v>6702</v>
      </c>
      <c r="I778" s="2" t="s">
        <v>789</v>
      </c>
      <c r="K778" s="2" t="s">
        <v>6703</v>
      </c>
      <c r="L778" s="2" t="s">
        <v>1449</v>
      </c>
      <c r="M778" s="2" t="s">
        <v>6704</v>
      </c>
      <c r="N778" s="2" t="s">
        <v>6705</v>
      </c>
      <c r="R778" s="2" t="s">
        <v>2271</v>
      </c>
      <c r="S778" s="2" t="s">
        <v>1480</v>
      </c>
      <c r="AN778" s="2" t="s">
        <v>1621</v>
      </c>
    </row>
    <row r="779" ht="15.75" customHeight="1">
      <c r="A779" s="2" t="s">
        <v>6706</v>
      </c>
      <c r="B779" s="2" t="s">
        <v>1361</v>
      </c>
      <c r="C779" s="2">
        <v>2011.0</v>
      </c>
      <c r="D779" s="2" t="s">
        <v>6707</v>
      </c>
      <c r="E779" s="2" t="s">
        <v>6708</v>
      </c>
      <c r="F779" s="2" t="s">
        <v>1876</v>
      </c>
      <c r="H779" s="2" t="s">
        <v>1877</v>
      </c>
      <c r="I779" s="2" t="s">
        <v>6709</v>
      </c>
      <c r="J779" s="2" t="s">
        <v>6710</v>
      </c>
      <c r="L779" s="2" t="s">
        <v>6711</v>
      </c>
      <c r="M779" s="2" t="s">
        <v>6712</v>
      </c>
      <c r="N779" s="2" t="s">
        <v>6713</v>
      </c>
      <c r="O779" s="2" t="s">
        <v>6714</v>
      </c>
      <c r="P779" s="2" t="s">
        <v>6715</v>
      </c>
      <c r="R779" s="2" t="s">
        <v>2646</v>
      </c>
      <c r="S779" s="2" t="s">
        <v>1937</v>
      </c>
      <c r="U779" s="2" t="s">
        <v>1876</v>
      </c>
      <c r="V779" s="2" t="s">
        <v>6716</v>
      </c>
      <c r="AC779" s="2" t="s">
        <v>1540</v>
      </c>
      <c r="AH779" s="2" t="s">
        <v>1541</v>
      </c>
      <c r="AN779" s="2" t="s">
        <v>1885</v>
      </c>
      <c r="AP779" s="2" t="s">
        <v>6717</v>
      </c>
    </row>
    <row r="780" ht="15.75" customHeight="1">
      <c r="A780" s="2" t="s">
        <v>6718</v>
      </c>
      <c r="B780" s="2" t="s">
        <v>1396</v>
      </c>
      <c r="C780" s="2">
        <v>2012.0</v>
      </c>
      <c r="D780" s="2" t="s">
        <v>6719</v>
      </c>
      <c r="E780" s="2" t="s">
        <v>6720</v>
      </c>
      <c r="J780" s="2" t="s">
        <v>6721</v>
      </c>
      <c r="L780" s="2" t="s">
        <v>1405</v>
      </c>
      <c r="M780" s="2" t="s">
        <v>6722</v>
      </c>
      <c r="N780" s="2" t="s">
        <v>6723</v>
      </c>
      <c r="AA780" s="2" t="s">
        <v>2409</v>
      </c>
      <c r="AB780" s="2" t="s">
        <v>6724</v>
      </c>
      <c r="AC780" s="2" t="s">
        <v>1540</v>
      </c>
      <c r="AN780" s="2" t="s">
        <v>3501</v>
      </c>
    </row>
    <row r="781" ht="15.75" customHeight="1">
      <c r="A781" s="2" t="s">
        <v>6725</v>
      </c>
      <c r="B781" s="2" t="s">
        <v>1361</v>
      </c>
      <c r="C781" s="2">
        <v>2007.0</v>
      </c>
      <c r="D781" s="2" t="s">
        <v>6726</v>
      </c>
      <c r="E781" s="2" t="s">
        <v>6727</v>
      </c>
      <c r="F781" s="2" t="s">
        <v>1688</v>
      </c>
      <c r="H781" s="2" t="s">
        <v>2892</v>
      </c>
      <c r="I781" s="2" t="s">
        <v>6728</v>
      </c>
      <c r="J781" s="2" t="s">
        <v>6729</v>
      </c>
      <c r="K781" s="2" t="s">
        <v>6730</v>
      </c>
      <c r="L781" s="2" t="s">
        <v>6731</v>
      </c>
      <c r="M781" s="2" t="s">
        <v>6732</v>
      </c>
      <c r="N781" s="2" t="s">
        <v>6733</v>
      </c>
      <c r="O781" s="2" t="s">
        <v>6734</v>
      </c>
      <c r="P781" s="2" t="s">
        <v>6735</v>
      </c>
      <c r="R781" s="2" t="s">
        <v>4049</v>
      </c>
      <c r="S781" s="2" t="s">
        <v>6736</v>
      </c>
      <c r="U781" s="2" t="s">
        <v>2901</v>
      </c>
      <c r="AC781" s="2" t="s">
        <v>1540</v>
      </c>
      <c r="AH781" s="2" t="s">
        <v>1541</v>
      </c>
      <c r="AN781" s="2" t="s">
        <v>1885</v>
      </c>
    </row>
    <row r="782" ht="15.75" customHeight="1">
      <c r="A782" s="2" t="s">
        <v>6737</v>
      </c>
      <c r="B782" s="2" t="s">
        <v>1396</v>
      </c>
      <c r="C782" s="2">
        <v>2012.0</v>
      </c>
      <c r="D782" s="2" t="s">
        <v>6738</v>
      </c>
      <c r="E782" s="2" t="s">
        <v>6739</v>
      </c>
      <c r="G782" s="2" t="s">
        <v>6740</v>
      </c>
      <c r="L782" s="2" t="s">
        <v>1405</v>
      </c>
      <c r="M782" s="2" t="s">
        <v>1562</v>
      </c>
      <c r="N782" s="2" t="s">
        <v>1563</v>
      </c>
      <c r="Q782" s="2">
        <v>175.0</v>
      </c>
      <c r="AA782" s="2" t="s">
        <v>6741</v>
      </c>
      <c r="AB782" s="2" t="s">
        <v>6742</v>
      </c>
      <c r="AN782" s="2" t="s">
        <v>6743</v>
      </c>
    </row>
    <row r="783" ht="15.75" customHeight="1">
      <c r="A783" s="2" t="s">
        <v>6744</v>
      </c>
      <c r="B783" s="2" t="s">
        <v>1361</v>
      </c>
      <c r="C783" s="2">
        <v>2016.0</v>
      </c>
      <c r="D783" s="2" t="s">
        <v>6745</v>
      </c>
      <c r="E783" s="2" t="s">
        <v>6746</v>
      </c>
      <c r="F783" s="2" t="s">
        <v>1363</v>
      </c>
      <c r="H783" s="2" t="s">
        <v>1775</v>
      </c>
      <c r="I783" s="2" t="s">
        <v>6747</v>
      </c>
      <c r="J783" s="2" t="s">
        <v>6748</v>
      </c>
      <c r="K783" s="2" t="s">
        <v>6749</v>
      </c>
      <c r="L783" s="2" t="s">
        <v>1502</v>
      </c>
      <c r="M783" s="2" t="s">
        <v>1385</v>
      </c>
      <c r="N783" s="2" t="s">
        <v>1386</v>
      </c>
      <c r="P783" s="2" t="s">
        <v>6750</v>
      </c>
      <c r="R783" s="2" t="s">
        <v>6751</v>
      </c>
      <c r="S783" s="2" t="s">
        <v>6752</v>
      </c>
      <c r="AN783" s="2" t="s">
        <v>1368</v>
      </c>
    </row>
    <row r="784" ht="15.75" customHeight="1">
      <c r="A784" s="2" t="s">
        <v>6753</v>
      </c>
      <c r="B784" s="2" t="s">
        <v>1361</v>
      </c>
      <c r="C784" s="2">
        <v>2011.0</v>
      </c>
      <c r="D784" s="2" t="s">
        <v>6754</v>
      </c>
      <c r="E784" s="2" t="s">
        <v>6755</v>
      </c>
      <c r="F784" s="2" t="s">
        <v>4215</v>
      </c>
      <c r="H784" s="2" t="s">
        <v>4216</v>
      </c>
      <c r="I784" s="2" t="s">
        <v>6756</v>
      </c>
      <c r="J784" s="2" t="s">
        <v>6757</v>
      </c>
      <c r="L784" s="2" t="s">
        <v>6758</v>
      </c>
      <c r="M784" s="2" t="s">
        <v>1385</v>
      </c>
      <c r="N784" s="2" t="s">
        <v>1386</v>
      </c>
      <c r="P784" s="2" t="s">
        <v>6759</v>
      </c>
      <c r="R784" s="2" t="s">
        <v>1462</v>
      </c>
      <c r="S784" s="2" t="s">
        <v>2714</v>
      </c>
      <c r="AN784" s="2" t="s">
        <v>2244</v>
      </c>
    </row>
    <row r="785" ht="15.75" customHeight="1">
      <c r="A785" s="2" t="s">
        <v>6760</v>
      </c>
      <c r="B785" s="2" t="s">
        <v>1361</v>
      </c>
      <c r="C785" s="2">
        <v>2018.0</v>
      </c>
      <c r="D785" s="2" t="s">
        <v>6761</v>
      </c>
      <c r="E785" s="2" t="s">
        <v>6762</v>
      </c>
      <c r="F785" s="2" t="s">
        <v>2905</v>
      </c>
      <c r="H785" s="2" t="s">
        <v>2906</v>
      </c>
      <c r="I785" s="2" t="s">
        <v>6763</v>
      </c>
      <c r="J785" s="2" t="s">
        <v>6764</v>
      </c>
      <c r="K785" s="2" t="s">
        <v>6765</v>
      </c>
      <c r="L785" s="2" t="s">
        <v>2909</v>
      </c>
      <c r="M785" s="2" t="s">
        <v>1385</v>
      </c>
      <c r="N785" s="2" t="s">
        <v>1386</v>
      </c>
      <c r="P785" s="2" t="s">
        <v>6766</v>
      </c>
      <c r="R785" s="2" t="s">
        <v>1443</v>
      </c>
      <c r="S785" s="2" t="s">
        <v>1462</v>
      </c>
      <c r="AN785" s="2" t="s">
        <v>1621</v>
      </c>
    </row>
    <row r="786" ht="15.75" customHeight="1">
      <c r="A786" s="2" t="s">
        <v>6767</v>
      </c>
      <c r="B786" s="2" t="s">
        <v>1361</v>
      </c>
      <c r="C786" s="2">
        <v>2018.0</v>
      </c>
      <c r="D786" s="2" t="s">
        <v>6726</v>
      </c>
      <c r="E786" s="2" t="s">
        <v>6768</v>
      </c>
      <c r="F786" s="2" t="s">
        <v>1380</v>
      </c>
      <c r="H786" s="2" t="s">
        <v>1381</v>
      </c>
      <c r="I786" s="2" t="s">
        <v>6769</v>
      </c>
      <c r="J786" s="2" t="s">
        <v>6770</v>
      </c>
      <c r="K786" s="2" t="s">
        <v>6771</v>
      </c>
      <c r="L786" s="2" t="s">
        <v>6772</v>
      </c>
      <c r="M786" s="2" t="s">
        <v>1385</v>
      </c>
      <c r="N786" s="2" t="s">
        <v>1386</v>
      </c>
      <c r="P786" s="2" t="s">
        <v>6773</v>
      </c>
      <c r="R786" s="2" t="s">
        <v>6774</v>
      </c>
      <c r="S786" s="2" t="s">
        <v>6775</v>
      </c>
      <c r="AN786" s="2" t="s">
        <v>1621</v>
      </c>
    </row>
    <row r="787" ht="15.75" customHeight="1">
      <c r="A787" s="2" t="s">
        <v>6776</v>
      </c>
      <c r="B787" s="2" t="s">
        <v>1361</v>
      </c>
      <c r="C787" s="2">
        <v>2008.0</v>
      </c>
      <c r="D787" s="2" t="s">
        <v>6777</v>
      </c>
      <c r="E787" s="2" t="s">
        <v>6778</v>
      </c>
      <c r="F787" s="2" t="s">
        <v>4252</v>
      </c>
      <c r="H787" s="2" t="s">
        <v>4253</v>
      </c>
      <c r="I787" s="2" t="s">
        <v>6779</v>
      </c>
      <c r="K787" s="2" t="s">
        <v>6780</v>
      </c>
      <c r="L787" s="2" t="s">
        <v>6781</v>
      </c>
      <c r="M787" s="2" t="s">
        <v>1385</v>
      </c>
      <c r="N787" s="2" t="s">
        <v>1386</v>
      </c>
      <c r="P787" s="2" t="s">
        <v>6782</v>
      </c>
      <c r="R787" s="2" t="s">
        <v>1462</v>
      </c>
      <c r="S787" s="2" t="s">
        <v>2739</v>
      </c>
      <c r="AN787" s="2" t="s">
        <v>1621</v>
      </c>
    </row>
    <row r="788" ht="15.75" customHeight="1">
      <c r="A788" s="2" t="s">
        <v>6783</v>
      </c>
      <c r="B788" s="2" t="s">
        <v>1361</v>
      </c>
      <c r="C788" s="2">
        <v>2010.0</v>
      </c>
      <c r="D788" s="2" t="s">
        <v>6784</v>
      </c>
      <c r="E788" s="2" t="s">
        <v>863</v>
      </c>
      <c r="F788" s="2" t="s">
        <v>1510</v>
      </c>
      <c r="H788" s="2" t="s">
        <v>1511</v>
      </c>
      <c r="I788" s="2" t="s">
        <v>865</v>
      </c>
      <c r="J788" s="2" t="s">
        <v>6785</v>
      </c>
      <c r="L788" s="2" t="s">
        <v>1449</v>
      </c>
      <c r="M788" s="2" t="s">
        <v>1385</v>
      </c>
      <c r="N788" s="2" t="s">
        <v>1386</v>
      </c>
      <c r="P788" s="2" t="s">
        <v>6786</v>
      </c>
      <c r="R788" s="2" t="s">
        <v>2243</v>
      </c>
      <c r="S788" s="2" t="s">
        <v>6787</v>
      </c>
      <c r="AN788" s="2" t="s">
        <v>1368</v>
      </c>
    </row>
    <row r="789" ht="15.75" customHeight="1">
      <c r="A789" s="2" t="s">
        <v>6788</v>
      </c>
      <c r="B789" s="2" t="s">
        <v>1361</v>
      </c>
      <c r="C789" s="2">
        <v>2017.0</v>
      </c>
      <c r="D789" s="2" t="s">
        <v>6789</v>
      </c>
      <c r="E789" s="2" t="s">
        <v>6790</v>
      </c>
      <c r="F789" s="2" t="s">
        <v>1825</v>
      </c>
      <c r="H789" s="2" t="s">
        <v>6791</v>
      </c>
      <c r="I789" s="2" t="s">
        <v>6792</v>
      </c>
      <c r="J789" s="2" t="s">
        <v>6793</v>
      </c>
      <c r="K789" s="2" t="s">
        <v>6794</v>
      </c>
      <c r="L789" s="2" t="s">
        <v>6795</v>
      </c>
      <c r="M789" s="2" t="s">
        <v>1385</v>
      </c>
      <c r="N789" s="2" t="s">
        <v>1386</v>
      </c>
      <c r="O789" s="2" t="s">
        <v>6796</v>
      </c>
      <c r="P789" s="2" t="s">
        <v>6797</v>
      </c>
      <c r="R789" s="2" t="s">
        <v>1506</v>
      </c>
      <c r="S789" s="2" t="s">
        <v>2063</v>
      </c>
      <c r="U789" s="2" t="s">
        <v>1825</v>
      </c>
      <c r="AN789" s="2" t="s">
        <v>1368</v>
      </c>
    </row>
    <row r="790" ht="15.75" customHeight="1">
      <c r="A790" s="2" t="s">
        <v>6798</v>
      </c>
      <c r="B790" s="2" t="s">
        <v>1361</v>
      </c>
      <c r="C790" s="2">
        <v>2010.0</v>
      </c>
      <c r="D790" s="2" t="s">
        <v>6799</v>
      </c>
      <c r="E790" s="2" t="s">
        <v>6800</v>
      </c>
      <c r="F790" s="2" t="s">
        <v>1688</v>
      </c>
      <c r="H790" s="2" t="s">
        <v>1689</v>
      </c>
      <c r="I790" s="2" t="s">
        <v>6801</v>
      </c>
      <c r="K790" s="2" t="s">
        <v>6802</v>
      </c>
      <c r="L790" s="2" t="s">
        <v>1449</v>
      </c>
      <c r="M790" s="2" t="s">
        <v>1385</v>
      </c>
      <c r="N790" s="2" t="s">
        <v>1386</v>
      </c>
      <c r="P790" s="2" t="s">
        <v>6803</v>
      </c>
      <c r="R790" s="2" t="s">
        <v>3235</v>
      </c>
      <c r="S790" s="2" t="s">
        <v>2900</v>
      </c>
      <c r="AN790" s="2" t="s">
        <v>1368</v>
      </c>
    </row>
    <row r="791" ht="15.75" customHeight="1">
      <c r="A791" s="2" t="s">
        <v>6804</v>
      </c>
      <c r="B791" s="2" t="s">
        <v>1361</v>
      </c>
      <c r="C791" s="2">
        <v>2013.0</v>
      </c>
      <c r="D791" s="2" t="s">
        <v>6805</v>
      </c>
      <c r="E791" s="2" t="s">
        <v>571</v>
      </c>
      <c r="F791" s="2" t="s">
        <v>5595</v>
      </c>
      <c r="H791" s="2" t="s">
        <v>5596</v>
      </c>
      <c r="I791" s="2" t="s">
        <v>574</v>
      </c>
      <c r="J791" s="2" t="s">
        <v>6806</v>
      </c>
      <c r="K791" s="2" t="s">
        <v>6807</v>
      </c>
      <c r="L791" s="2" t="s">
        <v>3034</v>
      </c>
      <c r="M791" s="2" t="s">
        <v>1385</v>
      </c>
      <c r="N791" s="2" t="s">
        <v>1386</v>
      </c>
      <c r="P791" s="2" t="s">
        <v>6808</v>
      </c>
      <c r="R791" s="2" t="s">
        <v>1480</v>
      </c>
      <c r="S791" s="2" t="s">
        <v>1480</v>
      </c>
      <c r="AN791" s="2" t="s">
        <v>1368</v>
      </c>
    </row>
    <row r="792" ht="15.75" customHeight="1">
      <c r="A792" s="2" t="s">
        <v>6809</v>
      </c>
      <c r="B792" s="2" t="s">
        <v>1361</v>
      </c>
      <c r="C792" s="2">
        <v>2009.0</v>
      </c>
      <c r="D792" s="2" t="s">
        <v>6754</v>
      </c>
      <c r="E792" s="2" t="s">
        <v>6810</v>
      </c>
      <c r="F792" s="2" t="s">
        <v>1688</v>
      </c>
      <c r="H792" s="2" t="s">
        <v>2892</v>
      </c>
      <c r="I792" s="2" t="s">
        <v>6811</v>
      </c>
      <c r="K792" s="2" t="s">
        <v>6812</v>
      </c>
      <c r="L792" s="2" t="s">
        <v>1364</v>
      </c>
      <c r="M792" s="2" t="s">
        <v>1385</v>
      </c>
      <c r="N792" s="2" t="s">
        <v>1386</v>
      </c>
      <c r="AN792" s="2" t="s">
        <v>1368</v>
      </c>
    </row>
    <row r="793" ht="15.75" customHeight="1">
      <c r="A793" s="2" t="s">
        <v>6813</v>
      </c>
      <c r="B793" s="2" t="s">
        <v>1361</v>
      </c>
      <c r="C793" s="2">
        <v>2000.0</v>
      </c>
      <c r="D793" s="2" t="s">
        <v>6814</v>
      </c>
      <c r="E793" s="2" t="s">
        <v>6815</v>
      </c>
      <c r="F793" s="2" t="s">
        <v>1380</v>
      </c>
      <c r="H793" s="2" t="s">
        <v>2961</v>
      </c>
      <c r="I793" s="2" t="s">
        <v>6816</v>
      </c>
      <c r="K793" s="2" t="s">
        <v>6817</v>
      </c>
      <c r="L793" s="2" t="s">
        <v>6818</v>
      </c>
      <c r="M793" s="2" t="s">
        <v>1385</v>
      </c>
      <c r="N793" s="2" t="s">
        <v>1386</v>
      </c>
      <c r="P793" s="2" t="s">
        <v>6819</v>
      </c>
      <c r="R793" s="2" t="s">
        <v>6820</v>
      </c>
      <c r="S793" s="2" t="s">
        <v>6821</v>
      </c>
      <c r="AN793" s="2" t="s">
        <v>1368</v>
      </c>
    </row>
    <row r="794" ht="15.75" customHeight="1">
      <c r="A794" s="2" t="s">
        <v>6822</v>
      </c>
      <c r="B794" s="2" t="s">
        <v>1361</v>
      </c>
      <c r="C794" s="2">
        <v>1998.0</v>
      </c>
      <c r="D794" s="2" t="s">
        <v>6823</v>
      </c>
      <c r="E794" s="2" t="s">
        <v>6824</v>
      </c>
      <c r="F794" s="2" t="s">
        <v>1510</v>
      </c>
      <c r="I794" s="2" t="s">
        <v>6825</v>
      </c>
      <c r="J794" s="2" t="s">
        <v>6826</v>
      </c>
      <c r="L794" s="2" t="s">
        <v>6827</v>
      </c>
      <c r="M794" s="2" t="s">
        <v>1385</v>
      </c>
      <c r="N794" s="2" t="s">
        <v>1386</v>
      </c>
      <c r="P794" s="2" t="s">
        <v>6828</v>
      </c>
      <c r="R794" s="2" t="s">
        <v>6829</v>
      </c>
      <c r="S794" s="2" t="s">
        <v>6830</v>
      </c>
      <c r="AN794" s="2" t="s">
        <v>1368</v>
      </c>
    </row>
    <row r="795" ht="15.75" customHeight="1">
      <c r="A795" s="2" t="s">
        <v>6831</v>
      </c>
      <c r="B795" s="2" t="s">
        <v>1766</v>
      </c>
      <c r="C795" s="2">
        <v>1997.0</v>
      </c>
      <c r="D795" s="2" t="s">
        <v>6832</v>
      </c>
      <c r="E795" s="2" t="s">
        <v>6833</v>
      </c>
      <c r="F795" s="2" t="s">
        <v>6834</v>
      </c>
      <c r="L795" s="2" t="s">
        <v>1804</v>
      </c>
      <c r="M795" s="2" t="s">
        <v>1385</v>
      </c>
      <c r="N795" s="2" t="s">
        <v>1386</v>
      </c>
      <c r="P795" s="2" t="s">
        <v>6835</v>
      </c>
      <c r="AA795" s="2" t="s">
        <v>6836</v>
      </c>
      <c r="AB795" s="2" t="s">
        <v>6837</v>
      </c>
      <c r="AN795" s="2" t="s">
        <v>1368</v>
      </c>
      <c r="AP795" s="2" t="s">
        <v>6838</v>
      </c>
    </row>
    <row r="796" ht="15.75" customHeight="1">
      <c r="A796" s="2" t="s">
        <v>6839</v>
      </c>
      <c r="B796" s="2" t="s">
        <v>1396</v>
      </c>
      <c r="C796" s="2">
        <v>2010.0</v>
      </c>
      <c r="D796" s="2" t="s">
        <v>6840</v>
      </c>
      <c r="E796" s="2" t="s">
        <v>6841</v>
      </c>
      <c r="G796" s="2" t="s">
        <v>6842</v>
      </c>
      <c r="J796" s="2" t="s">
        <v>6843</v>
      </c>
      <c r="K796" s="2" t="s">
        <v>6844</v>
      </c>
      <c r="L796" s="2" t="s">
        <v>1449</v>
      </c>
      <c r="M796" s="2" t="s">
        <v>1385</v>
      </c>
      <c r="N796" s="2" t="s">
        <v>1386</v>
      </c>
      <c r="AA796" s="2" t="s">
        <v>6845</v>
      </c>
      <c r="AB796" s="2" t="s">
        <v>4398</v>
      </c>
      <c r="AJ796" s="2" t="s">
        <v>6846</v>
      </c>
      <c r="AN796" s="2" t="s">
        <v>1368</v>
      </c>
    </row>
    <row r="797" ht="15.75" customHeight="1">
      <c r="A797" s="2" t="s">
        <v>6847</v>
      </c>
      <c r="B797" s="2" t="s">
        <v>1396</v>
      </c>
      <c r="C797" s="2">
        <v>2016.0</v>
      </c>
      <c r="D797" s="2" t="s">
        <v>6840</v>
      </c>
      <c r="E797" s="2" t="s">
        <v>6848</v>
      </c>
      <c r="G797" s="2" t="s">
        <v>6849</v>
      </c>
      <c r="L797" s="2" t="s">
        <v>1502</v>
      </c>
      <c r="M797" s="2" t="s">
        <v>1385</v>
      </c>
      <c r="N797" s="2" t="s">
        <v>1386</v>
      </c>
      <c r="AA797" s="2" t="s">
        <v>6850</v>
      </c>
      <c r="AB797" s="2" t="s">
        <v>1629</v>
      </c>
      <c r="AN797" s="2" t="s">
        <v>1368</v>
      </c>
    </row>
    <row r="798" ht="15.75" customHeight="1">
      <c r="A798" s="2" t="s">
        <v>6851</v>
      </c>
      <c r="B798" s="2" t="s">
        <v>1396</v>
      </c>
      <c r="C798" s="2">
        <v>2000.0</v>
      </c>
      <c r="D798" s="2" t="s">
        <v>6840</v>
      </c>
      <c r="E798" s="2" t="s">
        <v>6852</v>
      </c>
      <c r="G798" s="2" t="s">
        <v>6853</v>
      </c>
      <c r="L798" s="2" t="s">
        <v>2429</v>
      </c>
      <c r="M798" s="2" t="s">
        <v>1385</v>
      </c>
      <c r="N798" s="2" t="s">
        <v>1386</v>
      </c>
      <c r="AA798" s="2" t="s">
        <v>6850</v>
      </c>
      <c r="AB798" s="2" t="s">
        <v>1629</v>
      </c>
      <c r="AN798" s="2" t="s">
        <v>1368</v>
      </c>
    </row>
    <row r="799" ht="15.75" customHeight="1">
      <c r="A799" s="2" t="s">
        <v>6854</v>
      </c>
      <c r="B799" s="2" t="s">
        <v>1396</v>
      </c>
      <c r="C799" s="2">
        <v>2000.0</v>
      </c>
      <c r="D799" s="2" t="s">
        <v>6840</v>
      </c>
      <c r="E799" s="2" t="s">
        <v>6855</v>
      </c>
      <c r="G799" s="2" t="s">
        <v>6856</v>
      </c>
      <c r="L799" s="2" t="s">
        <v>2429</v>
      </c>
      <c r="M799" s="2" t="s">
        <v>1385</v>
      </c>
      <c r="N799" s="2" t="s">
        <v>1386</v>
      </c>
      <c r="AA799" s="2" t="s">
        <v>6850</v>
      </c>
      <c r="AB799" s="2" t="s">
        <v>1629</v>
      </c>
      <c r="AN799" s="2" t="s">
        <v>1368</v>
      </c>
    </row>
    <row r="800" ht="15.75" customHeight="1">
      <c r="A800" s="2" t="s">
        <v>6857</v>
      </c>
      <c r="B800" s="2" t="s">
        <v>3012</v>
      </c>
      <c r="C800" s="2">
        <v>2018.0</v>
      </c>
      <c r="D800" s="2" t="s">
        <v>6858</v>
      </c>
      <c r="E800" s="2" t="s">
        <v>6859</v>
      </c>
      <c r="J800" s="2" t="s">
        <v>6860</v>
      </c>
      <c r="L800" s="2" t="s">
        <v>1420</v>
      </c>
      <c r="M800" s="2" t="s">
        <v>1385</v>
      </c>
      <c r="N800" s="2" t="s">
        <v>1386</v>
      </c>
      <c r="O800" s="2" t="s">
        <v>3018</v>
      </c>
      <c r="AN800" s="2" t="s">
        <v>1368</v>
      </c>
    </row>
    <row r="801" ht="15.75" customHeight="1">
      <c r="A801" s="2" t="s">
        <v>6861</v>
      </c>
      <c r="B801" s="2" t="s">
        <v>1361</v>
      </c>
      <c r="C801" s="2">
        <v>2006.0</v>
      </c>
      <c r="D801" s="2" t="s">
        <v>6862</v>
      </c>
      <c r="E801" s="2" t="s">
        <v>6863</v>
      </c>
      <c r="F801" s="2" t="s">
        <v>6864</v>
      </c>
      <c r="H801" s="2" t="s">
        <v>2509</v>
      </c>
      <c r="I801" s="2" t="s">
        <v>6865</v>
      </c>
      <c r="K801" s="2" t="s">
        <v>6866</v>
      </c>
      <c r="L801" s="2" t="s">
        <v>1727</v>
      </c>
      <c r="M801" s="2" t="s">
        <v>1385</v>
      </c>
      <c r="N801" s="2" t="s">
        <v>1386</v>
      </c>
      <c r="P801" s="2" t="s">
        <v>6867</v>
      </c>
      <c r="R801" s="2" t="s">
        <v>2271</v>
      </c>
      <c r="S801" s="2" t="s">
        <v>2840</v>
      </c>
      <c r="AN801" s="2" t="s">
        <v>1368</v>
      </c>
    </row>
    <row r="802" ht="15.75" customHeight="1">
      <c r="A802" s="2" t="s">
        <v>6868</v>
      </c>
      <c r="B802" s="2" t="s">
        <v>1623</v>
      </c>
      <c r="C802" s="2">
        <v>2015.0</v>
      </c>
      <c r="D802" s="2" t="s">
        <v>6869</v>
      </c>
      <c r="E802" s="2" t="s">
        <v>6870</v>
      </c>
      <c r="L802" s="2" t="s">
        <v>1373</v>
      </c>
      <c r="M802" s="2" t="s">
        <v>1385</v>
      </c>
      <c r="N802" s="2" t="s">
        <v>1386</v>
      </c>
      <c r="AN802" s="2" t="s">
        <v>1368</v>
      </c>
    </row>
    <row r="803" ht="15.75" customHeight="1">
      <c r="A803" s="2" t="s">
        <v>6871</v>
      </c>
      <c r="B803" s="2" t="s">
        <v>1361</v>
      </c>
      <c r="C803" s="2">
        <v>2010.0</v>
      </c>
      <c r="D803" s="2" t="s">
        <v>6872</v>
      </c>
      <c r="E803" s="2" t="s">
        <v>6873</v>
      </c>
      <c r="F803" s="2" t="s">
        <v>1760</v>
      </c>
      <c r="H803" s="2" t="s">
        <v>1761</v>
      </c>
      <c r="I803" s="2" t="s">
        <v>6874</v>
      </c>
      <c r="K803" s="2" t="s">
        <v>6875</v>
      </c>
      <c r="L803" s="2" t="s">
        <v>1449</v>
      </c>
      <c r="M803" s="2" t="s">
        <v>1385</v>
      </c>
      <c r="N803" s="2" t="s">
        <v>1386</v>
      </c>
      <c r="P803" s="2" t="s">
        <v>6876</v>
      </c>
      <c r="R803" s="2" t="s">
        <v>1937</v>
      </c>
      <c r="S803" s="2" t="s">
        <v>3136</v>
      </c>
      <c r="AN803" s="2" t="s">
        <v>1368</v>
      </c>
    </row>
    <row r="804" ht="15.75" customHeight="1">
      <c r="A804" s="2" t="s">
        <v>6877</v>
      </c>
      <c r="B804" s="2" t="s">
        <v>1361</v>
      </c>
      <c r="C804" s="2">
        <v>2013.0</v>
      </c>
      <c r="D804" s="2" t="s">
        <v>6878</v>
      </c>
      <c r="E804" s="2" t="s">
        <v>6879</v>
      </c>
      <c r="F804" s="2" t="s">
        <v>5909</v>
      </c>
      <c r="I804" s="2" t="s">
        <v>6880</v>
      </c>
      <c r="L804" s="2" t="s">
        <v>1429</v>
      </c>
      <c r="M804" s="2" t="s">
        <v>1385</v>
      </c>
      <c r="N804" s="2" t="s">
        <v>1386</v>
      </c>
      <c r="P804" s="2" t="s">
        <v>6881</v>
      </c>
      <c r="R804" s="2" t="s">
        <v>1537</v>
      </c>
      <c r="S804" s="2" t="s">
        <v>5657</v>
      </c>
      <c r="AN804" s="2" t="s">
        <v>1368</v>
      </c>
    </row>
    <row r="805" ht="15.75" customHeight="1">
      <c r="A805" s="2" t="s">
        <v>6882</v>
      </c>
      <c r="B805" s="2" t="s">
        <v>1361</v>
      </c>
      <c r="C805" s="2">
        <v>2007.0</v>
      </c>
      <c r="D805" s="2" t="s">
        <v>6883</v>
      </c>
      <c r="E805" s="2" t="s">
        <v>1042</v>
      </c>
      <c r="F805" s="2" t="s">
        <v>6884</v>
      </c>
      <c r="H805" s="2" t="s">
        <v>6885</v>
      </c>
      <c r="I805" s="2" t="s">
        <v>1045</v>
      </c>
      <c r="K805" s="2" t="s">
        <v>6886</v>
      </c>
      <c r="L805" s="2" t="s">
        <v>2380</v>
      </c>
      <c r="M805" s="2" t="s">
        <v>1385</v>
      </c>
      <c r="N805" s="2" t="s">
        <v>1386</v>
      </c>
      <c r="AN805" s="2" t="s">
        <v>1368</v>
      </c>
    </row>
    <row r="806" ht="15.75" customHeight="1">
      <c r="A806" s="2" t="s">
        <v>6887</v>
      </c>
      <c r="B806" s="2" t="s">
        <v>1361</v>
      </c>
      <c r="C806" s="2">
        <v>1999.0</v>
      </c>
      <c r="D806" s="2" t="s">
        <v>6888</v>
      </c>
      <c r="E806" s="2" t="s">
        <v>6889</v>
      </c>
      <c r="F806" s="2" t="s">
        <v>1760</v>
      </c>
      <c r="H806" s="2" t="s">
        <v>1761</v>
      </c>
      <c r="I806" s="2" t="s">
        <v>6890</v>
      </c>
      <c r="K806" s="2" t="s">
        <v>6891</v>
      </c>
      <c r="L806" s="2" t="s">
        <v>1434</v>
      </c>
      <c r="M806" s="2" t="s">
        <v>1385</v>
      </c>
      <c r="N806" s="2" t="s">
        <v>1386</v>
      </c>
      <c r="AN806" s="2" t="s">
        <v>1368</v>
      </c>
    </row>
    <row r="807" ht="15.75" customHeight="1">
      <c r="A807" s="2" t="s">
        <v>6892</v>
      </c>
      <c r="B807" s="2" t="s">
        <v>1361</v>
      </c>
      <c r="C807" s="2">
        <v>2014.0</v>
      </c>
      <c r="D807" s="2" t="s">
        <v>6893</v>
      </c>
      <c r="E807" s="2" t="s">
        <v>503</v>
      </c>
      <c r="F807" s="2" t="s">
        <v>6894</v>
      </c>
      <c r="H807" s="2" t="s">
        <v>4563</v>
      </c>
      <c r="I807" s="2" t="s">
        <v>506</v>
      </c>
      <c r="K807" s="2" t="s">
        <v>6895</v>
      </c>
      <c r="L807" s="2" t="s">
        <v>2651</v>
      </c>
      <c r="M807" s="2" t="s">
        <v>1385</v>
      </c>
      <c r="N807" s="2" t="s">
        <v>1386</v>
      </c>
      <c r="P807" s="2" t="s">
        <v>6896</v>
      </c>
      <c r="R807" s="2" t="s">
        <v>1537</v>
      </c>
      <c r="S807" s="2" t="s">
        <v>6533</v>
      </c>
      <c r="AN807" s="2" t="s">
        <v>1368</v>
      </c>
    </row>
    <row r="808" ht="15.75" customHeight="1">
      <c r="A808" s="2" t="s">
        <v>6897</v>
      </c>
      <c r="B808" s="2" t="s">
        <v>1396</v>
      </c>
      <c r="C808" s="2">
        <v>1989.0</v>
      </c>
      <c r="D808" s="2" t="s">
        <v>6898</v>
      </c>
      <c r="E808" s="2" t="s">
        <v>6899</v>
      </c>
      <c r="L808" s="2" t="s">
        <v>2701</v>
      </c>
      <c r="M808" s="2" t="s">
        <v>1385</v>
      </c>
      <c r="N808" s="2" t="s">
        <v>1386</v>
      </c>
      <c r="AA808" s="2" t="s">
        <v>6900</v>
      </c>
      <c r="AN808" s="2" t="s">
        <v>1368</v>
      </c>
    </row>
    <row r="809" ht="15.75" customHeight="1">
      <c r="A809" s="2" t="s">
        <v>6901</v>
      </c>
      <c r="B809" s="2" t="s">
        <v>1361</v>
      </c>
      <c r="C809" s="2">
        <v>2014.0</v>
      </c>
      <c r="D809" s="2" t="s">
        <v>6902</v>
      </c>
      <c r="E809" s="2" t="s">
        <v>6903</v>
      </c>
      <c r="F809" s="2" t="s">
        <v>1380</v>
      </c>
      <c r="H809" s="2" t="s">
        <v>1381</v>
      </c>
      <c r="I809" s="2" t="s">
        <v>6904</v>
      </c>
      <c r="K809" s="2" t="s">
        <v>6905</v>
      </c>
      <c r="L809" s="2" t="s">
        <v>6906</v>
      </c>
      <c r="M809" s="2" t="s">
        <v>1385</v>
      </c>
      <c r="N809" s="2" t="s">
        <v>1386</v>
      </c>
      <c r="P809" s="2" t="s">
        <v>6907</v>
      </c>
      <c r="R809" s="2" t="s">
        <v>6908</v>
      </c>
      <c r="S809" s="2" t="s">
        <v>6909</v>
      </c>
      <c r="AN809" s="2" t="s">
        <v>1368</v>
      </c>
    </row>
    <row r="810" ht="15.75" customHeight="1">
      <c r="A810" s="2" t="s">
        <v>6910</v>
      </c>
      <c r="B810" s="2" t="s">
        <v>1361</v>
      </c>
      <c r="C810" s="2">
        <v>2008.0</v>
      </c>
      <c r="D810" s="2" t="s">
        <v>6911</v>
      </c>
      <c r="E810" s="2" t="s">
        <v>6912</v>
      </c>
      <c r="F810" s="2" t="s">
        <v>6913</v>
      </c>
      <c r="H810" s="2" t="s">
        <v>6914</v>
      </c>
      <c r="I810" s="2" t="s">
        <v>6915</v>
      </c>
      <c r="K810" s="2" t="s">
        <v>6916</v>
      </c>
      <c r="L810" s="2" t="s">
        <v>1458</v>
      </c>
      <c r="M810" s="2" t="s">
        <v>1385</v>
      </c>
      <c r="N810" s="2" t="s">
        <v>1386</v>
      </c>
      <c r="AN810" s="2" t="s">
        <v>1368</v>
      </c>
    </row>
    <row r="811" ht="15.75" customHeight="1">
      <c r="A811" s="2" t="s">
        <v>6917</v>
      </c>
      <c r="B811" s="2" t="s">
        <v>1361</v>
      </c>
      <c r="C811" s="2">
        <v>2001.0</v>
      </c>
      <c r="D811" s="2" t="s">
        <v>6918</v>
      </c>
      <c r="E811" s="2" t="s">
        <v>6919</v>
      </c>
      <c r="F811" s="2" t="s">
        <v>6920</v>
      </c>
      <c r="H811" s="2" t="s">
        <v>6921</v>
      </c>
      <c r="I811" s="2" t="s">
        <v>6922</v>
      </c>
      <c r="K811" s="2" t="s">
        <v>6923</v>
      </c>
      <c r="L811" s="2" t="s">
        <v>1414</v>
      </c>
      <c r="M811" s="2" t="s">
        <v>1385</v>
      </c>
      <c r="N811" s="2" t="s">
        <v>1386</v>
      </c>
      <c r="AN811" s="2" t="s">
        <v>1368</v>
      </c>
    </row>
    <row r="812" ht="15.75" customHeight="1">
      <c r="A812" s="2" t="s">
        <v>6924</v>
      </c>
      <c r="B812" s="2" t="s">
        <v>1361</v>
      </c>
      <c r="C812" s="2">
        <v>2012.0</v>
      </c>
      <c r="D812" s="2" t="s">
        <v>6925</v>
      </c>
      <c r="E812" s="2" t="s">
        <v>6926</v>
      </c>
      <c r="F812" s="2" t="s">
        <v>1789</v>
      </c>
      <c r="H812" s="2" t="s">
        <v>1790</v>
      </c>
      <c r="I812" s="2" t="s">
        <v>6927</v>
      </c>
      <c r="K812" s="2" t="s">
        <v>6928</v>
      </c>
      <c r="L812" s="2" t="s">
        <v>1405</v>
      </c>
      <c r="M812" s="2" t="s">
        <v>1385</v>
      </c>
      <c r="N812" s="2" t="s">
        <v>1386</v>
      </c>
      <c r="AN812" s="2" t="s">
        <v>1368</v>
      </c>
    </row>
    <row r="813" ht="15.75" customHeight="1">
      <c r="A813" s="2" t="s">
        <v>6929</v>
      </c>
      <c r="B813" s="2" t="s">
        <v>1361</v>
      </c>
      <c r="C813" s="2">
        <v>2018.0</v>
      </c>
      <c r="D813" s="2" t="s">
        <v>6930</v>
      </c>
      <c r="E813" s="2" t="s">
        <v>6931</v>
      </c>
      <c r="F813" s="2" t="s">
        <v>2267</v>
      </c>
      <c r="H813" s="2" t="s">
        <v>6932</v>
      </c>
      <c r="I813" s="2" t="s">
        <v>45</v>
      </c>
      <c r="L813" s="2" t="s">
        <v>1420</v>
      </c>
      <c r="M813" s="2" t="s">
        <v>1385</v>
      </c>
      <c r="N813" s="2" t="s">
        <v>1386</v>
      </c>
      <c r="P813" s="2" t="s">
        <v>6933</v>
      </c>
      <c r="R813" s="2" t="s">
        <v>1462</v>
      </c>
      <c r="S813" s="2" t="s">
        <v>2063</v>
      </c>
      <c r="AN813" s="2" t="s">
        <v>1368</v>
      </c>
    </row>
    <row r="814" ht="15.75" customHeight="1">
      <c r="A814" s="2" t="s">
        <v>6934</v>
      </c>
      <c r="B814" s="2" t="s">
        <v>1361</v>
      </c>
      <c r="C814" s="2">
        <v>2015.0</v>
      </c>
      <c r="D814" s="2" t="s">
        <v>6935</v>
      </c>
      <c r="E814" s="2" t="s">
        <v>433</v>
      </c>
      <c r="F814" s="2" t="s">
        <v>6140</v>
      </c>
      <c r="H814" s="2" t="s">
        <v>6141</v>
      </c>
      <c r="I814" s="2" t="s">
        <v>435</v>
      </c>
      <c r="K814" s="2" t="s">
        <v>6936</v>
      </c>
      <c r="L814" s="2" t="s">
        <v>1373</v>
      </c>
      <c r="M814" s="2" t="s">
        <v>1385</v>
      </c>
      <c r="N814" s="2" t="s">
        <v>1386</v>
      </c>
      <c r="P814" s="2" t="s">
        <v>5795</v>
      </c>
      <c r="S814" s="2" t="s">
        <v>6937</v>
      </c>
      <c r="AN814" s="2" t="s">
        <v>1368</v>
      </c>
    </row>
    <row r="815" ht="15.75" customHeight="1">
      <c r="A815" s="2" t="s">
        <v>6938</v>
      </c>
      <c r="B815" s="2" t="s">
        <v>1361</v>
      </c>
      <c r="C815" s="2">
        <v>2014.0</v>
      </c>
      <c r="D815" s="2" t="s">
        <v>6939</v>
      </c>
      <c r="E815" s="2" t="s">
        <v>6940</v>
      </c>
      <c r="F815" s="2" t="s">
        <v>6941</v>
      </c>
      <c r="H815" s="2" t="s">
        <v>6942</v>
      </c>
      <c r="I815" s="2" t="s">
        <v>6943</v>
      </c>
      <c r="K815" s="2" t="s">
        <v>6944</v>
      </c>
      <c r="L815" s="2" t="s">
        <v>1476</v>
      </c>
      <c r="M815" s="2" t="s">
        <v>1385</v>
      </c>
      <c r="N815" s="2" t="s">
        <v>1386</v>
      </c>
      <c r="AN815" s="2" t="s">
        <v>1368</v>
      </c>
    </row>
    <row r="816" ht="15.75" customHeight="1">
      <c r="A816" s="2" t="s">
        <v>6945</v>
      </c>
      <c r="B816" s="2" t="s">
        <v>1396</v>
      </c>
      <c r="C816" s="2">
        <v>2016.0</v>
      </c>
      <c r="D816" s="2" t="s">
        <v>6946</v>
      </c>
      <c r="E816" s="2" t="s">
        <v>6947</v>
      </c>
      <c r="J816" s="2" t="s">
        <v>6948</v>
      </c>
      <c r="L816" s="2" t="s">
        <v>1502</v>
      </c>
      <c r="M816" s="2" t="s">
        <v>1385</v>
      </c>
      <c r="N816" s="2" t="s">
        <v>1386</v>
      </c>
      <c r="AN816" s="2" t="s">
        <v>1368</v>
      </c>
    </row>
    <row r="817" ht="15.75" customHeight="1">
      <c r="A817" s="2" t="s">
        <v>6949</v>
      </c>
      <c r="B817" s="2" t="s">
        <v>1361</v>
      </c>
      <c r="C817" s="2">
        <v>2007.0</v>
      </c>
      <c r="D817" s="2" t="s">
        <v>6950</v>
      </c>
      <c r="E817" s="2" t="s">
        <v>6951</v>
      </c>
      <c r="F817" s="2" t="s">
        <v>1484</v>
      </c>
      <c r="H817" s="2" t="s">
        <v>6122</v>
      </c>
      <c r="I817" s="2" t="s">
        <v>6952</v>
      </c>
      <c r="K817" s="2" t="s">
        <v>6953</v>
      </c>
      <c r="L817" s="2" t="s">
        <v>2380</v>
      </c>
      <c r="M817" s="2" t="s">
        <v>1385</v>
      </c>
      <c r="N817" s="2" t="s">
        <v>1386</v>
      </c>
      <c r="P817" s="2" t="s">
        <v>6954</v>
      </c>
      <c r="R817" s="2" t="s">
        <v>1453</v>
      </c>
      <c r="S817" s="2" t="s">
        <v>6955</v>
      </c>
      <c r="AN817" s="2" t="s">
        <v>1368</v>
      </c>
    </row>
    <row r="818" ht="15.75" customHeight="1">
      <c r="A818" s="2" t="s">
        <v>6956</v>
      </c>
      <c r="B818" s="2" t="s">
        <v>1361</v>
      </c>
      <c r="C818" s="2">
        <v>2006.0</v>
      </c>
      <c r="D818" s="2" t="s">
        <v>6957</v>
      </c>
      <c r="E818" s="2" t="s">
        <v>6958</v>
      </c>
      <c r="F818" s="2" t="s">
        <v>2458</v>
      </c>
      <c r="H818" s="2" t="s">
        <v>2459</v>
      </c>
      <c r="I818" s="2" t="s">
        <v>6959</v>
      </c>
      <c r="K818" s="2" t="s">
        <v>6960</v>
      </c>
      <c r="L818" s="2" t="s">
        <v>1727</v>
      </c>
      <c r="M818" s="2" t="s">
        <v>1385</v>
      </c>
      <c r="N818" s="2" t="s">
        <v>1386</v>
      </c>
      <c r="P818" s="2" t="s">
        <v>6961</v>
      </c>
      <c r="R818" s="2" t="s">
        <v>1462</v>
      </c>
      <c r="S818" s="2" t="s">
        <v>2629</v>
      </c>
      <c r="AN818" s="2" t="s">
        <v>1368</v>
      </c>
    </row>
    <row r="819" ht="15.75" customHeight="1">
      <c r="A819" s="2" t="s">
        <v>6962</v>
      </c>
      <c r="B819" s="2" t="s">
        <v>1766</v>
      </c>
      <c r="C819" s="2">
        <v>2005.0</v>
      </c>
      <c r="D819" s="2" t="s">
        <v>6963</v>
      </c>
      <c r="E819" s="2" t="s">
        <v>6964</v>
      </c>
      <c r="F819" s="2" t="s">
        <v>6965</v>
      </c>
      <c r="K819" s="2" t="s">
        <v>6966</v>
      </c>
      <c r="L819" s="2" t="s">
        <v>1394</v>
      </c>
      <c r="M819" s="2" t="s">
        <v>1385</v>
      </c>
      <c r="N819" s="2" t="s">
        <v>1386</v>
      </c>
      <c r="AA819" s="2" t="s">
        <v>6967</v>
      </c>
      <c r="AB819" s="2" t="s">
        <v>2146</v>
      </c>
      <c r="AN819" s="2" t="s">
        <v>1368</v>
      </c>
      <c r="AP819" s="2" t="s">
        <v>6968</v>
      </c>
    </row>
    <row r="820" ht="15.75" customHeight="1">
      <c r="A820" s="2" t="s">
        <v>6969</v>
      </c>
      <c r="B820" s="2" t="s">
        <v>1396</v>
      </c>
      <c r="C820" s="2">
        <v>2000.0</v>
      </c>
      <c r="D820" s="2" t="s">
        <v>6970</v>
      </c>
      <c r="E820" s="2" t="s">
        <v>6971</v>
      </c>
      <c r="G820" s="2" t="s">
        <v>6972</v>
      </c>
      <c r="L820" s="2" t="s">
        <v>2429</v>
      </c>
      <c r="M820" s="2" t="s">
        <v>1385</v>
      </c>
      <c r="N820" s="2" t="s">
        <v>1386</v>
      </c>
      <c r="AA820" s="2" t="s">
        <v>2993</v>
      </c>
      <c r="AB820" s="2" t="s">
        <v>2146</v>
      </c>
      <c r="AN820" s="2" t="s">
        <v>1368</v>
      </c>
    </row>
    <row r="821" ht="15.75" customHeight="1">
      <c r="A821" s="2" t="s">
        <v>6973</v>
      </c>
      <c r="B821" s="2" t="s">
        <v>1361</v>
      </c>
      <c r="C821" s="2">
        <v>2015.0</v>
      </c>
      <c r="D821" s="2" t="s">
        <v>6974</v>
      </c>
      <c r="E821" s="2" t="s">
        <v>6975</v>
      </c>
      <c r="F821" s="2" t="s">
        <v>6976</v>
      </c>
      <c r="H821" s="2" t="s">
        <v>6977</v>
      </c>
      <c r="I821" s="2" t="s">
        <v>6978</v>
      </c>
      <c r="K821" s="2" t="s">
        <v>6979</v>
      </c>
      <c r="L821" s="2" t="s">
        <v>1373</v>
      </c>
      <c r="M821" s="2" t="s">
        <v>1385</v>
      </c>
      <c r="N821" s="2" t="s">
        <v>1386</v>
      </c>
      <c r="AN821" s="2" t="s">
        <v>1368</v>
      </c>
    </row>
    <row r="822" ht="15.75" customHeight="1">
      <c r="A822" s="2" t="s">
        <v>6980</v>
      </c>
      <c r="B822" s="2" t="s">
        <v>1396</v>
      </c>
      <c r="C822" s="2">
        <v>2016.0</v>
      </c>
      <c r="D822" s="2" t="s">
        <v>6981</v>
      </c>
      <c r="E822" s="2" t="s">
        <v>6982</v>
      </c>
      <c r="L822" s="2" t="s">
        <v>1502</v>
      </c>
      <c r="M822" s="2" t="s">
        <v>1385</v>
      </c>
      <c r="N822" s="2" t="s">
        <v>1386</v>
      </c>
      <c r="AA822" s="2" t="s">
        <v>6983</v>
      </c>
      <c r="AN822" s="2" t="s">
        <v>1368</v>
      </c>
    </row>
    <row r="823" ht="15.75" customHeight="1">
      <c r="A823" s="2" t="s">
        <v>6984</v>
      </c>
      <c r="B823" s="2" t="s">
        <v>1361</v>
      </c>
      <c r="C823" s="2">
        <v>2006.0</v>
      </c>
      <c r="D823" s="2" t="s">
        <v>6985</v>
      </c>
      <c r="E823" s="2" t="s">
        <v>6986</v>
      </c>
      <c r="F823" s="2" t="s">
        <v>5024</v>
      </c>
      <c r="H823" s="2" t="s">
        <v>6987</v>
      </c>
      <c r="I823" s="2" t="s">
        <v>6988</v>
      </c>
      <c r="K823" s="2" t="s">
        <v>6989</v>
      </c>
      <c r="L823" s="2" t="s">
        <v>1727</v>
      </c>
      <c r="M823" s="2" t="s">
        <v>1385</v>
      </c>
      <c r="N823" s="2" t="s">
        <v>1386</v>
      </c>
      <c r="AN823" s="2" t="s">
        <v>1368</v>
      </c>
    </row>
    <row r="824" ht="15.75" customHeight="1">
      <c r="A824" s="2" t="s">
        <v>6990</v>
      </c>
      <c r="B824" s="2" t="s">
        <v>1766</v>
      </c>
      <c r="C824" s="2">
        <v>2003.0</v>
      </c>
      <c r="D824" s="2" t="s">
        <v>6991</v>
      </c>
      <c r="E824" s="2" t="s">
        <v>6992</v>
      </c>
      <c r="F824" s="2" t="s">
        <v>6993</v>
      </c>
      <c r="L824" s="2" t="s">
        <v>1606</v>
      </c>
      <c r="M824" s="2" t="s">
        <v>1385</v>
      </c>
      <c r="N824" s="2" t="s">
        <v>1386</v>
      </c>
      <c r="P824" s="2" t="s">
        <v>6994</v>
      </c>
      <c r="S824" s="2" t="s">
        <v>1462</v>
      </c>
      <c r="AA824" s="2" t="s">
        <v>5287</v>
      </c>
      <c r="AN824" s="2" t="s">
        <v>1368</v>
      </c>
    </row>
    <row r="825" ht="15.75" customHeight="1">
      <c r="A825" s="2" t="s">
        <v>6995</v>
      </c>
      <c r="B825" s="2" t="s">
        <v>1361</v>
      </c>
      <c r="C825" s="2">
        <v>2014.0</v>
      </c>
      <c r="D825" s="2" t="s">
        <v>6996</v>
      </c>
      <c r="E825" s="2" t="s">
        <v>6997</v>
      </c>
      <c r="F825" s="2" t="s">
        <v>1466</v>
      </c>
      <c r="H825" s="2" t="s">
        <v>6232</v>
      </c>
      <c r="I825" s="2" t="s">
        <v>6998</v>
      </c>
      <c r="K825" s="2" t="s">
        <v>6999</v>
      </c>
      <c r="L825" s="2" t="s">
        <v>1476</v>
      </c>
      <c r="M825" s="2" t="s">
        <v>1385</v>
      </c>
      <c r="N825" s="2" t="s">
        <v>1386</v>
      </c>
      <c r="AN825" s="2" t="s">
        <v>1368</v>
      </c>
    </row>
    <row r="826" ht="15.75" customHeight="1">
      <c r="A826" s="2" t="s">
        <v>7000</v>
      </c>
      <c r="B826" s="2" t="s">
        <v>1361</v>
      </c>
      <c r="C826" s="2">
        <v>1997.0</v>
      </c>
      <c r="D826" s="2" t="s">
        <v>7001</v>
      </c>
      <c r="E826" s="2" t="s">
        <v>7002</v>
      </c>
      <c r="F826" s="2" t="s">
        <v>2665</v>
      </c>
      <c r="H826" s="2" t="s">
        <v>6160</v>
      </c>
      <c r="I826" s="2" t="s">
        <v>7003</v>
      </c>
      <c r="K826" s="2" t="s">
        <v>7004</v>
      </c>
      <c r="L826" s="2" t="s">
        <v>1804</v>
      </c>
      <c r="M826" s="2" t="s">
        <v>1385</v>
      </c>
      <c r="N826" s="2" t="s">
        <v>1386</v>
      </c>
      <c r="AN826" s="2" t="s">
        <v>1368</v>
      </c>
    </row>
    <row r="827" ht="15.75" customHeight="1">
      <c r="A827" s="2" t="s">
        <v>7005</v>
      </c>
      <c r="B827" s="2" t="s">
        <v>1361</v>
      </c>
      <c r="C827" s="2">
        <v>2008.0</v>
      </c>
      <c r="D827" s="2" t="s">
        <v>7006</v>
      </c>
      <c r="E827" s="2" t="s">
        <v>7007</v>
      </c>
      <c r="F827" s="2" t="s">
        <v>7008</v>
      </c>
      <c r="H827" s="2" t="s">
        <v>7009</v>
      </c>
      <c r="I827" s="2" t="s">
        <v>7010</v>
      </c>
      <c r="L827" s="2" t="s">
        <v>1458</v>
      </c>
      <c r="M827" s="2" t="s">
        <v>1385</v>
      </c>
      <c r="N827" s="2" t="s">
        <v>1386</v>
      </c>
      <c r="P827" s="2" t="s">
        <v>7011</v>
      </c>
      <c r="R827" s="2" t="s">
        <v>1506</v>
      </c>
      <c r="S827" s="2" t="s">
        <v>2799</v>
      </c>
      <c r="AN827" s="2" t="s">
        <v>1368</v>
      </c>
    </row>
    <row r="828" ht="15.75" customHeight="1">
      <c r="A828" s="2" t="s">
        <v>7012</v>
      </c>
      <c r="B828" s="2" t="s">
        <v>1361</v>
      </c>
      <c r="C828" s="2">
        <v>2006.0</v>
      </c>
      <c r="D828" s="2" t="s">
        <v>7006</v>
      </c>
      <c r="E828" s="2" t="s">
        <v>7013</v>
      </c>
      <c r="F828" s="2" t="s">
        <v>7014</v>
      </c>
      <c r="H828" s="2" t="s">
        <v>7015</v>
      </c>
      <c r="I828" s="2" t="s">
        <v>7016</v>
      </c>
      <c r="L828" s="2" t="s">
        <v>2300</v>
      </c>
      <c r="M828" s="2" t="s">
        <v>1385</v>
      </c>
      <c r="N828" s="2" t="s">
        <v>1386</v>
      </c>
      <c r="P828" s="2" t="s">
        <v>7017</v>
      </c>
      <c r="R828" s="2" t="s">
        <v>1506</v>
      </c>
      <c r="S828" s="2" t="s">
        <v>3628</v>
      </c>
      <c r="AN828" s="2" t="s">
        <v>1368</v>
      </c>
    </row>
    <row r="829" ht="15.75" customHeight="1">
      <c r="A829" s="2" t="s">
        <v>7018</v>
      </c>
      <c r="B829" s="2" t="s">
        <v>1396</v>
      </c>
      <c r="C829" s="2">
        <v>1992.0</v>
      </c>
      <c r="D829" s="2" t="s">
        <v>7019</v>
      </c>
      <c r="E829" s="2" t="s">
        <v>7020</v>
      </c>
      <c r="L829" s="2" t="s">
        <v>3458</v>
      </c>
      <c r="M829" s="2" t="s">
        <v>1385</v>
      </c>
      <c r="N829" s="2" t="s">
        <v>1386</v>
      </c>
      <c r="AA829" s="2" t="s">
        <v>7021</v>
      </c>
      <c r="AN829" s="2" t="s">
        <v>1368</v>
      </c>
    </row>
    <row r="830" ht="15.75" customHeight="1">
      <c r="A830" s="2" t="s">
        <v>7022</v>
      </c>
      <c r="B830" s="2" t="s">
        <v>1396</v>
      </c>
      <c r="C830" s="2">
        <v>2004.0</v>
      </c>
      <c r="D830" s="2" t="s">
        <v>7023</v>
      </c>
      <c r="E830" s="2" t="s">
        <v>7024</v>
      </c>
      <c r="L830" s="2" t="s">
        <v>2373</v>
      </c>
      <c r="M830" s="2" t="s">
        <v>1385</v>
      </c>
      <c r="N830" s="2" t="s">
        <v>1386</v>
      </c>
      <c r="AA830" s="2" t="s">
        <v>2993</v>
      </c>
      <c r="AN830" s="2" t="s">
        <v>1368</v>
      </c>
    </row>
    <row r="831" ht="15.75" customHeight="1">
      <c r="A831" s="2" t="s">
        <v>7025</v>
      </c>
      <c r="B831" s="2" t="s">
        <v>1361</v>
      </c>
      <c r="C831" s="2">
        <v>2018.0</v>
      </c>
      <c r="D831" s="2" t="s">
        <v>7026</v>
      </c>
      <c r="E831" s="2" t="s">
        <v>7027</v>
      </c>
      <c r="F831" s="2" t="s">
        <v>7028</v>
      </c>
      <c r="H831" s="2" t="s">
        <v>7029</v>
      </c>
      <c r="I831" s="2" t="s">
        <v>7030</v>
      </c>
      <c r="L831" s="2" t="s">
        <v>1420</v>
      </c>
      <c r="M831" s="2" t="s">
        <v>1385</v>
      </c>
      <c r="N831" s="2" t="s">
        <v>1386</v>
      </c>
      <c r="P831" s="2" t="s">
        <v>7031</v>
      </c>
      <c r="S831" s="2" t="s">
        <v>3382</v>
      </c>
      <c r="AN831" s="2" t="s">
        <v>1368</v>
      </c>
    </row>
    <row r="832" ht="15.75" customHeight="1">
      <c r="A832" s="2" t="s">
        <v>7032</v>
      </c>
      <c r="B832" s="2" t="s">
        <v>1361</v>
      </c>
      <c r="C832" s="2">
        <v>2004.0</v>
      </c>
      <c r="D832" s="2" t="s">
        <v>7033</v>
      </c>
      <c r="E832" s="2" t="s">
        <v>7034</v>
      </c>
      <c r="F832" s="2" t="s">
        <v>7035</v>
      </c>
      <c r="H832" s="2" t="s">
        <v>7036</v>
      </c>
      <c r="I832" s="2" t="s">
        <v>7037</v>
      </c>
      <c r="K832" s="2" t="s">
        <v>7038</v>
      </c>
      <c r="L832" s="2" t="s">
        <v>7039</v>
      </c>
      <c r="M832" s="2" t="s">
        <v>1385</v>
      </c>
      <c r="N832" s="2" t="s">
        <v>1386</v>
      </c>
      <c r="P832" s="2" t="s">
        <v>7040</v>
      </c>
      <c r="R832" s="2" t="s">
        <v>5423</v>
      </c>
      <c r="S832" s="2" t="s">
        <v>2952</v>
      </c>
      <c r="AN832" s="2" t="s">
        <v>1368</v>
      </c>
    </row>
    <row r="833" ht="15.75" customHeight="1">
      <c r="A833" s="2" t="s">
        <v>7041</v>
      </c>
      <c r="B833" s="2" t="s">
        <v>1361</v>
      </c>
      <c r="C833" s="2">
        <v>2008.0</v>
      </c>
      <c r="D833" s="2" t="s">
        <v>7042</v>
      </c>
      <c r="E833" s="2" t="s">
        <v>7043</v>
      </c>
      <c r="F833" s="2" t="s">
        <v>2028</v>
      </c>
      <c r="H833" s="2" t="s">
        <v>7044</v>
      </c>
      <c r="I833" s="2" t="s">
        <v>7045</v>
      </c>
      <c r="K833" s="2" t="s">
        <v>7046</v>
      </c>
      <c r="L833" s="2" t="s">
        <v>1458</v>
      </c>
      <c r="M833" s="2" t="s">
        <v>1385</v>
      </c>
      <c r="N833" s="2" t="s">
        <v>1386</v>
      </c>
      <c r="P833" s="2" t="s">
        <v>7047</v>
      </c>
      <c r="R833" s="2" t="s">
        <v>1506</v>
      </c>
      <c r="S833" s="2" t="s">
        <v>3434</v>
      </c>
      <c r="AN833" s="2" t="s">
        <v>1368</v>
      </c>
    </row>
    <row r="834" ht="15.75" customHeight="1">
      <c r="A834" s="2" t="s">
        <v>7048</v>
      </c>
      <c r="B834" s="2" t="s">
        <v>1766</v>
      </c>
      <c r="C834" s="2">
        <v>2018.0</v>
      </c>
      <c r="D834" s="2" t="s">
        <v>7049</v>
      </c>
      <c r="E834" s="2" t="s">
        <v>7050</v>
      </c>
      <c r="F834" s="2" t="s">
        <v>7051</v>
      </c>
      <c r="L834" s="2" t="s">
        <v>1420</v>
      </c>
      <c r="M834" s="2" t="s">
        <v>1385</v>
      </c>
      <c r="N834" s="2" t="s">
        <v>1386</v>
      </c>
      <c r="AA834" s="2" t="s">
        <v>2993</v>
      </c>
      <c r="AB834" s="2" t="s">
        <v>2291</v>
      </c>
      <c r="AN834" s="2" t="s">
        <v>1368</v>
      </c>
      <c r="AP834" s="2" t="s">
        <v>7052</v>
      </c>
    </row>
    <row r="835" ht="15.75" customHeight="1">
      <c r="A835" s="2" t="s">
        <v>7053</v>
      </c>
      <c r="B835" s="2" t="s">
        <v>1396</v>
      </c>
      <c r="C835" s="2">
        <v>1997.0</v>
      </c>
      <c r="D835" s="2" t="s">
        <v>7054</v>
      </c>
      <c r="E835" s="2" t="s">
        <v>7055</v>
      </c>
      <c r="G835" s="2" t="s">
        <v>7056</v>
      </c>
      <c r="L835" s="2" t="s">
        <v>1804</v>
      </c>
      <c r="M835" s="2" t="s">
        <v>1385</v>
      </c>
      <c r="N835" s="2" t="s">
        <v>1386</v>
      </c>
      <c r="AA835" s="2" t="s">
        <v>7057</v>
      </c>
      <c r="AN835" s="2" t="s">
        <v>1368</v>
      </c>
    </row>
    <row r="836" ht="15.75" customHeight="1">
      <c r="A836" s="2" t="s">
        <v>7058</v>
      </c>
      <c r="B836" s="2" t="s">
        <v>1361</v>
      </c>
      <c r="C836" s="2">
        <v>2011.0</v>
      </c>
      <c r="D836" s="2" t="s">
        <v>7059</v>
      </c>
      <c r="E836" s="2" t="s">
        <v>7060</v>
      </c>
      <c r="F836" s="2" t="s">
        <v>7061</v>
      </c>
      <c r="H836" s="2" t="s">
        <v>7062</v>
      </c>
      <c r="I836" s="2" t="s">
        <v>7063</v>
      </c>
      <c r="K836" s="2" t="s">
        <v>7064</v>
      </c>
      <c r="L836" s="2" t="s">
        <v>1627</v>
      </c>
      <c r="M836" s="2" t="s">
        <v>1385</v>
      </c>
      <c r="N836" s="2" t="s">
        <v>1386</v>
      </c>
      <c r="AN836" s="2" t="s">
        <v>1368</v>
      </c>
    </row>
    <row r="837" ht="15.75" customHeight="1">
      <c r="A837" s="2" t="s">
        <v>7065</v>
      </c>
      <c r="B837" s="2" t="s">
        <v>1361</v>
      </c>
      <c r="C837" s="2">
        <v>2006.0</v>
      </c>
      <c r="D837" s="2" t="s">
        <v>7066</v>
      </c>
      <c r="E837" s="2" t="s">
        <v>7067</v>
      </c>
      <c r="F837" s="2" t="s">
        <v>7068</v>
      </c>
      <c r="H837" s="2" t="s">
        <v>7069</v>
      </c>
      <c r="I837" s="2" t="s">
        <v>7070</v>
      </c>
      <c r="K837" s="2" t="s">
        <v>7071</v>
      </c>
      <c r="L837" s="2" t="s">
        <v>1727</v>
      </c>
      <c r="M837" s="2" t="s">
        <v>1385</v>
      </c>
      <c r="N837" s="2" t="s">
        <v>1386</v>
      </c>
      <c r="AN837" s="2" t="s">
        <v>1368</v>
      </c>
    </row>
    <row r="838" ht="15.75" customHeight="1">
      <c r="A838" s="2" t="s">
        <v>7072</v>
      </c>
      <c r="B838" s="2" t="s">
        <v>1361</v>
      </c>
      <c r="C838" s="2">
        <v>2005.0</v>
      </c>
      <c r="D838" s="2" t="s">
        <v>7073</v>
      </c>
      <c r="E838" s="2" t="s">
        <v>7074</v>
      </c>
      <c r="F838" s="2" t="s">
        <v>7075</v>
      </c>
      <c r="H838" s="2" t="s">
        <v>7076</v>
      </c>
      <c r="I838" s="2" t="s">
        <v>7077</v>
      </c>
      <c r="K838" s="2" t="s">
        <v>7078</v>
      </c>
      <c r="L838" s="2" t="s">
        <v>1394</v>
      </c>
      <c r="M838" s="2" t="s">
        <v>1385</v>
      </c>
      <c r="N838" s="2" t="s">
        <v>1386</v>
      </c>
      <c r="P838" s="2" t="s">
        <v>7079</v>
      </c>
      <c r="R838" s="2" t="s">
        <v>1462</v>
      </c>
      <c r="S838" s="2" t="s">
        <v>1443</v>
      </c>
      <c r="AN838" s="2" t="s">
        <v>1368</v>
      </c>
    </row>
    <row r="839" ht="15.75" customHeight="1">
      <c r="A839" s="2" t="s">
        <v>7080</v>
      </c>
      <c r="B839" s="2" t="s">
        <v>1781</v>
      </c>
      <c r="C839" s="2">
        <v>2011.0</v>
      </c>
      <c r="D839" s="2" t="s">
        <v>7081</v>
      </c>
      <c r="E839" s="2" t="s">
        <v>7082</v>
      </c>
      <c r="L839" s="2" t="s">
        <v>1627</v>
      </c>
      <c r="M839" s="2" t="s">
        <v>1385</v>
      </c>
      <c r="N839" s="2" t="s">
        <v>1386</v>
      </c>
      <c r="AB839" s="2" t="s">
        <v>1629</v>
      </c>
      <c r="AN839" s="2" t="s">
        <v>1368</v>
      </c>
    </row>
    <row r="840" ht="15.75" customHeight="1">
      <c r="A840" s="2" t="s">
        <v>7083</v>
      </c>
      <c r="B840" s="2" t="s">
        <v>1361</v>
      </c>
      <c r="C840" s="2">
        <v>2009.0</v>
      </c>
      <c r="D840" s="2" t="s">
        <v>7084</v>
      </c>
      <c r="E840" s="2" t="s">
        <v>7085</v>
      </c>
      <c r="F840" s="2" t="s">
        <v>7086</v>
      </c>
      <c r="H840" s="2" t="s">
        <v>7087</v>
      </c>
      <c r="I840" s="2" t="s">
        <v>7088</v>
      </c>
      <c r="K840" s="2" t="s">
        <v>7089</v>
      </c>
      <c r="L840" s="2" t="s">
        <v>1364</v>
      </c>
      <c r="M840" s="2" t="s">
        <v>1385</v>
      </c>
      <c r="N840" s="2" t="s">
        <v>1386</v>
      </c>
      <c r="AN840" s="2" t="s">
        <v>1368</v>
      </c>
    </row>
    <row r="841" ht="15.75" customHeight="1">
      <c r="A841" s="2" t="s">
        <v>7090</v>
      </c>
      <c r="B841" s="2" t="s">
        <v>1396</v>
      </c>
      <c r="C841" s="2">
        <v>2015.0</v>
      </c>
      <c r="D841" s="2" t="s">
        <v>7091</v>
      </c>
      <c r="E841" s="2" t="s">
        <v>7092</v>
      </c>
      <c r="L841" s="2" t="s">
        <v>1373</v>
      </c>
      <c r="M841" s="2" t="s">
        <v>1385</v>
      </c>
      <c r="N841" s="2" t="s">
        <v>1386</v>
      </c>
      <c r="AA841" s="2" t="s">
        <v>7093</v>
      </c>
      <c r="AN841" s="2" t="s">
        <v>1368</v>
      </c>
    </row>
    <row r="842" ht="15.75" customHeight="1">
      <c r="A842" s="2" t="s">
        <v>7094</v>
      </c>
      <c r="B842" s="2" t="s">
        <v>1361</v>
      </c>
      <c r="C842" s="2">
        <v>2011.0</v>
      </c>
      <c r="D842" s="2" t="s">
        <v>7095</v>
      </c>
      <c r="E842" s="2" t="s">
        <v>7096</v>
      </c>
      <c r="F842" s="2" t="s">
        <v>7097</v>
      </c>
      <c r="I842" s="2" t="s">
        <v>7098</v>
      </c>
      <c r="K842" s="2" t="s">
        <v>7099</v>
      </c>
      <c r="L842" s="2" t="s">
        <v>1627</v>
      </c>
      <c r="M842" s="2" t="s">
        <v>1385</v>
      </c>
      <c r="N842" s="2" t="s">
        <v>1386</v>
      </c>
      <c r="AN842" s="2" t="s">
        <v>1368</v>
      </c>
    </row>
    <row r="843" ht="15.75" customHeight="1">
      <c r="A843" s="2" t="s">
        <v>7100</v>
      </c>
      <c r="B843" s="2" t="s">
        <v>1361</v>
      </c>
      <c r="C843" s="2">
        <v>2013.0</v>
      </c>
      <c r="D843" s="2" t="s">
        <v>7101</v>
      </c>
      <c r="E843" s="2" t="s">
        <v>7102</v>
      </c>
      <c r="F843" s="2" t="s">
        <v>2665</v>
      </c>
      <c r="H843" s="2" t="s">
        <v>7103</v>
      </c>
      <c r="I843" s="2" t="s">
        <v>7104</v>
      </c>
      <c r="K843" s="2" t="s">
        <v>7105</v>
      </c>
      <c r="L843" s="2" t="s">
        <v>1429</v>
      </c>
      <c r="M843" s="2" t="s">
        <v>1385</v>
      </c>
      <c r="N843" s="2" t="s">
        <v>1386</v>
      </c>
      <c r="P843" s="2" t="s">
        <v>7106</v>
      </c>
      <c r="R843" s="2" t="s">
        <v>1600</v>
      </c>
      <c r="S843" s="2" t="s">
        <v>3211</v>
      </c>
      <c r="AN843" s="2" t="s">
        <v>1368</v>
      </c>
    </row>
    <row r="844" ht="15.75" customHeight="1">
      <c r="A844" s="2" t="s">
        <v>7107</v>
      </c>
      <c r="B844" s="2" t="s">
        <v>1396</v>
      </c>
      <c r="C844" s="2">
        <v>2006.0</v>
      </c>
      <c r="D844" s="2" t="s">
        <v>7108</v>
      </c>
      <c r="E844" s="2" t="s">
        <v>7109</v>
      </c>
      <c r="G844" s="2" t="s">
        <v>7110</v>
      </c>
      <c r="K844" s="2" t="s">
        <v>7111</v>
      </c>
      <c r="L844" s="2" t="s">
        <v>1727</v>
      </c>
      <c r="M844" s="2" t="s">
        <v>1385</v>
      </c>
      <c r="N844" s="2" t="s">
        <v>1386</v>
      </c>
      <c r="AN844" s="2" t="s">
        <v>1368</v>
      </c>
    </row>
    <row r="845" ht="15.75" customHeight="1">
      <c r="A845" s="2" t="s">
        <v>7112</v>
      </c>
      <c r="B845" s="2" t="s">
        <v>1396</v>
      </c>
      <c r="C845" s="2">
        <v>2016.0</v>
      </c>
      <c r="D845" s="2" t="s">
        <v>6869</v>
      </c>
      <c r="E845" s="2" t="s">
        <v>7113</v>
      </c>
      <c r="G845" s="2" t="s">
        <v>7114</v>
      </c>
      <c r="L845" s="2" t="s">
        <v>7115</v>
      </c>
      <c r="M845" s="2" t="s">
        <v>1385</v>
      </c>
      <c r="N845" s="2" t="s">
        <v>1386</v>
      </c>
      <c r="W845" s="2" t="s">
        <v>7116</v>
      </c>
      <c r="AA845" s="2" t="s">
        <v>7117</v>
      </c>
      <c r="AN845" s="2" t="s">
        <v>1368</v>
      </c>
    </row>
    <row r="846" ht="15.75" customHeight="1">
      <c r="A846" s="2" t="s">
        <v>7118</v>
      </c>
      <c r="B846" s="2" t="s">
        <v>1396</v>
      </c>
      <c r="C846" s="2">
        <v>2006.0</v>
      </c>
      <c r="D846" s="2" t="s">
        <v>6869</v>
      </c>
      <c r="E846" s="2" t="s">
        <v>7119</v>
      </c>
      <c r="L846" s="2" t="s">
        <v>1727</v>
      </c>
      <c r="M846" s="2" t="s">
        <v>1385</v>
      </c>
      <c r="N846" s="2" t="s">
        <v>1386</v>
      </c>
      <c r="Q846" s="2">
        <v>336.0</v>
      </c>
      <c r="AA846" s="2" t="s">
        <v>7120</v>
      </c>
      <c r="AB846" s="2" t="s">
        <v>7121</v>
      </c>
      <c r="AN846" s="2" t="s">
        <v>1368</v>
      </c>
      <c r="AP846" s="2" t="s">
        <v>7122</v>
      </c>
      <c r="AQ846" s="2" t="s">
        <v>7123</v>
      </c>
    </row>
    <row r="847" ht="15.75" customHeight="1">
      <c r="A847" s="2" t="s">
        <v>7124</v>
      </c>
      <c r="B847" s="2" t="s">
        <v>1396</v>
      </c>
      <c r="C847" s="2">
        <v>2018.0</v>
      </c>
      <c r="D847" s="2" t="s">
        <v>6869</v>
      </c>
      <c r="E847" s="2" t="s">
        <v>7125</v>
      </c>
      <c r="J847" s="2" t="s">
        <v>7126</v>
      </c>
      <c r="L847" s="2" t="s">
        <v>1420</v>
      </c>
      <c r="M847" s="2" t="s">
        <v>1385</v>
      </c>
      <c r="N847" s="2" t="s">
        <v>1386</v>
      </c>
      <c r="O847" s="2" t="s">
        <v>4906</v>
      </c>
      <c r="AN847" s="2" t="s">
        <v>1368</v>
      </c>
    </row>
    <row r="848" ht="15.75" customHeight="1">
      <c r="A848" s="2" t="s">
        <v>7127</v>
      </c>
      <c r="B848" s="2" t="s">
        <v>1396</v>
      </c>
      <c r="C848" s="2">
        <v>2018.0</v>
      </c>
      <c r="D848" s="2" t="s">
        <v>6869</v>
      </c>
      <c r="E848" s="2" t="s">
        <v>7128</v>
      </c>
      <c r="J848" s="2" t="s">
        <v>7129</v>
      </c>
      <c r="L848" s="2" t="s">
        <v>1420</v>
      </c>
      <c r="M848" s="2" t="s">
        <v>1385</v>
      </c>
      <c r="N848" s="2" t="s">
        <v>1386</v>
      </c>
      <c r="O848" s="2" t="s">
        <v>4906</v>
      </c>
      <c r="AN848" s="2" t="s">
        <v>1368</v>
      </c>
    </row>
    <row r="849" ht="15.75" customHeight="1">
      <c r="A849" s="2" t="s">
        <v>7130</v>
      </c>
      <c r="B849" s="2" t="s">
        <v>1361</v>
      </c>
      <c r="C849" s="2">
        <v>2007.0</v>
      </c>
      <c r="D849" s="2" t="s">
        <v>7131</v>
      </c>
      <c r="E849" s="2" t="s">
        <v>7132</v>
      </c>
      <c r="F849" s="2" t="s">
        <v>2601</v>
      </c>
      <c r="I849" s="2" t="s">
        <v>7133</v>
      </c>
      <c r="L849" s="2" t="s">
        <v>2380</v>
      </c>
      <c r="M849" s="2" t="s">
        <v>7134</v>
      </c>
      <c r="N849" s="2" t="s">
        <v>7135</v>
      </c>
      <c r="P849" s="2" t="s">
        <v>7136</v>
      </c>
      <c r="R849" s="2">
        <v>1.0</v>
      </c>
      <c r="S849" s="2">
        <v>27.0</v>
      </c>
      <c r="AN849" s="2" t="s">
        <v>1368</v>
      </c>
    </row>
    <row r="850" ht="15.75" customHeight="1">
      <c r="A850" s="2" t="s">
        <v>7137</v>
      </c>
      <c r="B850" s="2" t="s">
        <v>1361</v>
      </c>
      <c r="C850" s="2">
        <v>2010.0</v>
      </c>
      <c r="D850" s="2" t="s">
        <v>7138</v>
      </c>
      <c r="E850" s="2" t="s">
        <v>7139</v>
      </c>
      <c r="F850" s="2" t="s">
        <v>1688</v>
      </c>
      <c r="I850" s="2" t="s">
        <v>7140</v>
      </c>
      <c r="L850" s="2" t="s">
        <v>1449</v>
      </c>
      <c r="M850" s="2" t="s">
        <v>7141</v>
      </c>
      <c r="N850" s="2" t="s">
        <v>7142</v>
      </c>
      <c r="P850" s="2" t="s">
        <v>7143</v>
      </c>
      <c r="R850" s="2">
        <v>22.0</v>
      </c>
      <c r="S850" s="2">
        <v>107.0</v>
      </c>
      <c r="AN850" s="2" t="s">
        <v>1368</v>
      </c>
    </row>
    <row r="851" ht="15.75" customHeight="1">
      <c r="A851" s="2" t="s">
        <v>7144</v>
      </c>
      <c r="B851" s="2" t="s">
        <v>1361</v>
      </c>
      <c r="C851" s="2">
        <v>2013.0</v>
      </c>
      <c r="D851" s="2" t="s">
        <v>7145</v>
      </c>
      <c r="E851" s="2" t="s">
        <v>7146</v>
      </c>
      <c r="F851" s="2" t="s">
        <v>7147</v>
      </c>
      <c r="I851" s="2" t="s">
        <v>7148</v>
      </c>
      <c r="L851" s="2" t="s">
        <v>1429</v>
      </c>
      <c r="M851" s="2" t="s">
        <v>7149</v>
      </c>
      <c r="N851" s="2" t="s">
        <v>7150</v>
      </c>
      <c r="R851" s="2">
        <v>1.0</v>
      </c>
      <c r="S851" s="2">
        <v>3.0</v>
      </c>
      <c r="AN851" s="2" t="s">
        <v>1368</v>
      </c>
    </row>
    <row r="852" ht="15.75" customHeight="1">
      <c r="A852" s="2" t="s">
        <v>7151</v>
      </c>
      <c r="B852" s="2" t="s">
        <v>1361</v>
      </c>
      <c r="C852" s="2">
        <v>1999.0</v>
      </c>
      <c r="D852" s="2" t="s">
        <v>7152</v>
      </c>
      <c r="E852" s="2" t="s">
        <v>7153</v>
      </c>
      <c r="F852" s="2" t="s">
        <v>7154</v>
      </c>
      <c r="H852" s="2" t="s">
        <v>7155</v>
      </c>
      <c r="I852" s="2" t="s">
        <v>7156</v>
      </c>
      <c r="K852" s="2" t="s">
        <v>7157</v>
      </c>
      <c r="L852" s="2" t="s">
        <v>7158</v>
      </c>
      <c r="M852" s="2" t="s">
        <v>7159</v>
      </c>
      <c r="N852" s="2" t="s">
        <v>7160</v>
      </c>
      <c r="P852" s="2" t="s">
        <v>7161</v>
      </c>
      <c r="R852" s="2">
        <v>1.0</v>
      </c>
      <c r="S852" s="2">
        <v>14.0</v>
      </c>
      <c r="AN852" s="2" t="s">
        <v>1368</v>
      </c>
    </row>
    <row r="853" ht="15.75" customHeight="1">
      <c r="A853" s="2" t="s">
        <v>7162</v>
      </c>
      <c r="B853" s="2" t="s">
        <v>1396</v>
      </c>
      <c r="C853" s="2">
        <v>2000.0</v>
      </c>
      <c r="D853" s="2" t="s">
        <v>7163</v>
      </c>
      <c r="E853" s="2" t="s">
        <v>7164</v>
      </c>
      <c r="J853" s="2" t="s">
        <v>7165</v>
      </c>
      <c r="L853" s="2" t="s">
        <v>2429</v>
      </c>
      <c r="M853" s="2" t="s">
        <v>1385</v>
      </c>
      <c r="N853" s="2" t="s">
        <v>1386</v>
      </c>
      <c r="AA853" s="2" t="s">
        <v>7166</v>
      </c>
      <c r="AN853" s="2" t="s">
        <v>1368</v>
      </c>
    </row>
    <row r="854" ht="15.75" customHeight="1">
      <c r="A854" s="2" t="s">
        <v>7167</v>
      </c>
      <c r="B854" s="2" t="s">
        <v>1396</v>
      </c>
      <c r="C854" s="2">
        <v>2007.0</v>
      </c>
      <c r="D854" s="2" t="s">
        <v>7168</v>
      </c>
      <c r="E854" s="2" t="s">
        <v>7169</v>
      </c>
      <c r="L854" s="2" t="s">
        <v>2380</v>
      </c>
      <c r="M854" s="2" t="s">
        <v>1385</v>
      </c>
      <c r="N854" s="2" t="s">
        <v>1386</v>
      </c>
      <c r="S854" s="2">
        <v>4117.0</v>
      </c>
      <c r="AA854" s="2" t="s">
        <v>1406</v>
      </c>
      <c r="AN854" s="2" t="s">
        <v>1368</v>
      </c>
    </row>
    <row r="855" ht="15.75" customHeight="1">
      <c r="A855" s="2" t="s">
        <v>7170</v>
      </c>
      <c r="B855" s="2" t="s">
        <v>1361</v>
      </c>
      <c r="C855" s="2">
        <v>2011.0</v>
      </c>
      <c r="D855" s="2" t="s">
        <v>7171</v>
      </c>
      <c r="E855" s="2" t="s">
        <v>7172</v>
      </c>
      <c r="F855" s="2" t="s">
        <v>1789</v>
      </c>
      <c r="H855" s="2" t="s">
        <v>7029</v>
      </c>
      <c r="I855" s="2" t="s">
        <v>7173</v>
      </c>
      <c r="L855" s="2" t="s">
        <v>1627</v>
      </c>
      <c r="M855" s="2" t="s">
        <v>1385</v>
      </c>
      <c r="N855" s="2" t="s">
        <v>1386</v>
      </c>
      <c r="P855" s="2" t="s">
        <v>7174</v>
      </c>
      <c r="R855" s="2">
        <v>3.0</v>
      </c>
      <c r="S855" s="2">
        <v>21.0</v>
      </c>
      <c r="AN855" s="2" t="s">
        <v>1368</v>
      </c>
    </row>
    <row r="856" ht="15.75" customHeight="1">
      <c r="A856" s="2" t="s">
        <v>7175</v>
      </c>
      <c r="B856" s="2" t="s">
        <v>1361</v>
      </c>
      <c r="C856" s="2">
        <v>2011.0</v>
      </c>
      <c r="D856" s="2" t="s">
        <v>7176</v>
      </c>
      <c r="E856" s="2" t="s">
        <v>7177</v>
      </c>
      <c r="F856" s="2" t="s">
        <v>3689</v>
      </c>
      <c r="H856" s="2" t="s">
        <v>3690</v>
      </c>
      <c r="I856" s="2" t="s">
        <v>7178</v>
      </c>
      <c r="K856" s="2" t="s">
        <v>7179</v>
      </c>
      <c r="L856" s="2" t="s">
        <v>1627</v>
      </c>
      <c r="M856" s="2" t="s">
        <v>1385</v>
      </c>
      <c r="N856" s="2" t="s">
        <v>1386</v>
      </c>
      <c r="P856" s="2" t="s">
        <v>7180</v>
      </c>
      <c r="R856" s="2">
        <v>1.0</v>
      </c>
      <c r="S856" s="2">
        <v>3.0</v>
      </c>
      <c r="AN856" s="2" t="s">
        <v>1368</v>
      </c>
    </row>
    <row r="857" ht="15.75" customHeight="1">
      <c r="A857" s="2" t="s">
        <v>7181</v>
      </c>
      <c r="B857" s="2" t="s">
        <v>1396</v>
      </c>
      <c r="C857" s="2">
        <v>2002.0</v>
      </c>
      <c r="D857" s="2" t="s">
        <v>7182</v>
      </c>
      <c r="E857" s="2" t="s">
        <v>7183</v>
      </c>
      <c r="L857" s="2" t="s">
        <v>1493</v>
      </c>
      <c r="M857" s="2" t="s">
        <v>1385</v>
      </c>
      <c r="N857" s="2" t="s">
        <v>1386</v>
      </c>
      <c r="AA857" s="2" t="s">
        <v>2187</v>
      </c>
      <c r="AB857" s="2" t="s">
        <v>7184</v>
      </c>
      <c r="AN857" s="2" t="s">
        <v>1368</v>
      </c>
    </row>
    <row r="858" ht="15.75" customHeight="1">
      <c r="A858" s="2" t="s">
        <v>7185</v>
      </c>
      <c r="B858" s="2" t="s">
        <v>1781</v>
      </c>
      <c r="C858" s="2">
        <v>2011.0</v>
      </c>
      <c r="D858" s="2" t="s">
        <v>7186</v>
      </c>
      <c r="E858" s="2" t="s">
        <v>7187</v>
      </c>
      <c r="K858" s="2" t="s">
        <v>7188</v>
      </c>
      <c r="L858" s="2" t="s">
        <v>1627</v>
      </c>
      <c r="M858" s="2" t="s">
        <v>1385</v>
      </c>
      <c r="N858" s="2" t="s">
        <v>1386</v>
      </c>
      <c r="AN858" s="2" t="s">
        <v>1368</v>
      </c>
    </row>
    <row r="859" ht="15.75" customHeight="1">
      <c r="A859" s="2" t="s">
        <v>7189</v>
      </c>
      <c r="B859" s="2" t="s">
        <v>1361</v>
      </c>
      <c r="C859" s="2">
        <v>2013.0</v>
      </c>
      <c r="D859" s="2" t="s">
        <v>7190</v>
      </c>
      <c r="E859" s="2" t="s">
        <v>7191</v>
      </c>
      <c r="F859" s="2" t="s">
        <v>2205</v>
      </c>
      <c r="I859" s="2" t="s">
        <v>7192</v>
      </c>
      <c r="L859" s="2" t="s">
        <v>1429</v>
      </c>
      <c r="M859" s="2" t="s">
        <v>7193</v>
      </c>
      <c r="N859" s="2" t="s">
        <v>7194</v>
      </c>
      <c r="P859" s="2" t="s">
        <v>7195</v>
      </c>
      <c r="S859" s="2">
        <v>37.0</v>
      </c>
      <c r="AN859" s="2" t="s">
        <v>1368</v>
      </c>
    </row>
    <row r="860" ht="15.75" customHeight="1">
      <c r="A860" s="2" t="s">
        <v>7196</v>
      </c>
      <c r="B860" s="2" t="s">
        <v>1361</v>
      </c>
      <c r="C860" s="2">
        <v>2015.0</v>
      </c>
      <c r="D860" s="2" t="s">
        <v>7197</v>
      </c>
      <c r="E860" s="2" t="s">
        <v>274</v>
      </c>
      <c r="F860" s="2" t="s">
        <v>1380</v>
      </c>
      <c r="J860" s="2" t="s">
        <v>7198</v>
      </c>
      <c r="L860" s="2" t="s">
        <v>5149</v>
      </c>
      <c r="M860" s="2" t="s">
        <v>7199</v>
      </c>
      <c r="N860" s="2" t="s">
        <v>7200</v>
      </c>
      <c r="P860" s="2" t="s">
        <v>7201</v>
      </c>
      <c r="S860" s="2">
        <v>527.0</v>
      </c>
      <c r="AN860" s="2" t="s">
        <v>1368</v>
      </c>
    </row>
    <row r="861" ht="15.75" customHeight="1">
      <c r="A861" s="2" t="s">
        <v>7202</v>
      </c>
      <c r="B861" s="2" t="s">
        <v>1361</v>
      </c>
      <c r="C861" s="2">
        <v>2015.0</v>
      </c>
      <c r="D861" s="2" t="s">
        <v>7203</v>
      </c>
      <c r="E861" s="2" t="s">
        <v>7204</v>
      </c>
      <c r="F861" s="2" t="s">
        <v>219</v>
      </c>
      <c r="I861" s="2" t="s">
        <v>356</v>
      </c>
      <c r="L861" s="2" t="s">
        <v>1373</v>
      </c>
      <c r="M861" s="2" t="s">
        <v>2114</v>
      </c>
      <c r="N861" s="2" t="s">
        <v>2115</v>
      </c>
      <c r="P861" s="2" t="s">
        <v>7205</v>
      </c>
      <c r="R861" s="2">
        <v>2.0</v>
      </c>
      <c r="S861" s="2">
        <v>28.0</v>
      </c>
      <c r="AN861" s="2" t="s">
        <v>1368</v>
      </c>
    </row>
    <row r="862" ht="15.75" customHeight="1">
      <c r="A862" s="2" t="s">
        <v>7206</v>
      </c>
      <c r="B862" s="2" t="s">
        <v>1361</v>
      </c>
      <c r="C862" s="2">
        <v>2002.0</v>
      </c>
      <c r="D862" s="2" t="s">
        <v>7207</v>
      </c>
      <c r="E862" s="2" t="s">
        <v>7208</v>
      </c>
      <c r="F862" s="2" t="s">
        <v>5024</v>
      </c>
      <c r="H862" s="2" t="s">
        <v>6987</v>
      </c>
      <c r="I862" s="2" t="s">
        <v>7209</v>
      </c>
      <c r="J862" s="2" t="s">
        <v>7210</v>
      </c>
      <c r="K862" s="2" t="s">
        <v>7211</v>
      </c>
      <c r="L862" s="2" t="s">
        <v>7212</v>
      </c>
      <c r="M862" s="2" t="s">
        <v>7213</v>
      </c>
      <c r="N862" s="2" t="s">
        <v>7214</v>
      </c>
      <c r="P862" s="2" t="s">
        <v>7215</v>
      </c>
      <c r="R862" s="2">
        <v>4.0</v>
      </c>
      <c r="S862" s="2">
        <v>30.0</v>
      </c>
      <c r="AN862" s="2" t="s">
        <v>1621</v>
      </c>
    </row>
    <row r="863" ht="15.75" customHeight="1">
      <c r="A863" s="2" t="s">
        <v>7216</v>
      </c>
      <c r="B863" s="2" t="s">
        <v>1361</v>
      </c>
      <c r="C863" s="2">
        <v>2017.0</v>
      </c>
      <c r="D863" s="2" t="s">
        <v>7217</v>
      </c>
      <c r="E863" s="2" t="s">
        <v>7218</v>
      </c>
      <c r="F863" s="2" t="s">
        <v>3295</v>
      </c>
      <c r="H863" s="2" t="s">
        <v>3296</v>
      </c>
      <c r="I863" s="2" t="s">
        <v>7219</v>
      </c>
      <c r="K863" s="2" t="s">
        <v>7220</v>
      </c>
      <c r="L863" s="2" t="s">
        <v>1658</v>
      </c>
      <c r="M863" s="2" t="s">
        <v>1385</v>
      </c>
      <c r="N863" s="2" t="s">
        <v>1386</v>
      </c>
      <c r="P863" s="2" t="s">
        <v>7221</v>
      </c>
      <c r="R863" s="2">
        <v>1.0</v>
      </c>
      <c r="S863" s="2">
        <v>10.0</v>
      </c>
      <c r="AJ863" s="2" t="s">
        <v>7222</v>
      </c>
      <c r="AN863" s="2" t="s">
        <v>1368</v>
      </c>
    </row>
    <row r="864" ht="15.75" customHeight="1">
      <c r="A864" s="2" t="s">
        <v>7223</v>
      </c>
      <c r="B864" s="2" t="s">
        <v>1361</v>
      </c>
      <c r="C864" s="2">
        <v>2010.0</v>
      </c>
      <c r="D864" s="2" t="s">
        <v>7224</v>
      </c>
      <c r="E864" s="2" t="s">
        <v>7225</v>
      </c>
      <c r="F864" s="2" t="s">
        <v>2709</v>
      </c>
      <c r="H864" s="2" t="s">
        <v>7226</v>
      </c>
      <c r="I864" s="2" t="s">
        <v>7227</v>
      </c>
      <c r="J864" s="2" t="s">
        <v>7228</v>
      </c>
      <c r="K864" s="2" t="s">
        <v>7229</v>
      </c>
      <c r="L864" s="2" t="s">
        <v>1835</v>
      </c>
      <c r="M864" s="2" t="s">
        <v>1385</v>
      </c>
      <c r="N864" s="2" t="s">
        <v>1386</v>
      </c>
      <c r="P864" s="2" t="s">
        <v>7230</v>
      </c>
      <c r="R864" s="2">
        <v>3.0</v>
      </c>
      <c r="S864" s="2">
        <v>32.0</v>
      </c>
      <c r="AN864" s="2" t="s">
        <v>1368</v>
      </c>
    </row>
    <row r="865" ht="15.75" customHeight="1">
      <c r="A865" s="2" t="s">
        <v>7231</v>
      </c>
      <c r="B865" s="2" t="s">
        <v>2986</v>
      </c>
      <c r="C865" s="2">
        <v>2016.0</v>
      </c>
      <c r="D865" s="2" t="s">
        <v>7232</v>
      </c>
      <c r="E865" s="2" t="s">
        <v>7233</v>
      </c>
      <c r="J865" s="2" t="s">
        <v>7234</v>
      </c>
      <c r="L865" s="2" t="s">
        <v>7235</v>
      </c>
      <c r="M865" s="2" t="s">
        <v>1385</v>
      </c>
      <c r="N865" s="2" t="s">
        <v>1386</v>
      </c>
      <c r="O865" s="2" t="s">
        <v>7236</v>
      </c>
      <c r="AN865" s="2" t="s">
        <v>1368</v>
      </c>
    </row>
    <row r="866" ht="15.75" customHeight="1">
      <c r="A866" s="2" t="s">
        <v>7237</v>
      </c>
      <c r="B866" s="2" t="s">
        <v>1361</v>
      </c>
      <c r="C866" s="2">
        <v>2007.0</v>
      </c>
      <c r="D866" s="2" t="s">
        <v>7238</v>
      </c>
      <c r="E866" s="2" t="s">
        <v>7239</v>
      </c>
      <c r="F866" s="2" t="s">
        <v>7240</v>
      </c>
      <c r="H866" s="2" t="s">
        <v>7241</v>
      </c>
      <c r="I866" s="2" t="s">
        <v>7242</v>
      </c>
      <c r="K866" s="2" t="s">
        <v>7243</v>
      </c>
      <c r="L866" s="2" t="s">
        <v>2380</v>
      </c>
      <c r="M866" s="2" t="s">
        <v>1385</v>
      </c>
      <c r="N866" s="2" t="s">
        <v>1386</v>
      </c>
      <c r="AN866" s="2" t="s">
        <v>1368</v>
      </c>
    </row>
    <row r="867" ht="15.75" customHeight="1">
      <c r="A867" s="2" t="s">
        <v>7244</v>
      </c>
      <c r="B867" s="2" t="s">
        <v>1396</v>
      </c>
      <c r="C867" s="2">
        <v>2000.0</v>
      </c>
      <c r="D867" s="2" t="s">
        <v>7245</v>
      </c>
      <c r="E867" s="2" t="s">
        <v>7246</v>
      </c>
      <c r="G867" s="2" t="s">
        <v>7247</v>
      </c>
      <c r="K867" s="2" t="s">
        <v>7248</v>
      </c>
      <c r="L867" s="2" t="s">
        <v>2429</v>
      </c>
      <c r="M867" s="2" t="s">
        <v>1385</v>
      </c>
      <c r="N867" s="2" t="s">
        <v>1386</v>
      </c>
      <c r="Q867" s="2">
        <v>234.0</v>
      </c>
      <c r="AA867" s="2" t="s">
        <v>7249</v>
      </c>
      <c r="AN867" s="2" t="s">
        <v>1368</v>
      </c>
    </row>
    <row r="868" ht="15.75" customHeight="1">
      <c r="A868" s="2" t="s">
        <v>7250</v>
      </c>
      <c r="B868" s="2" t="s">
        <v>1361</v>
      </c>
      <c r="C868" s="2">
        <v>2010.0</v>
      </c>
      <c r="D868" s="2" t="s">
        <v>7251</v>
      </c>
      <c r="E868" s="2" t="s">
        <v>7252</v>
      </c>
      <c r="F868" s="2" t="s">
        <v>7253</v>
      </c>
      <c r="H868" s="2" t="s">
        <v>3248</v>
      </c>
      <c r="I868" s="2" t="s">
        <v>7254</v>
      </c>
      <c r="J868" s="2" t="s">
        <v>7255</v>
      </c>
      <c r="K868" s="2" t="s">
        <v>7256</v>
      </c>
      <c r="L868" s="2" t="s">
        <v>1449</v>
      </c>
      <c r="M868" s="2" t="s">
        <v>1385</v>
      </c>
      <c r="N868" s="2" t="s">
        <v>1386</v>
      </c>
      <c r="P868" s="2" t="s">
        <v>7257</v>
      </c>
      <c r="R868" s="2">
        <v>26.0</v>
      </c>
      <c r="S868" s="2">
        <v>107.0</v>
      </c>
      <c r="AN868" s="2" t="s">
        <v>1368</v>
      </c>
    </row>
    <row r="869" ht="15.75" customHeight="1">
      <c r="A869" s="2" t="s">
        <v>7258</v>
      </c>
      <c r="B869" s="2" t="s">
        <v>1361</v>
      </c>
      <c r="C869" s="2">
        <v>2013.0</v>
      </c>
      <c r="D869" s="2" t="s">
        <v>7259</v>
      </c>
      <c r="E869" s="2" t="s">
        <v>7260</v>
      </c>
      <c r="F869" s="2" t="s">
        <v>2350</v>
      </c>
      <c r="I869" s="2" t="s">
        <v>7261</v>
      </c>
      <c r="L869" s="2" t="s">
        <v>1429</v>
      </c>
      <c r="M869" s="2" t="s">
        <v>7262</v>
      </c>
      <c r="N869" s="2" t="s">
        <v>7263</v>
      </c>
      <c r="P869" s="2" t="s">
        <v>7264</v>
      </c>
      <c r="S869" s="2">
        <v>24.0</v>
      </c>
      <c r="AN869" s="2" t="s">
        <v>1368</v>
      </c>
    </row>
    <row r="870" ht="15.75" customHeight="1">
      <c r="A870" s="2" t="s">
        <v>7265</v>
      </c>
      <c r="B870" s="2" t="s">
        <v>1361</v>
      </c>
      <c r="C870" s="2">
        <v>2016.0</v>
      </c>
      <c r="D870" s="2" t="s">
        <v>7266</v>
      </c>
      <c r="E870" s="2" t="s">
        <v>7267</v>
      </c>
      <c r="F870" s="2" t="s">
        <v>1438</v>
      </c>
      <c r="I870" s="2" t="s">
        <v>7268</v>
      </c>
      <c r="L870" s="2" t="s">
        <v>1502</v>
      </c>
      <c r="M870" s="2" t="s">
        <v>5857</v>
      </c>
      <c r="N870" s="2" t="s">
        <v>5858</v>
      </c>
      <c r="P870" s="2" t="s">
        <v>7269</v>
      </c>
      <c r="R870" s="2">
        <v>11.0</v>
      </c>
      <c r="S870" s="2">
        <v>11.0</v>
      </c>
      <c r="AN870" s="2" t="s">
        <v>1368</v>
      </c>
    </row>
    <row r="871" ht="15.75" customHeight="1">
      <c r="A871" s="2" t="s">
        <v>7270</v>
      </c>
      <c r="B871" s="2" t="s">
        <v>1361</v>
      </c>
      <c r="C871" s="2">
        <v>2016.0</v>
      </c>
      <c r="D871" s="2" t="s">
        <v>7271</v>
      </c>
      <c r="E871" s="2" t="s">
        <v>7272</v>
      </c>
      <c r="F871" s="2" t="s">
        <v>1789</v>
      </c>
      <c r="H871" s="2" t="s">
        <v>1790</v>
      </c>
      <c r="I871" s="2" t="s">
        <v>7273</v>
      </c>
      <c r="J871" s="2" t="s">
        <v>7274</v>
      </c>
      <c r="L871" s="2" t="s">
        <v>7275</v>
      </c>
      <c r="M871" s="2" t="s">
        <v>7276</v>
      </c>
      <c r="N871" s="2" t="s">
        <v>7277</v>
      </c>
      <c r="O871" s="2" t="s">
        <v>7278</v>
      </c>
      <c r="P871" s="2" t="s">
        <v>7279</v>
      </c>
      <c r="S871" s="2">
        <v>39.0</v>
      </c>
      <c r="U871" s="2" t="s">
        <v>1789</v>
      </c>
      <c r="AC871" s="2" t="s">
        <v>1540</v>
      </c>
      <c r="AH871" s="2" t="s">
        <v>1541</v>
      </c>
      <c r="AN871" s="2" t="s">
        <v>1885</v>
      </c>
    </row>
    <row r="872" ht="15.75" customHeight="1">
      <c r="A872" s="2" t="s">
        <v>7280</v>
      </c>
      <c r="B872" s="2" t="s">
        <v>1361</v>
      </c>
      <c r="C872" s="2">
        <v>2011.0</v>
      </c>
      <c r="D872" s="2" t="s">
        <v>7281</v>
      </c>
      <c r="E872" s="2" t="s">
        <v>7282</v>
      </c>
      <c r="F872" s="2" t="s">
        <v>7283</v>
      </c>
      <c r="I872" s="2" t="s">
        <v>7284</v>
      </c>
      <c r="K872" s="2" t="s">
        <v>7285</v>
      </c>
      <c r="L872" s="2" t="s">
        <v>1627</v>
      </c>
      <c r="M872" s="2" t="s">
        <v>1385</v>
      </c>
      <c r="N872" s="2" t="s">
        <v>1386</v>
      </c>
      <c r="AN872" s="2" t="s">
        <v>2244</v>
      </c>
    </row>
    <row r="873" ht="15.75" customHeight="1">
      <c r="A873" s="2" t="s">
        <v>7286</v>
      </c>
      <c r="B873" s="2" t="s">
        <v>1361</v>
      </c>
      <c r="C873" s="2">
        <v>2010.0</v>
      </c>
      <c r="D873" s="2" t="s">
        <v>7287</v>
      </c>
      <c r="E873" s="2" t="s">
        <v>7288</v>
      </c>
      <c r="F873" s="2" t="s">
        <v>1363</v>
      </c>
      <c r="H873" s="2" t="s">
        <v>1775</v>
      </c>
      <c r="I873" s="2" t="s">
        <v>7289</v>
      </c>
      <c r="J873" s="2" t="s">
        <v>7290</v>
      </c>
      <c r="L873" s="2" t="s">
        <v>7291</v>
      </c>
      <c r="M873" s="2" t="s">
        <v>1385</v>
      </c>
      <c r="N873" s="2" t="s">
        <v>1386</v>
      </c>
      <c r="P873" s="2" t="s">
        <v>7292</v>
      </c>
      <c r="R873" s="2">
        <v>1554.0</v>
      </c>
      <c r="S873" s="2">
        <v>365.0</v>
      </c>
      <c r="AN873" s="2" t="s">
        <v>2244</v>
      </c>
    </row>
    <row r="874" ht="15.75" customHeight="1">
      <c r="A874" s="2" t="s">
        <v>7293</v>
      </c>
      <c r="B874" s="2" t="s">
        <v>1361</v>
      </c>
      <c r="C874" s="2">
        <v>2016.0</v>
      </c>
      <c r="D874" s="2" t="s">
        <v>7294</v>
      </c>
      <c r="E874" s="2" t="s">
        <v>7295</v>
      </c>
      <c r="F874" s="2" t="s">
        <v>7296</v>
      </c>
      <c r="H874" s="2" t="s">
        <v>7297</v>
      </c>
      <c r="I874" s="2" t="s">
        <v>7298</v>
      </c>
      <c r="K874" s="2" t="s">
        <v>7299</v>
      </c>
      <c r="L874" s="2" t="s">
        <v>1502</v>
      </c>
      <c r="M874" s="2" t="s">
        <v>1385</v>
      </c>
      <c r="N874" s="2" t="s">
        <v>1386</v>
      </c>
      <c r="AN874" s="2" t="s">
        <v>1368</v>
      </c>
    </row>
    <row r="875" ht="15.75" customHeight="1">
      <c r="A875" s="2" t="s">
        <v>7300</v>
      </c>
      <c r="B875" s="2" t="s">
        <v>1361</v>
      </c>
      <c r="C875" s="2">
        <v>2012.0</v>
      </c>
      <c r="D875" s="2" t="s">
        <v>7301</v>
      </c>
      <c r="E875" s="2" t="s">
        <v>7302</v>
      </c>
      <c r="F875" s="2" t="s">
        <v>7303</v>
      </c>
      <c r="H875" s="2" t="s">
        <v>7304</v>
      </c>
      <c r="I875" s="2" t="s">
        <v>7305</v>
      </c>
      <c r="J875" s="2" t="s">
        <v>7306</v>
      </c>
      <c r="K875" s="2" t="s">
        <v>7307</v>
      </c>
      <c r="L875" s="2" t="s">
        <v>7308</v>
      </c>
      <c r="M875" s="2" t="s">
        <v>1385</v>
      </c>
      <c r="N875" s="2" t="s">
        <v>1386</v>
      </c>
      <c r="P875" s="2" t="s">
        <v>7309</v>
      </c>
      <c r="R875" s="2">
        <v>1.0</v>
      </c>
      <c r="S875" s="2">
        <v>12.0</v>
      </c>
      <c r="AN875" s="2" t="s">
        <v>1368</v>
      </c>
    </row>
    <row r="876" ht="15.75" customHeight="1">
      <c r="A876" s="2" t="s">
        <v>7310</v>
      </c>
      <c r="B876" s="2" t="s">
        <v>1361</v>
      </c>
      <c r="C876" s="2">
        <v>2009.0</v>
      </c>
      <c r="D876" s="2" t="s">
        <v>7311</v>
      </c>
      <c r="E876" s="2" t="s">
        <v>7312</v>
      </c>
      <c r="F876" s="2" t="s">
        <v>4086</v>
      </c>
      <c r="H876" s="2" t="s">
        <v>7313</v>
      </c>
      <c r="I876" s="2" t="s">
        <v>7314</v>
      </c>
      <c r="K876" s="2" t="s">
        <v>7315</v>
      </c>
      <c r="L876" s="2" t="s">
        <v>1364</v>
      </c>
      <c r="M876" s="2" t="s">
        <v>1385</v>
      </c>
      <c r="N876" s="2" t="s">
        <v>1386</v>
      </c>
      <c r="AN876" s="2" t="s">
        <v>1368</v>
      </c>
    </row>
    <row r="877" ht="15.75" customHeight="1">
      <c r="A877" s="2" t="s">
        <v>7316</v>
      </c>
      <c r="B877" s="2" t="s">
        <v>1396</v>
      </c>
      <c r="C877" s="2">
        <v>1995.0</v>
      </c>
      <c r="D877" s="2" t="s">
        <v>7317</v>
      </c>
      <c r="E877" s="2" t="s">
        <v>7318</v>
      </c>
      <c r="L877" s="2" t="s">
        <v>2089</v>
      </c>
      <c r="M877" s="2" t="s">
        <v>1385</v>
      </c>
      <c r="N877" s="2" t="s">
        <v>1386</v>
      </c>
      <c r="Q877" s="2" t="s">
        <v>7319</v>
      </c>
      <c r="S877" s="2">
        <v>85.0</v>
      </c>
      <c r="X877" s="2">
        <v>4.0</v>
      </c>
      <c r="AA877" s="2" t="s">
        <v>7320</v>
      </c>
      <c r="AB877" s="2" t="s">
        <v>7321</v>
      </c>
      <c r="AN877" s="2" t="s">
        <v>1368</v>
      </c>
    </row>
    <row r="878" ht="15.75" customHeight="1">
      <c r="A878" s="2" t="s">
        <v>7322</v>
      </c>
      <c r="B878" s="2" t="s">
        <v>1361</v>
      </c>
      <c r="C878" s="2">
        <v>2002.0</v>
      </c>
      <c r="D878" s="2" t="s">
        <v>7323</v>
      </c>
      <c r="E878" s="2" t="s">
        <v>7324</v>
      </c>
      <c r="F878" s="2" t="s">
        <v>1474</v>
      </c>
      <c r="H878" s="2" t="s">
        <v>6401</v>
      </c>
      <c r="I878" s="2" t="s">
        <v>7325</v>
      </c>
      <c r="J878" s="2" t="s">
        <v>7326</v>
      </c>
      <c r="K878" s="2" t="s">
        <v>7327</v>
      </c>
      <c r="L878" s="2" t="s">
        <v>7328</v>
      </c>
      <c r="M878" s="2" t="s">
        <v>1385</v>
      </c>
      <c r="N878" s="2" t="s">
        <v>1386</v>
      </c>
      <c r="P878" s="2" t="s">
        <v>7329</v>
      </c>
      <c r="R878" s="2">
        <v>4.0</v>
      </c>
      <c r="S878" s="2">
        <v>92.0</v>
      </c>
      <c r="AN878" s="2" t="s">
        <v>1368</v>
      </c>
    </row>
    <row r="879" ht="15.75" customHeight="1">
      <c r="A879" s="2" t="s">
        <v>7330</v>
      </c>
      <c r="B879" s="2" t="s">
        <v>1361</v>
      </c>
      <c r="C879" s="2">
        <v>2015.0</v>
      </c>
      <c r="D879" s="2" t="s">
        <v>7331</v>
      </c>
      <c r="E879" s="2" t="s">
        <v>7332</v>
      </c>
      <c r="F879" s="2" t="s">
        <v>3295</v>
      </c>
      <c r="H879" s="2" t="s">
        <v>3296</v>
      </c>
      <c r="I879" s="2" t="s">
        <v>7333</v>
      </c>
      <c r="J879" s="2" t="s">
        <v>7334</v>
      </c>
      <c r="L879" s="2" t="s">
        <v>5974</v>
      </c>
      <c r="M879" s="2" t="s">
        <v>7335</v>
      </c>
      <c r="N879" s="2" t="s">
        <v>7336</v>
      </c>
      <c r="O879" s="2" t="s">
        <v>7337</v>
      </c>
      <c r="P879" s="2" t="s">
        <v>7338</v>
      </c>
      <c r="R879" s="2" t="s">
        <v>1462</v>
      </c>
      <c r="S879" s="2">
        <v>8.0</v>
      </c>
      <c r="U879" s="2" t="s">
        <v>3295</v>
      </c>
      <c r="V879" s="2" t="s">
        <v>7339</v>
      </c>
      <c r="AC879" s="2" t="s">
        <v>1540</v>
      </c>
      <c r="AH879" s="2" t="s">
        <v>1541</v>
      </c>
      <c r="AN879" s="2" t="s">
        <v>1872</v>
      </c>
    </row>
    <row r="880" ht="15.75" customHeight="1">
      <c r="A880" s="2" t="s">
        <v>7340</v>
      </c>
      <c r="B880" s="2" t="s">
        <v>1361</v>
      </c>
      <c r="C880" s="2">
        <v>2007.0</v>
      </c>
      <c r="D880" s="2" t="s">
        <v>7341</v>
      </c>
      <c r="E880" s="2" t="s">
        <v>7342</v>
      </c>
      <c r="F880" s="2" t="s">
        <v>7343</v>
      </c>
      <c r="I880" s="2" t="s">
        <v>7344</v>
      </c>
      <c r="L880" s="2" t="s">
        <v>2380</v>
      </c>
      <c r="M880" s="2" t="s">
        <v>7345</v>
      </c>
      <c r="N880" s="2" t="s">
        <v>7346</v>
      </c>
      <c r="P880" s="2" t="s">
        <v>7347</v>
      </c>
      <c r="R880" s="2" t="s">
        <v>1506</v>
      </c>
      <c r="S880" s="2">
        <v>12.0</v>
      </c>
      <c r="AN880" s="2" t="s">
        <v>1368</v>
      </c>
    </row>
    <row r="881" ht="15.75" customHeight="1">
      <c r="A881" s="2" t="s">
        <v>7348</v>
      </c>
      <c r="B881" s="2" t="s">
        <v>1361</v>
      </c>
      <c r="C881" s="2">
        <v>2014.0</v>
      </c>
      <c r="D881" s="2" t="s">
        <v>7349</v>
      </c>
      <c r="E881" s="2" t="s">
        <v>7350</v>
      </c>
      <c r="F881" s="2" t="s">
        <v>7351</v>
      </c>
      <c r="L881" s="2" t="s">
        <v>1476</v>
      </c>
      <c r="M881" s="2" t="s">
        <v>7352</v>
      </c>
      <c r="N881" s="2" t="s">
        <v>7353</v>
      </c>
      <c r="P881" s="2" t="s">
        <v>7354</v>
      </c>
      <c r="S881" s="2">
        <v>38.0</v>
      </c>
      <c r="AN881" s="2" t="s">
        <v>1368</v>
      </c>
    </row>
    <row r="882" ht="15.75" customHeight="1">
      <c r="A882" s="2" t="s">
        <v>7355</v>
      </c>
      <c r="B882" s="2" t="s">
        <v>1361</v>
      </c>
      <c r="C882" s="2">
        <v>2012.0</v>
      </c>
      <c r="D882" s="2" t="s">
        <v>7356</v>
      </c>
      <c r="E882" s="2" t="s">
        <v>7357</v>
      </c>
      <c r="F882" s="2" t="s">
        <v>1760</v>
      </c>
      <c r="I882" s="2" t="s">
        <v>7358</v>
      </c>
      <c r="L882" s="2" t="s">
        <v>1405</v>
      </c>
      <c r="M882" s="2" t="s">
        <v>7359</v>
      </c>
      <c r="N882" s="2" t="s">
        <v>7360</v>
      </c>
      <c r="P882" s="2" t="s">
        <v>7361</v>
      </c>
      <c r="S882" s="2">
        <v>73.0</v>
      </c>
      <c r="AN882" s="2" t="s">
        <v>1368</v>
      </c>
    </row>
    <row r="883" ht="15.75" customHeight="1">
      <c r="A883" s="2" t="s">
        <v>7362</v>
      </c>
      <c r="B883" s="2" t="s">
        <v>1361</v>
      </c>
      <c r="C883" s="2">
        <v>2008.0</v>
      </c>
      <c r="D883" s="2" t="s">
        <v>7363</v>
      </c>
      <c r="E883" s="2" t="s">
        <v>7364</v>
      </c>
      <c r="F883" s="2" t="s">
        <v>2549</v>
      </c>
      <c r="H883" s="2" t="s">
        <v>2925</v>
      </c>
      <c r="I883" s="2" t="s">
        <v>7365</v>
      </c>
      <c r="K883" s="2" t="s">
        <v>7366</v>
      </c>
      <c r="L883" s="2" t="s">
        <v>1458</v>
      </c>
      <c r="M883" s="2" t="s">
        <v>7367</v>
      </c>
      <c r="N883" s="2" t="s">
        <v>7368</v>
      </c>
      <c r="R883" s="2" t="s">
        <v>1453</v>
      </c>
      <c r="S883" s="2">
        <v>13.0</v>
      </c>
      <c r="AN883" s="2" t="s">
        <v>1368</v>
      </c>
    </row>
    <row r="884" ht="15.75" customHeight="1">
      <c r="A884" s="2" t="s">
        <v>7369</v>
      </c>
      <c r="B884" s="2" t="s">
        <v>1361</v>
      </c>
      <c r="C884" s="2">
        <v>2014.0</v>
      </c>
      <c r="D884" s="2" t="s">
        <v>7370</v>
      </c>
      <c r="E884" s="2" t="s">
        <v>7371</v>
      </c>
      <c r="F884" s="2" t="s">
        <v>7372</v>
      </c>
      <c r="I884" s="2" t="s">
        <v>7373</v>
      </c>
      <c r="L884" s="2" t="s">
        <v>1476</v>
      </c>
      <c r="M884" s="2" t="s">
        <v>7374</v>
      </c>
      <c r="N884" s="2" t="s">
        <v>7375</v>
      </c>
      <c r="P884" s="2" t="s">
        <v>7376</v>
      </c>
      <c r="R884" s="2" t="s">
        <v>1600</v>
      </c>
      <c r="S884" s="2">
        <v>20.0</v>
      </c>
      <c r="AN884" s="2" t="s">
        <v>1368</v>
      </c>
    </row>
    <row r="885" ht="15.75" customHeight="1">
      <c r="A885" s="2" t="s">
        <v>7377</v>
      </c>
      <c r="B885" s="2" t="s">
        <v>1361</v>
      </c>
      <c r="C885" s="2">
        <v>1995.0</v>
      </c>
      <c r="D885" s="2" t="s">
        <v>7378</v>
      </c>
      <c r="E885" s="2" t="s">
        <v>7379</v>
      </c>
      <c r="F885" s="2" t="s">
        <v>5909</v>
      </c>
      <c r="I885" s="2" t="s">
        <v>7380</v>
      </c>
      <c r="K885" s="2" t="s">
        <v>7381</v>
      </c>
      <c r="L885" s="2" t="s">
        <v>2089</v>
      </c>
      <c r="M885" s="2" t="s">
        <v>7382</v>
      </c>
      <c r="N885" s="2" t="s">
        <v>7383</v>
      </c>
      <c r="AN885" s="2" t="s">
        <v>1368</v>
      </c>
    </row>
    <row r="886" ht="15.75" customHeight="1">
      <c r="A886" s="2" t="s">
        <v>7384</v>
      </c>
      <c r="B886" s="2" t="s">
        <v>1361</v>
      </c>
      <c r="C886" s="2">
        <v>2002.0</v>
      </c>
      <c r="D886" s="2" t="s">
        <v>7385</v>
      </c>
      <c r="E886" s="2" t="s">
        <v>7386</v>
      </c>
      <c r="F886" s="2" t="s">
        <v>1500</v>
      </c>
      <c r="K886" s="2" t="s">
        <v>7387</v>
      </c>
      <c r="L886" s="2" t="s">
        <v>1493</v>
      </c>
      <c r="M886" s="2" t="s">
        <v>7388</v>
      </c>
      <c r="N886" s="2" t="s">
        <v>7389</v>
      </c>
      <c r="P886" s="2" t="s">
        <v>7390</v>
      </c>
      <c r="S886" s="2">
        <v>21.0</v>
      </c>
      <c r="AN886" s="2" t="s">
        <v>1368</v>
      </c>
    </row>
    <row r="887" ht="15.75" customHeight="1">
      <c r="A887" s="2" t="s">
        <v>7391</v>
      </c>
      <c r="B887" s="2" t="s">
        <v>1361</v>
      </c>
      <c r="C887" s="2">
        <v>2017.0</v>
      </c>
      <c r="D887" s="2" t="s">
        <v>7392</v>
      </c>
      <c r="E887" s="2" t="s">
        <v>7393</v>
      </c>
      <c r="F887" s="2" t="s">
        <v>7394</v>
      </c>
      <c r="L887" s="2" t="s">
        <v>1658</v>
      </c>
      <c r="M887" s="2" t="s">
        <v>7395</v>
      </c>
      <c r="N887" s="2" t="s">
        <v>7396</v>
      </c>
      <c r="P887" s="2" t="s">
        <v>7397</v>
      </c>
      <c r="R887" s="2" t="s">
        <v>1506</v>
      </c>
      <c r="S887" s="2">
        <v>24.0</v>
      </c>
      <c r="AN887" s="2" t="s">
        <v>1368</v>
      </c>
    </row>
    <row r="888" ht="15.75" customHeight="1">
      <c r="A888" s="2" t="s">
        <v>7398</v>
      </c>
      <c r="B888" s="2" t="s">
        <v>1361</v>
      </c>
      <c r="C888" s="2">
        <v>2016.0</v>
      </c>
      <c r="D888" s="2" t="s">
        <v>7399</v>
      </c>
      <c r="E888" s="2" t="s">
        <v>7400</v>
      </c>
      <c r="F888" s="2" t="s">
        <v>1587</v>
      </c>
      <c r="I888" s="2" t="s">
        <v>7401</v>
      </c>
      <c r="L888" s="2" t="s">
        <v>1502</v>
      </c>
      <c r="M888" s="2" t="s">
        <v>7402</v>
      </c>
      <c r="N888" s="2" t="s">
        <v>7403</v>
      </c>
      <c r="P888" s="2" t="s">
        <v>7404</v>
      </c>
      <c r="R888" s="2" t="s">
        <v>1506</v>
      </c>
      <c r="S888" s="2">
        <v>30.0</v>
      </c>
      <c r="AN888" s="2" t="s">
        <v>1368</v>
      </c>
    </row>
    <row r="889" ht="15.75" customHeight="1">
      <c r="A889" s="2" t="s">
        <v>7405</v>
      </c>
      <c r="B889" s="2" t="s">
        <v>1361</v>
      </c>
      <c r="C889" s="2">
        <v>1998.0</v>
      </c>
      <c r="D889" s="2" t="s">
        <v>7406</v>
      </c>
      <c r="E889" s="2" t="s">
        <v>7407</v>
      </c>
      <c r="F889" s="2" t="s">
        <v>1447</v>
      </c>
      <c r="I889" s="2" t="s">
        <v>7408</v>
      </c>
      <c r="L889" s="2" t="s">
        <v>1958</v>
      </c>
      <c r="M889" s="2" t="s">
        <v>7409</v>
      </c>
      <c r="N889" s="2" t="s">
        <v>7410</v>
      </c>
      <c r="P889" s="2" t="s">
        <v>7411</v>
      </c>
      <c r="R889" s="2" t="s">
        <v>1453</v>
      </c>
      <c r="S889" s="2">
        <v>25.0</v>
      </c>
      <c r="AN889" s="2" t="s">
        <v>1368</v>
      </c>
    </row>
    <row r="890" ht="15.75" customHeight="1">
      <c r="A890" s="2" t="s">
        <v>7412</v>
      </c>
      <c r="B890" s="2" t="s">
        <v>1361</v>
      </c>
      <c r="C890" s="2">
        <v>1994.0</v>
      </c>
      <c r="D890" s="2" t="s">
        <v>7413</v>
      </c>
      <c r="E890" s="2" t="s">
        <v>7414</v>
      </c>
      <c r="F890" s="2" t="s">
        <v>7415</v>
      </c>
      <c r="I890" s="2" t="s">
        <v>7416</v>
      </c>
      <c r="L890" s="2" t="s">
        <v>2327</v>
      </c>
      <c r="M890" s="2" t="s">
        <v>7417</v>
      </c>
      <c r="N890" s="2" t="s">
        <v>7418</v>
      </c>
      <c r="P890" s="2" t="s">
        <v>7419</v>
      </c>
      <c r="R890" s="2" t="s">
        <v>1600</v>
      </c>
      <c r="S890" s="2">
        <v>13.0</v>
      </c>
      <c r="AN890" s="2" t="s">
        <v>1368</v>
      </c>
    </row>
    <row r="891" ht="15.75" customHeight="1">
      <c r="A891" s="2" t="s">
        <v>7420</v>
      </c>
      <c r="B891" s="2" t="s">
        <v>1361</v>
      </c>
      <c r="C891" s="2">
        <v>2012.0</v>
      </c>
      <c r="D891" s="2" t="s">
        <v>7421</v>
      </c>
      <c r="E891" s="2" t="s">
        <v>7422</v>
      </c>
      <c r="F891" s="2" t="s">
        <v>1438</v>
      </c>
      <c r="I891" s="2" t="s">
        <v>7423</v>
      </c>
      <c r="L891" s="2" t="s">
        <v>1405</v>
      </c>
      <c r="M891" s="2" t="s">
        <v>5450</v>
      </c>
      <c r="N891" s="2" t="s">
        <v>5451</v>
      </c>
      <c r="P891" s="2" t="s">
        <v>7424</v>
      </c>
      <c r="R891" s="2" t="s">
        <v>1443</v>
      </c>
      <c r="S891" s="2">
        <v>7.0</v>
      </c>
      <c r="AN891" s="2" t="s">
        <v>1368</v>
      </c>
    </row>
    <row r="892" ht="15.75" customHeight="1">
      <c r="A892" s="2" t="s">
        <v>7425</v>
      </c>
      <c r="B892" s="2" t="s">
        <v>1361</v>
      </c>
      <c r="C892" s="2">
        <v>1997.0</v>
      </c>
      <c r="D892" s="2" t="s">
        <v>7426</v>
      </c>
      <c r="E892" s="2" t="s">
        <v>7427</v>
      </c>
      <c r="F892" s="2" t="s">
        <v>4225</v>
      </c>
      <c r="I892" s="2" t="s">
        <v>7428</v>
      </c>
      <c r="L892" s="2" t="s">
        <v>1804</v>
      </c>
      <c r="M892" s="2" t="s">
        <v>7429</v>
      </c>
      <c r="N892" s="2" t="s">
        <v>7430</v>
      </c>
      <c r="P892" s="2" t="s">
        <v>7431</v>
      </c>
      <c r="R892" s="2" t="s">
        <v>1600</v>
      </c>
      <c r="S892" s="2">
        <v>56.0</v>
      </c>
      <c r="AN892" s="2" t="s">
        <v>1368</v>
      </c>
    </row>
    <row r="893" ht="15.75" customHeight="1">
      <c r="A893" s="2" t="s">
        <v>7432</v>
      </c>
      <c r="B893" s="2" t="s">
        <v>1361</v>
      </c>
      <c r="C893" s="2">
        <v>2016.0</v>
      </c>
      <c r="D893" s="2" t="s">
        <v>7433</v>
      </c>
      <c r="E893" s="2" t="s">
        <v>7434</v>
      </c>
      <c r="F893" s="2" t="s">
        <v>7435</v>
      </c>
      <c r="L893" s="2" t="s">
        <v>1502</v>
      </c>
      <c r="M893" s="2" t="s">
        <v>7436</v>
      </c>
      <c r="N893" s="2" t="s">
        <v>7437</v>
      </c>
      <c r="AN893" s="2" t="s">
        <v>1368</v>
      </c>
    </row>
    <row r="894" ht="15.75" customHeight="1">
      <c r="A894" s="2" t="s">
        <v>7438</v>
      </c>
      <c r="B894" s="2" t="s">
        <v>1361</v>
      </c>
      <c r="C894" s="2">
        <v>2008.0</v>
      </c>
      <c r="D894" s="2" t="s">
        <v>7439</v>
      </c>
      <c r="E894" s="2" t="s">
        <v>7440</v>
      </c>
      <c r="F894" s="2" t="s">
        <v>7441</v>
      </c>
      <c r="I894" s="2" t="s">
        <v>7442</v>
      </c>
      <c r="L894" s="2" t="s">
        <v>1458</v>
      </c>
      <c r="M894" s="2" t="s">
        <v>7443</v>
      </c>
      <c r="N894" s="2" t="s">
        <v>7444</v>
      </c>
      <c r="P894" s="2" t="s">
        <v>7445</v>
      </c>
      <c r="R894" s="2" t="s">
        <v>1453</v>
      </c>
      <c r="S894" s="2">
        <v>51.0</v>
      </c>
      <c r="AN894" s="2" t="s">
        <v>1368</v>
      </c>
    </row>
    <row r="895" ht="15.75" customHeight="1">
      <c r="A895" s="2" t="s">
        <v>7446</v>
      </c>
      <c r="B895" s="2" t="s">
        <v>1361</v>
      </c>
      <c r="C895" s="2">
        <v>2016.0</v>
      </c>
      <c r="D895" s="2" t="s">
        <v>7447</v>
      </c>
      <c r="E895" s="2" t="s">
        <v>7448</v>
      </c>
      <c r="F895" s="2" t="s">
        <v>7449</v>
      </c>
      <c r="K895" s="2" t="s">
        <v>7450</v>
      </c>
      <c r="L895" s="2" t="s">
        <v>1502</v>
      </c>
      <c r="M895" s="2" t="s">
        <v>7451</v>
      </c>
      <c r="N895" s="2" t="s">
        <v>7452</v>
      </c>
      <c r="P895" s="2" t="s">
        <v>7453</v>
      </c>
      <c r="AN895" s="2" t="s">
        <v>1368</v>
      </c>
    </row>
    <row r="896" ht="15.75" customHeight="1">
      <c r="A896" s="2" t="s">
        <v>7454</v>
      </c>
      <c r="B896" s="2" t="s">
        <v>1361</v>
      </c>
      <c r="C896" s="2">
        <v>2017.0</v>
      </c>
      <c r="D896" s="2" t="s">
        <v>7455</v>
      </c>
      <c r="E896" s="2" t="s">
        <v>7456</v>
      </c>
      <c r="F896" s="2" t="s">
        <v>2665</v>
      </c>
      <c r="I896" s="2" t="s">
        <v>7457</v>
      </c>
      <c r="L896" s="2" t="s">
        <v>1658</v>
      </c>
      <c r="M896" s="2" t="s">
        <v>4125</v>
      </c>
      <c r="N896" s="2" t="s">
        <v>4126</v>
      </c>
      <c r="P896" s="2" t="s">
        <v>7458</v>
      </c>
      <c r="R896" s="2" t="s">
        <v>1453</v>
      </c>
      <c r="S896" s="2">
        <v>45.0</v>
      </c>
      <c r="AN896" s="2" t="s">
        <v>1368</v>
      </c>
    </row>
    <row r="897" ht="15.75" customHeight="1">
      <c r="A897" s="2" t="s">
        <v>7459</v>
      </c>
      <c r="B897" s="2" t="s">
        <v>1361</v>
      </c>
      <c r="C897" s="2">
        <v>2017.0</v>
      </c>
      <c r="D897" s="2" t="s">
        <v>7460</v>
      </c>
      <c r="E897" s="2" t="s">
        <v>7461</v>
      </c>
      <c r="F897" s="2" t="s">
        <v>7462</v>
      </c>
      <c r="I897" s="2" t="s">
        <v>7463</v>
      </c>
      <c r="L897" s="2" t="s">
        <v>1658</v>
      </c>
      <c r="M897" s="2" t="s">
        <v>7464</v>
      </c>
      <c r="N897" s="2" t="s">
        <v>7465</v>
      </c>
      <c r="P897" s="2" t="s">
        <v>7466</v>
      </c>
      <c r="R897" s="2" t="s">
        <v>1453</v>
      </c>
      <c r="S897" s="2">
        <v>16.0</v>
      </c>
      <c r="AN897" s="2" t="s">
        <v>2188</v>
      </c>
    </row>
    <row r="898" ht="15.75" customHeight="1">
      <c r="A898" s="2" t="s">
        <v>7467</v>
      </c>
      <c r="B898" s="2" t="s">
        <v>1361</v>
      </c>
      <c r="C898" s="2">
        <v>1961.0</v>
      </c>
      <c r="D898" s="2" t="s">
        <v>7468</v>
      </c>
      <c r="E898" s="2" t="s">
        <v>7469</v>
      </c>
      <c r="F898" s="2" t="s">
        <v>7470</v>
      </c>
      <c r="I898" s="2" t="s">
        <v>7471</v>
      </c>
      <c r="L898" s="2" t="s">
        <v>7472</v>
      </c>
      <c r="M898" s="2" t="s">
        <v>7473</v>
      </c>
      <c r="N898" s="2" t="s">
        <v>7474</v>
      </c>
      <c r="P898" s="2" t="s">
        <v>7475</v>
      </c>
      <c r="R898" s="2" t="s">
        <v>1600</v>
      </c>
      <c r="S898" s="2">
        <v>3.0</v>
      </c>
      <c r="AN898" s="2" t="s">
        <v>1368</v>
      </c>
    </row>
    <row r="899" ht="15.75" customHeight="1">
      <c r="A899" s="2" t="s">
        <v>7476</v>
      </c>
      <c r="B899" s="2" t="s">
        <v>1361</v>
      </c>
      <c r="C899" s="2">
        <v>2015.0</v>
      </c>
      <c r="D899" s="2" t="s">
        <v>7477</v>
      </c>
      <c r="E899" s="2" t="s">
        <v>7478</v>
      </c>
      <c r="F899" s="2" t="s">
        <v>7479</v>
      </c>
      <c r="H899" s="2" t="s">
        <v>7480</v>
      </c>
      <c r="I899" s="2" t="s">
        <v>7481</v>
      </c>
      <c r="J899" s="2" t="s">
        <v>7482</v>
      </c>
      <c r="L899" s="2" t="s">
        <v>7483</v>
      </c>
      <c r="M899" s="2" t="s">
        <v>7484</v>
      </c>
      <c r="N899" s="2" t="s">
        <v>7485</v>
      </c>
      <c r="O899" s="2" t="s">
        <v>7486</v>
      </c>
      <c r="R899" s="2" t="s">
        <v>1462</v>
      </c>
      <c r="S899" s="2">
        <v>22.0</v>
      </c>
      <c r="V899" s="2" t="s">
        <v>7487</v>
      </c>
      <c r="AH899" s="2" t="s">
        <v>1541</v>
      </c>
      <c r="AN899" s="2" t="s">
        <v>1885</v>
      </c>
    </row>
    <row r="900" ht="15.75" customHeight="1">
      <c r="A900" s="2" t="s">
        <v>7488</v>
      </c>
      <c r="B900" s="2" t="s">
        <v>1361</v>
      </c>
      <c r="C900" s="2">
        <v>2014.0</v>
      </c>
      <c r="D900" s="2" t="s">
        <v>7489</v>
      </c>
      <c r="E900" s="2" t="s">
        <v>7490</v>
      </c>
      <c r="F900" s="2" t="s">
        <v>1380</v>
      </c>
      <c r="H900" s="2" t="s">
        <v>2856</v>
      </c>
      <c r="I900" s="2" t="s">
        <v>7491</v>
      </c>
      <c r="J900" s="2" t="s">
        <v>7492</v>
      </c>
      <c r="L900" s="2" t="s">
        <v>7493</v>
      </c>
      <c r="M900" s="2" t="s">
        <v>7494</v>
      </c>
      <c r="N900" s="2" t="s">
        <v>7495</v>
      </c>
      <c r="O900" s="2" t="s">
        <v>7496</v>
      </c>
      <c r="P900" s="2" t="s">
        <v>7497</v>
      </c>
      <c r="R900" s="2" t="s">
        <v>7498</v>
      </c>
      <c r="S900" s="2">
        <v>515.0</v>
      </c>
      <c r="U900" s="2" t="s">
        <v>1380</v>
      </c>
      <c r="AC900" s="2" t="s">
        <v>1540</v>
      </c>
      <c r="AH900" s="2" t="s">
        <v>1541</v>
      </c>
      <c r="AN900" s="2" t="s">
        <v>7499</v>
      </c>
    </row>
    <row r="901" ht="15.75" customHeight="1">
      <c r="A901" s="2" t="s">
        <v>7500</v>
      </c>
      <c r="B901" s="2" t="s">
        <v>1361</v>
      </c>
      <c r="C901" s="2">
        <v>2007.0</v>
      </c>
      <c r="D901" s="2" t="s">
        <v>7356</v>
      </c>
      <c r="E901" s="2" t="s">
        <v>7501</v>
      </c>
      <c r="F901" s="2" t="s">
        <v>1789</v>
      </c>
      <c r="H901" s="2" t="s">
        <v>1790</v>
      </c>
      <c r="I901" s="2" t="s">
        <v>7502</v>
      </c>
      <c r="K901" s="2" t="s">
        <v>7503</v>
      </c>
      <c r="L901" s="2" t="s">
        <v>2380</v>
      </c>
      <c r="M901" s="2" t="s">
        <v>1385</v>
      </c>
      <c r="N901" s="2" t="s">
        <v>1386</v>
      </c>
      <c r="P901" s="2" t="s">
        <v>7504</v>
      </c>
      <c r="R901" s="2" t="s">
        <v>5460</v>
      </c>
      <c r="S901" s="2">
        <v>17.0</v>
      </c>
      <c r="AN901" s="2" t="s">
        <v>1368</v>
      </c>
    </row>
    <row r="902" ht="15.75" customHeight="1">
      <c r="A902" s="2" t="s">
        <v>7505</v>
      </c>
      <c r="B902" s="2" t="s">
        <v>1361</v>
      </c>
      <c r="C902" s="2">
        <v>2015.0</v>
      </c>
      <c r="D902" s="2" t="s">
        <v>7506</v>
      </c>
      <c r="E902" s="2" t="s">
        <v>7507</v>
      </c>
      <c r="F902" s="2" t="s">
        <v>7508</v>
      </c>
      <c r="K902" s="2" t="s">
        <v>7509</v>
      </c>
      <c r="L902" s="2" t="s">
        <v>1373</v>
      </c>
      <c r="M902" s="2" t="s">
        <v>1385</v>
      </c>
      <c r="N902" s="2" t="s">
        <v>1386</v>
      </c>
      <c r="P902" s="2" t="s">
        <v>2953</v>
      </c>
      <c r="AN902" s="2" t="s">
        <v>1368</v>
      </c>
    </row>
    <row r="903" ht="15.75" customHeight="1">
      <c r="A903" s="2" t="s">
        <v>7510</v>
      </c>
      <c r="B903" s="2" t="s">
        <v>1361</v>
      </c>
      <c r="C903" s="2">
        <v>2005.0</v>
      </c>
      <c r="D903" s="2" t="s">
        <v>7511</v>
      </c>
      <c r="E903" s="2" t="s">
        <v>7512</v>
      </c>
      <c r="F903" s="2" t="s">
        <v>1863</v>
      </c>
      <c r="H903" s="2" t="s">
        <v>1864</v>
      </c>
      <c r="I903" s="2" t="s">
        <v>7513</v>
      </c>
      <c r="K903" s="2" t="s">
        <v>7514</v>
      </c>
      <c r="L903" s="2" t="s">
        <v>1394</v>
      </c>
      <c r="M903" s="2" t="s">
        <v>1385</v>
      </c>
      <c r="N903" s="2" t="s">
        <v>1386</v>
      </c>
      <c r="P903" s="2" t="s">
        <v>7515</v>
      </c>
      <c r="R903" s="2" t="s">
        <v>1462</v>
      </c>
      <c r="S903" s="2">
        <v>33.0</v>
      </c>
      <c r="AN903" s="2" t="s">
        <v>1368</v>
      </c>
    </row>
    <row r="904" ht="15.75" customHeight="1">
      <c r="A904" s="2" t="s">
        <v>7516</v>
      </c>
      <c r="B904" s="2" t="s">
        <v>3012</v>
      </c>
      <c r="C904" s="2">
        <v>2018.0</v>
      </c>
      <c r="D904" s="2" t="s">
        <v>7517</v>
      </c>
      <c r="E904" s="2" t="s">
        <v>7518</v>
      </c>
      <c r="J904" s="2" t="s">
        <v>7519</v>
      </c>
      <c r="K904" s="2" t="s">
        <v>7520</v>
      </c>
      <c r="L904" s="2" t="s">
        <v>1420</v>
      </c>
      <c r="M904" s="2" t="s">
        <v>1385</v>
      </c>
      <c r="N904" s="2" t="s">
        <v>1386</v>
      </c>
      <c r="AN904" s="2" t="s">
        <v>1609</v>
      </c>
    </row>
    <row r="905" ht="15.75" customHeight="1">
      <c r="A905" s="2" t="s">
        <v>7521</v>
      </c>
      <c r="B905" s="2" t="s">
        <v>1396</v>
      </c>
      <c r="C905" s="2">
        <v>2017.0</v>
      </c>
      <c r="D905" s="2" t="s">
        <v>7447</v>
      </c>
      <c r="E905" s="2" t="s">
        <v>7522</v>
      </c>
      <c r="G905" s="2" t="s">
        <v>7523</v>
      </c>
      <c r="J905" s="2" t="s">
        <v>7524</v>
      </c>
      <c r="K905" s="2" t="s">
        <v>7525</v>
      </c>
      <c r="L905" s="2" t="s">
        <v>1658</v>
      </c>
      <c r="M905" s="2" t="s">
        <v>1385</v>
      </c>
      <c r="N905" s="2" t="s">
        <v>1386</v>
      </c>
      <c r="AA905" s="2" t="s">
        <v>2187</v>
      </c>
      <c r="AN905" s="2" t="s">
        <v>3748</v>
      </c>
    </row>
    <row r="906" ht="15.75" customHeight="1">
      <c r="A906" s="2" t="s">
        <v>7526</v>
      </c>
      <c r="B906" s="2" t="s">
        <v>1623</v>
      </c>
      <c r="C906" s="2">
        <v>2012.0</v>
      </c>
      <c r="D906" s="2" t="s">
        <v>7506</v>
      </c>
      <c r="E906" s="2" t="s">
        <v>7527</v>
      </c>
      <c r="J906" s="2" t="s">
        <v>7528</v>
      </c>
      <c r="L906" s="2" t="s">
        <v>1405</v>
      </c>
      <c r="M906" s="2" t="s">
        <v>1385</v>
      </c>
      <c r="N906" s="2" t="s">
        <v>1386</v>
      </c>
      <c r="AA906" s="2" t="s">
        <v>7529</v>
      </c>
      <c r="AB906" s="2" t="s">
        <v>7530</v>
      </c>
      <c r="AN906" s="2" t="s">
        <v>7531</v>
      </c>
    </row>
    <row r="907" ht="15.75" customHeight="1">
      <c r="A907" s="2" t="s">
        <v>7532</v>
      </c>
      <c r="B907" s="2" t="s">
        <v>1623</v>
      </c>
      <c r="C907" s="2">
        <v>2016.0</v>
      </c>
      <c r="D907" s="2" t="s">
        <v>7506</v>
      </c>
      <c r="E907" s="2" t="s">
        <v>7533</v>
      </c>
      <c r="J907" s="2" t="s">
        <v>7534</v>
      </c>
      <c r="K907" s="2" t="s">
        <v>7535</v>
      </c>
      <c r="L907" s="2" t="s">
        <v>1502</v>
      </c>
      <c r="M907" s="2" t="s">
        <v>1385</v>
      </c>
      <c r="N907" s="2" t="s">
        <v>1386</v>
      </c>
      <c r="P907" s="2" t="s">
        <v>7536</v>
      </c>
      <c r="AA907" s="2" t="s">
        <v>7529</v>
      </c>
      <c r="AB907" s="2" t="s">
        <v>7537</v>
      </c>
      <c r="AN907" s="2" t="s">
        <v>2238</v>
      </c>
    </row>
    <row r="908" ht="15.75" customHeight="1">
      <c r="A908" s="2" t="s">
        <v>7538</v>
      </c>
      <c r="B908" s="2" t="s">
        <v>1396</v>
      </c>
      <c r="C908" s="2">
        <v>2018.0</v>
      </c>
      <c r="D908" s="2" t="s">
        <v>7539</v>
      </c>
      <c r="E908" s="2" t="s">
        <v>7540</v>
      </c>
      <c r="J908" s="2" t="s">
        <v>7541</v>
      </c>
      <c r="L908" s="2" t="s">
        <v>1420</v>
      </c>
      <c r="M908" s="2" t="s">
        <v>1385</v>
      </c>
      <c r="N908" s="2" t="s">
        <v>1386</v>
      </c>
      <c r="AA908" s="2" t="s">
        <v>7542</v>
      </c>
      <c r="AB908" s="2" t="s">
        <v>7543</v>
      </c>
      <c r="AN908" s="2" t="s">
        <v>1368</v>
      </c>
    </row>
    <row r="909" ht="15.75" customHeight="1">
      <c r="A909" s="2" t="s">
        <v>7544</v>
      </c>
      <c r="B909" s="2" t="s">
        <v>1766</v>
      </c>
      <c r="C909" s="2">
        <v>2013.0</v>
      </c>
      <c r="D909" s="2" t="s">
        <v>7545</v>
      </c>
      <c r="E909" s="2" t="s">
        <v>7546</v>
      </c>
      <c r="F909" s="2" t="s">
        <v>7547</v>
      </c>
      <c r="G909" s="2" t="s">
        <v>7548</v>
      </c>
      <c r="J909" s="2" t="s">
        <v>7549</v>
      </c>
      <c r="K909" s="2" t="s">
        <v>7550</v>
      </c>
      <c r="L909" s="2" t="s">
        <v>7551</v>
      </c>
      <c r="M909" s="2" t="s">
        <v>1385</v>
      </c>
      <c r="N909" s="2" t="s">
        <v>1386</v>
      </c>
      <c r="P909" s="2" t="s">
        <v>7552</v>
      </c>
      <c r="AA909" s="2" t="s">
        <v>7553</v>
      </c>
      <c r="AB909" s="2" t="s">
        <v>7554</v>
      </c>
      <c r="AJ909" s="2" t="s">
        <v>7555</v>
      </c>
      <c r="AN909" s="2" t="s">
        <v>1368</v>
      </c>
      <c r="AP909" s="2" t="s">
        <v>7556</v>
      </c>
    </row>
    <row r="910" ht="15.75" customHeight="1">
      <c r="A910" s="2" t="s">
        <v>7557</v>
      </c>
      <c r="B910" s="2" t="s">
        <v>1361</v>
      </c>
      <c r="C910" s="2">
        <v>1996.0</v>
      </c>
      <c r="D910" s="2" t="s">
        <v>7558</v>
      </c>
      <c r="E910" s="2" t="s">
        <v>7559</v>
      </c>
      <c r="F910" s="2" t="s">
        <v>7560</v>
      </c>
      <c r="H910" s="2" t="s">
        <v>7561</v>
      </c>
      <c r="I910" s="2" t="s">
        <v>7562</v>
      </c>
      <c r="J910" s="2" t="s">
        <v>7563</v>
      </c>
      <c r="L910" s="2" t="s">
        <v>7564</v>
      </c>
      <c r="M910" s="2" t="s">
        <v>1385</v>
      </c>
      <c r="N910" s="2" t="s">
        <v>1386</v>
      </c>
      <c r="O910" s="2" t="s">
        <v>7565</v>
      </c>
      <c r="P910" s="2" t="s">
        <v>7566</v>
      </c>
      <c r="R910" s="2" t="s">
        <v>1453</v>
      </c>
      <c r="S910" s="2">
        <v>6.0</v>
      </c>
      <c r="U910" s="2" t="s">
        <v>7560</v>
      </c>
      <c r="AN910" s="2" t="s">
        <v>1368</v>
      </c>
    </row>
    <row r="911" ht="15.75" customHeight="1">
      <c r="A911" s="2" t="s">
        <v>7567</v>
      </c>
      <c r="B911" s="2" t="s">
        <v>1396</v>
      </c>
      <c r="C911" s="2">
        <v>2017.0</v>
      </c>
      <c r="D911" s="2" t="s">
        <v>7568</v>
      </c>
      <c r="E911" s="2" t="s">
        <v>7569</v>
      </c>
      <c r="J911" s="2" t="s">
        <v>7570</v>
      </c>
      <c r="L911" s="2" t="s">
        <v>1658</v>
      </c>
      <c r="M911" s="2" t="s">
        <v>1385</v>
      </c>
      <c r="N911" s="2" t="s">
        <v>1386</v>
      </c>
      <c r="W911" s="2" t="s">
        <v>7571</v>
      </c>
      <c r="X911" s="2">
        <v>1.0</v>
      </c>
      <c r="AA911" s="2" t="s">
        <v>2409</v>
      </c>
      <c r="AB911" s="2" t="s">
        <v>2410</v>
      </c>
      <c r="AN911" s="2" t="s">
        <v>1368</v>
      </c>
      <c r="AP911" s="2" t="s">
        <v>7572</v>
      </c>
    </row>
    <row r="912" ht="15.75" customHeight="1">
      <c r="A912" s="2" t="s">
        <v>7573</v>
      </c>
      <c r="B912" s="2" t="s">
        <v>1396</v>
      </c>
      <c r="C912" s="2">
        <v>2016.0</v>
      </c>
      <c r="D912" s="2" t="s">
        <v>7574</v>
      </c>
      <c r="E912" s="2" t="s">
        <v>7575</v>
      </c>
      <c r="G912" s="2" t="s">
        <v>7576</v>
      </c>
      <c r="K912" s="2" t="s">
        <v>7577</v>
      </c>
      <c r="L912" s="2" t="s">
        <v>1502</v>
      </c>
      <c r="M912" s="2" t="s">
        <v>1385</v>
      </c>
      <c r="N912" s="2" t="s">
        <v>1386</v>
      </c>
      <c r="Q912" s="2" t="s">
        <v>7578</v>
      </c>
      <c r="AA912" s="2" t="s">
        <v>7579</v>
      </c>
      <c r="AN912" s="2" t="s">
        <v>1368</v>
      </c>
    </row>
    <row r="913" ht="15.75" customHeight="1">
      <c r="A913" s="2" t="s">
        <v>7580</v>
      </c>
      <c r="B913" s="2" t="s">
        <v>1361</v>
      </c>
      <c r="C913" s="2">
        <v>2016.0</v>
      </c>
      <c r="D913" s="2" t="s">
        <v>7574</v>
      </c>
      <c r="E913" s="2" t="s">
        <v>7581</v>
      </c>
      <c r="J913" s="2" t="s">
        <v>7582</v>
      </c>
      <c r="L913" s="2" t="s">
        <v>1502</v>
      </c>
      <c r="M913" s="2" t="s">
        <v>1385</v>
      </c>
      <c r="N913" s="2" t="s">
        <v>1386</v>
      </c>
      <c r="AN913" s="2" t="s">
        <v>1368</v>
      </c>
    </row>
    <row r="914" ht="15.75" customHeight="1">
      <c r="A914" s="2" t="s">
        <v>7583</v>
      </c>
      <c r="B914" s="2" t="s">
        <v>1623</v>
      </c>
      <c r="C914" s="2">
        <v>2015.0</v>
      </c>
      <c r="D914" s="2" t="s">
        <v>7584</v>
      </c>
      <c r="E914" s="2" t="s">
        <v>7585</v>
      </c>
      <c r="J914" s="2" t="s">
        <v>7586</v>
      </c>
      <c r="L914" s="2" t="s">
        <v>1373</v>
      </c>
      <c r="M914" s="2" t="s">
        <v>1385</v>
      </c>
      <c r="N914" s="2" t="s">
        <v>1386</v>
      </c>
      <c r="AA914" s="2" t="s">
        <v>2317</v>
      </c>
      <c r="AN914" s="2" t="s">
        <v>1368</v>
      </c>
    </row>
    <row r="915" ht="15.75" customHeight="1">
      <c r="A915" s="2" t="s">
        <v>7587</v>
      </c>
      <c r="B915" s="2" t="s">
        <v>1396</v>
      </c>
      <c r="C915" s="2">
        <v>2016.0</v>
      </c>
      <c r="D915" s="2" t="s">
        <v>7447</v>
      </c>
      <c r="E915" s="2" t="s">
        <v>7588</v>
      </c>
      <c r="G915" s="2" t="s">
        <v>7589</v>
      </c>
      <c r="J915" s="2" t="s">
        <v>7590</v>
      </c>
      <c r="L915" s="2" t="s">
        <v>1502</v>
      </c>
      <c r="M915" s="2" t="s">
        <v>1385</v>
      </c>
      <c r="N915" s="2" t="s">
        <v>1386</v>
      </c>
      <c r="AA915" s="2" t="s">
        <v>2317</v>
      </c>
      <c r="AB915" s="2" t="s">
        <v>5295</v>
      </c>
      <c r="AN915" s="2" t="s">
        <v>1368</v>
      </c>
    </row>
    <row r="916" ht="15.75" customHeight="1">
      <c r="A916" s="2" t="s">
        <v>7591</v>
      </c>
      <c r="B916" s="2" t="s">
        <v>1623</v>
      </c>
      <c r="C916" s="2">
        <v>2014.0</v>
      </c>
      <c r="D916" s="2" t="s">
        <v>7447</v>
      </c>
      <c r="E916" s="2" t="s">
        <v>7592</v>
      </c>
      <c r="J916" s="2" t="s">
        <v>7593</v>
      </c>
      <c r="K916" s="2" t="s">
        <v>7594</v>
      </c>
      <c r="L916" s="2" t="s">
        <v>1476</v>
      </c>
      <c r="M916" s="2" t="s">
        <v>1385</v>
      </c>
      <c r="N916" s="2" t="s">
        <v>1386</v>
      </c>
      <c r="AA916" s="2" t="s">
        <v>7595</v>
      </c>
      <c r="AN916" s="2" t="s">
        <v>1368</v>
      </c>
    </row>
    <row r="917" ht="15.75" customHeight="1">
      <c r="A917" s="2" t="s">
        <v>7596</v>
      </c>
      <c r="B917" s="2" t="s">
        <v>1361</v>
      </c>
      <c r="C917" s="2">
        <v>2011.0</v>
      </c>
      <c r="D917" s="2" t="s">
        <v>7597</v>
      </c>
      <c r="E917" s="2" t="s">
        <v>7598</v>
      </c>
      <c r="F917" s="2" t="s">
        <v>5258</v>
      </c>
      <c r="H917" s="2" t="s">
        <v>7599</v>
      </c>
      <c r="I917" s="2" t="s">
        <v>7600</v>
      </c>
      <c r="J917" s="2" t="s">
        <v>7601</v>
      </c>
      <c r="K917" s="2" t="s">
        <v>7602</v>
      </c>
      <c r="L917" s="2" t="s">
        <v>7603</v>
      </c>
      <c r="M917" s="2" t="s">
        <v>1385</v>
      </c>
      <c r="N917" s="2" t="s">
        <v>1386</v>
      </c>
      <c r="P917" s="2" t="s">
        <v>7604</v>
      </c>
      <c r="R917" s="2" t="s">
        <v>1600</v>
      </c>
      <c r="S917" s="2">
        <v>26.0</v>
      </c>
      <c r="AN917" s="2" t="s">
        <v>1368</v>
      </c>
    </row>
    <row r="918" ht="15.75" customHeight="1">
      <c r="A918" s="2" t="s">
        <v>7605</v>
      </c>
      <c r="B918" s="2" t="s">
        <v>1396</v>
      </c>
      <c r="C918" s="2">
        <v>2018.0</v>
      </c>
      <c r="D918" s="2" t="s">
        <v>7606</v>
      </c>
      <c r="E918" s="2" t="s">
        <v>7607</v>
      </c>
      <c r="J918" s="2" t="s">
        <v>7608</v>
      </c>
      <c r="L918" s="2" t="s">
        <v>1420</v>
      </c>
      <c r="M918" s="2" t="s">
        <v>1385</v>
      </c>
      <c r="N918" s="2" t="s">
        <v>1386</v>
      </c>
      <c r="AN918" s="2" t="s">
        <v>1368</v>
      </c>
    </row>
    <row r="919" ht="15.75" customHeight="1">
      <c r="A919" s="2" t="s">
        <v>7609</v>
      </c>
      <c r="B919" s="2" t="s">
        <v>1361</v>
      </c>
      <c r="C919" s="2">
        <v>2013.0</v>
      </c>
      <c r="D919" s="2" t="s">
        <v>7610</v>
      </c>
      <c r="E919" s="2" t="s">
        <v>7611</v>
      </c>
      <c r="F919" s="2" t="s">
        <v>2650</v>
      </c>
      <c r="H919" s="2" t="s">
        <v>4293</v>
      </c>
      <c r="I919" s="2" t="s">
        <v>7612</v>
      </c>
      <c r="J919" s="2" t="s">
        <v>7613</v>
      </c>
      <c r="K919" s="2" t="s">
        <v>7614</v>
      </c>
      <c r="L919" s="2" t="s">
        <v>6333</v>
      </c>
      <c r="M919" s="2" t="s">
        <v>1385</v>
      </c>
      <c r="N919" s="2" t="s">
        <v>1386</v>
      </c>
      <c r="P919" s="2" t="s">
        <v>7615</v>
      </c>
      <c r="S919" s="2">
        <v>3.0</v>
      </c>
      <c r="AN919" s="2" t="s">
        <v>1368</v>
      </c>
    </row>
    <row r="920" ht="15.75" customHeight="1">
      <c r="A920" s="2" t="s">
        <v>7616</v>
      </c>
      <c r="B920" s="2" t="s">
        <v>1396</v>
      </c>
      <c r="C920" s="2">
        <v>2014.0</v>
      </c>
      <c r="D920" s="2" t="s">
        <v>7617</v>
      </c>
      <c r="E920" s="2" t="s">
        <v>7618</v>
      </c>
      <c r="G920" s="2" t="s">
        <v>7619</v>
      </c>
      <c r="L920" s="2" t="s">
        <v>1476</v>
      </c>
      <c r="M920" s="2" t="s">
        <v>1385</v>
      </c>
      <c r="N920" s="2" t="s">
        <v>1386</v>
      </c>
      <c r="Q920" s="2" t="s">
        <v>6016</v>
      </c>
      <c r="AA920" s="2" t="s">
        <v>7620</v>
      </c>
      <c r="AB920" s="2" t="s">
        <v>7621</v>
      </c>
      <c r="AN920" s="2" t="s">
        <v>1368</v>
      </c>
    </row>
    <row r="921" ht="15.75" customHeight="1">
      <c r="A921" s="2" t="s">
        <v>7622</v>
      </c>
      <c r="B921" s="2" t="s">
        <v>1623</v>
      </c>
      <c r="C921" s="2">
        <v>2016.0</v>
      </c>
      <c r="D921" s="2" t="s">
        <v>7517</v>
      </c>
      <c r="E921" s="2" t="s">
        <v>7623</v>
      </c>
      <c r="J921" s="2" t="s">
        <v>7624</v>
      </c>
      <c r="L921" s="2" t="s">
        <v>1502</v>
      </c>
      <c r="M921" s="2" t="s">
        <v>1385</v>
      </c>
      <c r="N921" s="2" t="s">
        <v>1386</v>
      </c>
      <c r="O921" s="2" t="s">
        <v>7625</v>
      </c>
      <c r="AA921" s="2" t="s">
        <v>7517</v>
      </c>
      <c r="AN921" s="2" t="s">
        <v>1368</v>
      </c>
    </row>
    <row r="922" ht="15.75" customHeight="1">
      <c r="A922" s="2" t="s">
        <v>7626</v>
      </c>
      <c r="B922" s="2" t="s">
        <v>1396</v>
      </c>
      <c r="C922" s="2">
        <v>2012.0</v>
      </c>
      <c r="D922" s="2" t="s">
        <v>7447</v>
      </c>
      <c r="E922" s="2" t="s">
        <v>7627</v>
      </c>
      <c r="J922" s="2" t="s">
        <v>7628</v>
      </c>
      <c r="L922" s="2" t="s">
        <v>1405</v>
      </c>
      <c r="M922" s="2" t="s">
        <v>1385</v>
      </c>
      <c r="N922" s="2" t="s">
        <v>1386</v>
      </c>
      <c r="Q922" s="2" t="s">
        <v>7629</v>
      </c>
      <c r="AN922" s="2" t="s">
        <v>1368</v>
      </c>
    </row>
    <row r="923" ht="15.75" customHeight="1">
      <c r="A923" s="2" t="s">
        <v>7630</v>
      </c>
      <c r="B923" s="2" t="s">
        <v>1781</v>
      </c>
      <c r="C923" s="2">
        <v>2004.0</v>
      </c>
      <c r="D923" s="2" t="s">
        <v>7447</v>
      </c>
      <c r="E923" s="2" t="s">
        <v>7631</v>
      </c>
      <c r="J923" s="2" t="s">
        <v>7632</v>
      </c>
      <c r="L923" s="2" t="s">
        <v>2373</v>
      </c>
      <c r="M923" s="2" t="s">
        <v>1385</v>
      </c>
      <c r="N923" s="2" t="s">
        <v>1386</v>
      </c>
      <c r="AB923" s="2" t="s">
        <v>5295</v>
      </c>
      <c r="AN923" s="2" t="s">
        <v>1368</v>
      </c>
    </row>
    <row r="924" ht="15.75" customHeight="1">
      <c r="A924" s="2" t="s">
        <v>7633</v>
      </c>
      <c r="B924" s="2" t="s">
        <v>1361</v>
      </c>
      <c r="C924" s="2">
        <v>1999.0</v>
      </c>
      <c r="D924" s="2" t="s">
        <v>7634</v>
      </c>
      <c r="E924" s="2" t="s">
        <v>7635</v>
      </c>
      <c r="F924" s="2" t="s">
        <v>7014</v>
      </c>
      <c r="H924" s="2" t="s">
        <v>7015</v>
      </c>
      <c r="I924" s="2" t="s">
        <v>7636</v>
      </c>
      <c r="L924" s="2" t="s">
        <v>7637</v>
      </c>
      <c r="M924" s="2" t="s">
        <v>1385</v>
      </c>
      <c r="N924" s="2" t="s">
        <v>1386</v>
      </c>
      <c r="P924" s="2" t="s">
        <v>7638</v>
      </c>
      <c r="R924" s="2" t="s">
        <v>1462</v>
      </c>
      <c r="S924" s="2">
        <v>21.0</v>
      </c>
      <c r="AN924" s="2" t="s">
        <v>1368</v>
      </c>
    </row>
    <row r="925" ht="15.75" customHeight="1">
      <c r="A925" s="2" t="s">
        <v>7639</v>
      </c>
      <c r="B925" s="2" t="s">
        <v>1396</v>
      </c>
      <c r="C925" s="2">
        <v>2013.0</v>
      </c>
      <c r="D925" s="2" t="s">
        <v>7640</v>
      </c>
      <c r="E925" s="2" t="s">
        <v>7641</v>
      </c>
      <c r="G925" s="2" t="s">
        <v>7642</v>
      </c>
      <c r="K925" s="2" t="s">
        <v>7643</v>
      </c>
      <c r="L925" s="2" t="s">
        <v>1429</v>
      </c>
      <c r="M925" s="2" t="s">
        <v>1385</v>
      </c>
      <c r="N925" s="2" t="s">
        <v>1386</v>
      </c>
      <c r="AN925" s="2" t="s">
        <v>1368</v>
      </c>
    </row>
    <row r="926" ht="15.75" customHeight="1">
      <c r="A926" s="2" t="s">
        <v>7644</v>
      </c>
      <c r="B926" s="2" t="s">
        <v>1361</v>
      </c>
      <c r="C926" s="2">
        <v>2012.0</v>
      </c>
      <c r="D926" s="2" t="s">
        <v>7645</v>
      </c>
      <c r="E926" s="2" t="s">
        <v>7646</v>
      </c>
      <c r="L926" s="2" t="s">
        <v>1405</v>
      </c>
      <c r="M926" s="2" t="s">
        <v>1385</v>
      </c>
      <c r="N926" s="2" t="s">
        <v>1386</v>
      </c>
      <c r="AN926" s="2" t="s">
        <v>1368</v>
      </c>
    </row>
    <row r="927" ht="15.75" customHeight="1">
      <c r="A927" s="2" t="s">
        <v>7647</v>
      </c>
      <c r="B927" s="2" t="s">
        <v>1396</v>
      </c>
      <c r="C927" s="2">
        <v>2013.0</v>
      </c>
      <c r="D927" s="2" t="s">
        <v>7648</v>
      </c>
      <c r="E927" s="2" t="s">
        <v>7649</v>
      </c>
      <c r="L927" s="2" t="s">
        <v>1429</v>
      </c>
      <c r="M927" s="2" t="s">
        <v>1385</v>
      </c>
      <c r="N927" s="2" t="s">
        <v>1386</v>
      </c>
      <c r="AN927" s="2" t="s">
        <v>1368</v>
      </c>
    </row>
    <row r="928" ht="15.75" customHeight="1">
      <c r="A928" s="2" t="s">
        <v>7650</v>
      </c>
      <c r="B928" s="2" t="s">
        <v>1623</v>
      </c>
      <c r="C928" s="2">
        <v>2016.0</v>
      </c>
      <c r="D928" s="2" t="s">
        <v>7651</v>
      </c>
      <c r="E928" s="2" t="s">
        <v>7652</v>
      </c>
      <c r="L928" s="2" t="s">
        <v>1502</v>
      </c>
      <c r="M928" s="2" t="s">
        <v>1385</v>
      </c>
      <c r="N928" s="2" t="s">
        <v>1386</v>
      </c>
      <c r="AA928" s="2" t="s">
        <v>7653</v>
      </c>
      <c r="AB928" s="2" t="s">
        <v>5295</v>
      </c>
      <c r="AN928" s="2" t="s">
        <v>1368</v>
      </c>
    </row>
    <row r="929" ht="15.75" customHeight="1">
      <c r="A929" s="2" t="s">
        <v>7654</v>
      </c>
      <c r="B929" s="2" t="s">
        <v>1623</v>
      </c>
      <c r="C929" s="2">
        <v>2016.0</v>
      </c>
      <c r="D929" s="2" t="s">
        <v>7539</v>
      </c>
      <c r="E929" s="2" t="s">
        <v>7655</v>
      </c>
      <c r="J929" s="2" t="s">
        <v>7656</v>
      </c>
      <c r="K929" s="2" t="s">
        <v>7657</v>
      </c>
      <c r="L929" s="2" t="s">
        <v>1502</v>
      </c>
      <c r="M929" s="2" t="s">
        <v>1385</v>
      </c>
      <c r="N929" s="2" t="s">
        <v>1386</v>
      </c>
      <c r="AA929" s="2" t="s">
        <v>7542</v>
      </c>
      <c r="AB929" s="2" t="s">
        <v>7658</v>
      </c>
      <c r="AN929" s="2" t="s">
        <v>1368</v>
      </c>
    </row>
    <row r="930" ht="15.75" customHeight="1">
      <c r="A930" s="2" t="s">
        <v>7659</v>
      </c>
      <c r="B930" s="2" t="s">
        <v>1623</v>
      </c>
      <c r="C930" s="2">
        <v>2016.0</v>
      </c>
      <c r="D930" s="2" t="s">
        <v>7506</v>
      </c>
      <c r="E930" s="2" t="s">
        <v>7660</v>
      </c>
      <c r="J930" s="2" t="s">
        <v>7661</v>
      </c>
      <c r="K930" s="2" t="s">
        <v>7662</v>
      </c>
      <c r="L930" s="2" t="s">
        <v>1502</v>
      </c>
      <c r="M930" s="2" t="s">
        <v>1385</v>
      </c>
      <c r="N930" s="2" t="s">
        <v>1386</v>
      </c>
      <c r="AA930" s="2" t="s">
        <v>7506</v>
      </c>
      <c r="AB930" s="2" t="s">
        <v>7530</v>
      </c>
      <c r="AN930" s="2" t="s">
        <v>1368</v>
      </c>
    </row>
    <row r="931" ht="15.75" customHeight="1">
      <c r="A931" s="2" t="s">
        <v>7663</v>
      </c>
      <c r="B931" s="2" t="s">
        <v>1623</v>
      </c>
      <c r="C931" s="2">
        <v>2016.0</v>
      </c>
      <c r="D931" s="2" t="s">
        <v>7506</v>
      </c>
      <c r="E931" s="2" t="s">
        <v>7664</v>
      </c>
      <c r="K931" s="2" t="s">
        <v>7665</v>
      </c>
      <c r="L931" s="2" t="s">
        <v>1502</v>
      </c>
      <c r="M931" s="2" t="s">
        <v>1385</v>
      </c>
      <c r="N931" s="2" t="s">
        <v>1386</v>
      </c>
      <c r="AB931" s="2" t="s">
        <v>7530</v>
      </c>
      <c r="AN931" s="2" t="s">
        <v>1368</v>
      </c>
    </row>
    <row r="932" ht="15.75" customHeight="1">
      <c r="A932" s="2" t="s">
        <v>7666</v>
      </c>
      <c r="B932" s="2" t="s">
        <v>1623</v>
      </c>
      <c r="C932" s="2">
        <v>2016.0</v>
      </c>
      <c r="D932" s="2" t="s">
        <v>7506</v>
      </c>
      <c r="E932" s="2" t="s">
        <v>7667</v>
      </c>
      <c r="L932" s="2" t="s">
        <v>1502</v>
      </c>
      <c r="M932" s="2" t="s">
        <v>1385</v>
      </c>
      <c r="N932" s="2" t="s">
        <v>1386</v>
      </c>
      <c r="AA932" s="2" t="s">
        <v>7529</v>
      </c>
      <c r="AB932" s="2" t="s">
        <v>7530</v>
      </c>
      <c r="AN932" s="2" t="s">
        <v>1368</v>
      </c>
    </row>
    <row r="933" ht="15.75" customHeight="1">
      <c r="A933" s="2" t="s">
        <v>7668</v>
      </c>
      <c r="B933" s="2" t="s">
        <v>1623</v>
      </c>
      <c r="C933" s="2">
        <v>2016.0</v>
      </c>
      <c r="D933" s="2" t="s">
        <v>7506</v>
      </c>
      <c r="E933" s="2" t="s">
        <v>7669</v>
      </c>
      <c r="L933" s="2" t="s">
        <v>1502</v>
      </c>
      <c r="M933" s="2" t="s">
        <v>1385</v>
      </c>
      <c r="N933" s="2" t="s">
        <v>1386</v>
      </c>
      <c r="AA933" s="2" t="s">
        <v>7529</v>
      </c>
      <c r="AB933" s="2" t="s">
        <v>7530</v>
      </c>
      <c r="AN933" s="2" t="s">
        <v>1368</v>
      </c>
    </row>
    <row r="934" ht="15.75" customHeight="1">
      <c r="A934" s="2" t="s">
        <v>7670</v>
      </c>
      <c r="B934" s="2" t="s">
        <v>1623</v>
      </c>
      <c r="C934" s="2">
        <v>2016.0</v>
      </c>
      <c r="D934" s="2" t="s">
        <v>7506</v>
      </c>
      <c r="E934" s="2" t="s">
        <v>7671</v>
      </c>
      <c r="L934" s="2" t="s">
        <v>1502</v>
      </c>
      <c r="M934" s="2" t="s">
        <v>1385</v>
      </c>
      <c r="N934" s="2" t="s">
        <v>1386</v>
      </c>
      <c r="AA934" s="2" t="s">
        <v>7529</v>
      </c>
      <c r="AB934" s="2" t="s">
        <v>7530</v>
      </c>
      <c r="AN934" s="2" t="s">
        <v>1368</v>
      </c>
    </row>
    <row r="935" ht="15.75" customHeight="1">
      <c r="A935" s="2" t="s">
        <v>7672</v>
      </c>
      <c r="B935" s="2" t="s">
        <v>1361</v>
      </c>
      <c r="C935" s="2">
        <v>2016.0</v>
      </c>
      <c r="D935" s="2" t="s">
        <v>7673</v>
      </c>
      <c r="E935" s="2" t="s">
        <v>7674</v>
      </c>
      <c r="F935" s="2" t="s">
        <v>1466</v>
      </c>
      <c r="H935" s="2" t="s">
        <v>6232</v>
      </c>
      <c r="I935" s="2" t="s">
        <v>167</v>
      </c>
      <c r="K935" s="2" t="s">
        <v>7675</v>
      </c>
      <c r="L935" s="2" t="s">
        <v>7676</v>
      </c>
      <c r="M935" s="2" t="s">
        <v>1385</v>
      </c>
      <c r="N935" s="2" t="s">
        <v>1386</v>
      </c>
      <c r="P935" s="2" t="s">
        <v>7677</v>
      </c>
      <c r="S935" s="2">
        <v>57.0</v>
      </c>
      <c r="AN935" s="2" t="s">
        <v>1368</v>
      </c>
    </row>
    <row r="936" ht="15.75" customHeight="1">
      <c r="A936" s="2" t="s">
        <v>7678</v>
      </c>
      <c r="B936" s="2" t="s">
        <v>1396</v>
      </c>
      <c r="C936" s="2">
        <v>2009.0</v>
      </c>
      <c r="D936" s="2" t="s">
        <v>7679</v>
      </c>
      <c r="E936" s="2" t="s">
        <v>7680</v>
      </c>
      <c r="K936" s="2" t="s">
        <v>7681</v>
      </c>
      <c r="L936" s="2" t="s">
        <v>1364</v>
      </c>
      <c r="M936" s="2" t="s">
        <v>1385</v>
      </c>
      <c r="N936" s="2" t="s">
        <v>1386</v>
      </c>
      <c r="AA936" s="2" t="s">
        <v>7682</v>
      </c>
      <c r="AN936" s="2" t="s">
        <v>1368</v>
      </c>
    </row>
    <row r="937" ht="15.75" customHeight="1">
      <c r="A937" s="2" t="s">
        <v>7683</v>
      </c>
      <c r="B937" s="2" t="s">
        <v>1361</v>
      </c>
      <c r="C937" s="2">
        <v>2009.0</v>
      </c>
      <c r="D937" s="2" t="s">
        <v>7684</v>
      </c>
      <c r="E937" s="2" t="s">
        <v>7685</v>
      </c>
      <c r="F937" s="2" t="s">
        <v>7686</v>
      </c>
      <c r="H937" s="2" t="s">
        <v>7687</v>
      </c>
      <c r="I937" s="2" t="s">
        <v>7688</v>
      </c>
      <c r="K937" s="2" t="s">
        <v>7689</v>
      </c>
      <c r="L937" s="2" t="s">
        <v>7690</v>
      </c>
      <c r="M937" s="2" t="s">
        <v>1385</v>
      </c>
      <c r="N937" s="2" t="s">
        <v>1386</v>
      </c>
      <c r="P937" s="2" t="s">
        <v>7691</v>
      </c>
      <c r="R937" s="2" t="s">
        <v>1462</v>
      </c>
      <c r="S937" s="2">
        <v>1.0</v>
      </c>
      <c r="AN937" s="2" t="s">
        <v>1368</v>
      </c>
    </row>
    <row r="938" ht="15.75" customHeight="1">
      <c r="A938" s="2" t="s">
        <v>7692</v>
      </c>
      <c r="B938" s="2" t="s">
        <v>1396</v>
      </c>
      <c r="C938" s="2">
        <v>1993.0</v>
      </c>
      <c r="D938" s="2" t="s">
        <v>7693</v>
      </c>
      <c r="E938" s="2" t="s">
        <v>7694</v>
      </c>
      <c r="L938" s="2" t="s">
        <v>2735</v>
      </c>
      <c r="M938" s="2" t="s">
        <v>1385</v>
      </c>
      <c r="N938" s="2" t="s">
        <v>1386</v>
      </c>
      <c r="AA938" s="2" t="s">
        <v>7695</v>
      </c>
      <c r="AN938" s="2" t="s">
        <v>1368</v>
      </c>
    </row>
    <row r="939" ht="15.75" customHeight="1">
      <c r="A939" s="2" t="s">
        <v>7696</v>
      </c>
      <c r="B939" s="2" t="s">
        <v>1396</v>
      </c>
      <c r="C939" s="2">
        <v>2004.0</v>
      </c>
      <c r="D939" s="2" t="s">
        <v>7697</v>
      </c>
      <c r="E939" s="2" t="s">
        <v>7698</v>
      </c>
      <c r="G939" s="2" t="s">
        <v>7699</v>
      </c>
      <c r="L939" s="2" t="s">
        <v>2373</v>
      </c>
      <c r="M939" s="2" t="s">
        <v>1385</v>
      </c>
      <c r="N939" s="2" t="s">
        <v>1386</v>
      </c>
      <c r="Q939" s="2" t="s">
        <v>7700</v>
      </c>
      <c r="AA939" s="2" t="s">
        <v>7701</v>
      </c>
      <c r="AN939" s="2" t="s">
        <v>1368</v>
      </c>
    </row>
    <row r="940" ht="15.75" customHeight="1">
      <c r="A940" s="2" t="s">
        <v>7702</v>
      </c>
      <c r="B940" s="2" t="s">
        <v>1361</v>
      </c>
      <c r="C940" s="2">
        <v>2013.0</v>
      </c>
      <c r="D940" s="2" t="s">
        <v>7703</v>
      </c>
      <c r="E940" s="2" t="s">
        <v>594</v>
      </c>
      <c r="F940" s="2" t="s">
        <v>362</v>
      </c>
      <c r="I940" s="2" t="s">
        <v>596</v>
      </c>
      <c r="K940" s="2" t="s">
        <v>7704</v>
      </c>
      <c r="L940" s="2" t="s">
        <v>1429</v>
      </c>
      <c r="M940" s="2" t="s">
        <v>1385</v>
      </c>
      <c r="N940" s="2" t="s">
        <v>1386</v>
      </c>
      <c r="P940" s="2" t="s">
        <v>5552</v>
      </c>
      <c r="R940" s="2" t="s">
        <v>1480</v>
      </c>
      <c r="S940" s="2">
        <v>8.0</v>
      </c>
      <c r="AN940" s="2" t="s">
        <v>1368</v>
      </c>
    </row>
    <row r="941" ht="15.75" customHeight="1">
      <c r="A941" s="2" t="s">
        <v>7705</v>
      </c>
      <c r="B941" s="2" t="s">
        <v>1781</v>
      </c>
      <c r="C941" s="2">
        <v>2010.0</v>
      </c>
      <c r="D941" s="2" t="s">
        <v>7706</v>
      </c>
      <c r="E941" s="2" t="s">
        <v>7707</v>
      </c>
      <c r="L941" s="2" t="s">
        <v>1449</v>
      </c>
      <c r="M941" s="2" t="s">
        <v>1385</v>
      </c>
      <c r="N941" s="2" t="s">
        <v>1386</v>
      </c>
      <c r="AN941" s="2" t="s">
        <v>1368</v>
      </c>
    </row>
    <row r="942" ht="15.75" customHeight="1">
      <c r="A942" s="2" t="s">
        <v>7708</v>
      </c>
      <c r="B942" s="2" t="s">
        <v>1396</v>
      </c>
      <c r="C942" s="2">
        <v>2016.0</v>
      </c>
      <c r="D942" s="2" t="s">
        <v>7709</v>
      </c>
      <c r="E942" s="2" t="s">
        <v>7710</v>
      </c>
      <c r="G942" s="2" t="s">
        <v>7711</v>
      </c>
      <c r="K942" s="2" t="s">
        <v>7712</v>
      </c>
      <c r="L942" s="2" t="s">
        <v>1502</v>
      </c>
      <c r="M942" s="2" t="s">
        <v>1385</v>
      </c>
      <c r="N942" s="2" t="s">
        <v>1386</v>
      </c>
      <c r="AN942" s="2" t="s">
        <v>1368</v>
      </c>
    </row>
    <row r="943" ht="15.75" customHeight="1">
      <c r="A943" s="2" t="s">
        <v>7713</v>
      </c>
      <c r="B943" s="2" t="s">
        <v>1361</v>
      </c>
      <c r="C943" s="2">
        <v>2011.0</v>
      </c>
      <c r="D943" s="2" t="s">
        <v>7714</v>
      </c>
      <c r="E943" s="2" t="s">
        <v>7715</v>
      </c>
      <c r="F943" s="2" t="s">
        <v>1980</v>
      </c>
      <c r="H943" s="2" t="s">
        <v>7716</v>
      </c>
      <c r="I943" s="2" t="s">
        <v>7717</v>
      </c>
      <c r="K943" s="2" t="s">
        <v>7718</v>
      </c>
      <c r="L943" s="2" t="s">
        <v>1627</v>
      </c>
      <c r="M943" s="2" t="s">
        <v>1385</v>
      </c>
      <c r="N943" s="2" t="s">
        <v>1386</v>
      </c>
      <c r="AN943" s="2" t="s">
        <v>1368</v>
      </c>
    </row>
    <row r="944" ht="15.75" customHeight="1">
      <c r="A944" s="2" t="s">
        <v>7719</v>
      </c>
      <c r="B944" s="2" t="s">
        <v>1361</v>
      </c>
      <c r="C944" s="2">
        <v>1998.0</v>
      </c>
      <c r="D944" s="2" t="s">
        <v>7720</v>
      </c>
      <c r="E944" s="2" t="s">
        <v>7721</v>
      </c>
      <c r="F944" s="2" t="s">
        <v>4728</v>
      </c>
      <c r="H944" s="2" t="s">
        <v>7722</v>
      </c>
      <c r="I944" s="2" t="s">
        <v>7723</v>
      </c>
      <c r="K944" s="2" t="s">
        <v>7724</v>
      </c>
      <c r="L944" s="2" t="s">
        <v>1958</v>
      </c>
      <c r="M944" s="2" t="s">
        <v>1385</v>
      </c>
      <c r="N944" s="2" t="s">
        <v>1386</v>
      </c>
      <c r="AN944" s="2" t="s">
        <v>1368</v>
      </c>
    </row>
    <row r="945" ht="15.75" customHeight="1">
      <c r="A945" s="2" t="s">
        <v>7725</v>
      </c>
      <c r="B945" s="2" t="s">
        <v>1396</v>
      </c>
      <c r="C945" s="2">
        <v>2012.0</v>
      </c>
      <c r="D945" s="2" t="s">
        <v>7726</v>
      </c>
      <c r="E945" s="2" t="s">
        <v>7727</v>
      </c>
      <c r="L945" s="2" t="s">
        <v>1405</v>
      </c>
      <c r="M945" s="2" t="s">
        <v>1385</v>
      </c>
      <c r="N945" s="2" t="s">
        <v>1386</v>
      </c>
      <c r="AA945" s="2" t="s">
        <v>2187</v>
      </c>
      <c r="AN945" s="2" t="s">
        <v>1368</v>
      </c>
    </row>
    <row r="946" ht="15.75" customHeight="1">
      <c r="A946" s="2" t="s">
        <v>7728</v>
      </c>
      <c r="B946" s="2" t="s">
        <v>1623</v>
      </c>
      <c r="C946" s="2">
        <v>2015.0</v>
      </c>
      <c r="D946" s="2" t="s">
        <v>7729</v>
      </c>
      <c r="E946" s="2" t="s">
        <v>7730</v>
      </c>
      <c r="J946" s="2" t="s">
        <v>7731</v>
      </c>
      <c r="L946" s="2" t="s">
        <v>1373</v>
      </c>
      <c r="M946" s="2" t="s">
        <v>1385</v>
      </c>
      <c r="N946" s="2" t="s">
        <v>1386</v>
      </c>
      <c r="AA946" s="2" t="s">
        <v>7732</v>
      </c>
      <c r="AN946" s="2" t="s">
        <v>1368</v>
      </c>
    </row>
    <row r="947" ht="15.75" customHeight="1">
      <c r="A947" s="2" t="s">
        <v>7733</v>
      </c>
      <c r="B947" s="2" t="s">
        <v>1396</v>
      </c>
      <c r="C947" s="2">
        <v>1992.0</v>
      </c>
      <c r="D947" s="2" t="s">
        <v>7413</v>
      </c>
      <c r="E947" s="2" t="s">
        <v>7734</v>
      </c>
      <c r="L947" s="2" t="s">
        <v>3458</v>
      </c>
      <c r="M947" s="2" t="s">
        <v>1385</v>
      </c>
      <c r="N947" s="2" t="s">
        <v>1386</v>
      </c>
      <c r="AA947" s="2" t="s">
        <v>7735</v>
      </c>
      <c r="AN947" s="2" t="s">
        <v>1368</v>
      </c>
    </row>
    <row r="948" ht="15.75" customHeight="1">
      <c r="A948" s="2" t="s">
        <v>7736</v>
      </c>
      <c r="B948" s="2" t="s">
        <v>1396</v>
      </c>
      <c r="C948" s="2">
        <v>2003.0</v>
      </c>
      <c r="D948" s="2" t="s">
        <v>7737</v>
      </c>
      <c r="E948" s="2" t="s">
        <v>7738</v>
      </c>
      <c r="G948" s="2" t="s">
        <v>7739</v>
      </c>
      <c r="L948" s="2" t="s">
        <v>1606</v>
      </c>
      <c r="M948" s="2" t="s">
        <v>1385</v>
      </c>
      <c r="N948" s="2" t="s">
        <v>1386</v>
      </c>
      <c r="Q948" s="2" t="s">
        <v>7740</v>
      </c>
      <c r="AA948" s="2" t="s">
        <v>7741</v>
      </c>
      <c r="AB948" s="2" t="s">
        <v>7742</v>
      </c>
      <c r="AN948" s="2" t="s">
        <v>1368</v>
      </c>
    </row>
    <row r="949" ht="15.75" customHeight="1">
      <c r="A949" s="2" t="s">
        <v>7743</v>
      </c>
      <c r="B949" s="2" t="s">
        <v>1396</v>
      </c>
      <c r="C949" s="2">
        <v>2007.0</v>
      </c>
      <c r="D949" s="2" t="s">
        <v>7356</v>
      </c>
      <c r="E949" s="2" t="s">
        <v>7744</v>
      </c>
      <c r="G949" s="2" t="s">
        <v>7745</v>
      </c>
      <c r="K949" s="2" t="s">
        <v>7746</v>
      </c>
      <c r="L949" s="2" t="s">
        <v>2380</v>
      </c>
      <c r="M949" s="2" t="s">
        <v>1385</v>
      </c>
      <c r="N949" s="2" t="s">
        <v>1386</v>
      </c>
      <c r="Q949" s="2" t="s">
        <v>7747</v>
      </c>
      <c r="AA949" s="2" t="s">
        <v>6967</v>
      </c>
      <c r="AN949" s="2" t="s">
        <v>1368</v>
      </c>
    </row>
    <row r="950" ht="15.75" customHeight="1">
      <c r="A950" s="2" t="s">
        <v>7748</v>
      </c>
      <c r="B950" s="2" t="s">
        <v>1396</v>
      </c>
      <c r="C950" s="2">
        <v>2007.0</v>
      </c>
      <c r="D950" s="2" t="s">
        <v>7749</v>
      </c>
      <c r="E950" s="2" t="s">
        <v>7750</v>
      </c>
      <c r="G950" s="2" t="s">
        <v>7751</v>
      </c>
      <c r="K950" s="2" t="s">
        <v>7752</v>
      </c>
      <c r="L950" s="2" t="s">
        <v>2380</v>
      </c>
      <c r="M950" s="2" t="s">
        <v>1385</v>
      </c>
      <c r="N950" s="2" t="s">
        <v>1386</v>
      </c>
      <c r="Q950" s="2" t="s">
        <v>6830</v>
      </c>
      <c r="AA950" s="2" t="s">
        <v>2993</v>
      </c>
      <c r="AN950" s="2" t="s">
        <v>1368</v>
      </c>
    </row>
    <row r="951" ht="15.75" customHeight="1">
      <c r="A951" s="2" t="s">
        <v>7753</v>
      </c>
      <c r="B951" s="2" t="s">
        <v>1361</v>
      </c>
      <c r="C951" s="2">
        <v>2011.0</v>
      </c>
      <c r="D951" s="2" t="s">
        <v>7754</v>
      </c>
      <c r="E951" s="2" t="s">
        <v>7755</v>
      </c>
      <c r="F951" s="2" t="s">
        <v>1876</v>
      </c>
      <c r="H951" s="2" t="s">
        <v>6702</v>
      </c>
      <c r="I951" s="2" t="s">
        <v>7756</v>
      </c>
      <c r="K951" s="2" t="s">
        <v>7757</v>
      </c>
      <c r="L951" s="2" t="s">
        <v>1627</v>
      </c>
      <c r="M951" s="2" t="s">
        <v>1385</v>
      </c>
      <c r="N951" s="2" t="s">
        <v>1386</v>
      </c>
      <c r="AN951" s="2" t="s">
        <v>1368</v>
      </c>
    </row>
    <row r="952" ht="15.75" customHeight="1">
      <c r="A952" s="2" t="s">
        <v>7758</v>
      </c>
      <c r="B952" s="2" t="s">
        <v>1361</v>
      </c>
      <c r="C952" s="2">
        <v>2002.0</v>
      </c>
      <c r="D952" s="2" t="s">
        <v>7759</v>
      </c>
      <c r="E952" s="2" t="s">
        <v>7760</v>
      </c>
      <c r="F952" s="2" t="s">
        <v>7761</v>
      </c>
      <c r="I952" s="2" t="s">
        <v>7762</v>
      </c>
      <c r="K952" s="2" t="s">
        <v>7763</v>
      </c>
      <c r="L952" s="2" t="s">
        <v>1493</v>
      </c>
      <c r="M952" s="2" t="s">
        <v>1385</v>
      </c>
      <c r="N952" s="2" t="s">
        <v>1386</v>
      </c>
      <c r="P952" s="2" t="s">
        <v>7764</v>
      </c>
      <c r="R952" s="2" t="s">
        <v>1453</v>
      </c>
      <c r="S952" s="2">
        <v>22.0</v>
      </c>
      <c r="AN952" s="2" t="s">
        <v>1368</v>
      </c>
    </row>
    <row r="953" ht="15.75" customHeight="1">
      <c r="A953" s="2" t="s">
        <v>7765</v>
      </c>
      <c r="B953" s="2" t="s">
        <v>1766</v>
      </c>
      <c r="C953" s="2">
        <v>2009.0</v>
      </c>
      <c r="D953" s="2" t="s">
        <v>7766</v>
      </c>
      <c r="E953" s="2" t="s">
        <v>7767</v>
      </c>
      <c r="F953" s="2" t="s">
        <v>7768</v>
      </c>
      <c r="L953" s="2" t="s">
        <v>1364</v>
      </c>
      <c r="M953" s="2" t="s">
        <v>1385</v>
      </c>
      <c r="N953" s="2" t="s">
        <v>1386</v>
      </c>
      <c r="P953" s="2" t="s">
        <v>7769</v>
      </c>
      <c r="AA953" s="2" t="s">
        <v>7770</v>
      </c>
      <c r="AN953" s="2" t="s">
        <v>1368</v>
      </c>
      <c r="AP953" s="2" t="s">
        <v>7771</v>
      </c>
    </row>
    <row r="954" ht="15.75" customHeight="1">
      <c r="A954" s="2" t="s">
        <v>7772</v>
      </c>
      <c r="B954" s="2" t="s">
        <v>1361</v>
      </c>
      <c r="C954" s="2">
        <v>2010.0</v>
      </c>
      <c r="D954" s="2" t="s">
        <v>7773</v>
      </c>
      <c r="E954" s="2" t="s">
        <v>7774</v>
      </c>
      <c r="F954" s="2" t="s">
        <v>4995</v>
      </c>
      <c r="H954" s="2" t="s">
        <v>4996</v>
      </c>
      <c r="I954" s="2" t="s">
        <v>7775</v>
      </c>
      <c r="L954" s="2" t="s">
        <v>7776</v>
      </c>
      <c r="M954" s="2" t="s">
        <v>1385</v>
      </c>
      <c r="N954" s="2" t="s">
        <v>1386</v>
      </c>
      <c r="P954" s="2" t="s">
        <v>7777</v>
      </c>
      <c r="R954" s="2" t="s">
        <v>1600</v>
      </c>
      <c r="S954" s="2">
        <v>41.0</v>
      </c>
      <c r="AN954" s="2" t="s">
        <v>1368</v>
      </c>
    </row>
    <row r="955" ht="15.75" customHeight="1">
      <c r="A955" s="2" t="s">
        <v>7778</v>
      </c>
      <c r="B955" s="2" t="s">
        <v>1361</v>
      </c>
      <c r="C955" s="2">
        <v>1981.0</v>
      </c>
      <c r="D955" s="2" t="s">
        <v>7779</v>
      </c>
      <c r="E955" s="2" t="s">
        <v>7780</v>
      </c>
      <c r="F955" s="2" t="s">
        <v>7781</v>
      </c>
      <c r="H955" s="2" t="s">
        <v>7782</v>
      </c>
      <c r="I955" s="2" t="s">
        <v>7783</v>
      </c>
      <c r="K955" s="2" t="s">
        <v>7784</v>
      </c>
      <c r="L955" s="2" t="s">
        <v>2462</v>
      </c>
      <c r="M955" s="2" t="s">
        <v>1385</v>
      </c>
      <c r="N955" s="2" t="s">
        <v>1386</v>
      </c>
      <c r="AN955" s="2" t="s">
        <v>1368</v>
      </c>
    </row>
    <row r="956" ht="15.75" customHeight="1">
      <c r="A956" s="2" t="s">
        <v>7785</v>
      </c>
      <c r="B956" s="2" t="s">
        <v>1361</v>
      </c>
      <c r="C956" s="2">
        <v>2006.0</v>
      </c>
      <c r="D956" s="2" t="s">
        <v>7786</v>
      </c>
      <c r="E956" s="2" t="s">
        <v>7787</v>
      </c>
      <c r="F956" s="2" t="s">
        <v>7008</v>
      </c>
      <c r="H956" s="2" t="s">
        <v>7009</v>
      </c>
      <c r="I956" s="2" t="s">
        <v>7788</v>
      </c>
      <c r="L956" s="2" t="s">
        <v>1727</v>
      </c>
      <c r="M956" s="2" t="s">
        <v>1385</v>
      </c>
      <c r="N956" s="2" t="s">
        <v>1386</v>
      </c>
      <c r="P956" s="2" t="s">
        <v>7789</v>
      </c>
      <c r="R956" s="2" t="s">
        <v>1506</v>
      </c>
      <c r="S956" s="2">
        <v>38.0</v>
      </c>
      <c r="AN956" s="2" t="s">
        <v>1368</v>
      </c>
    </row>
    <row r="957" ht="15.75" customHeight="1">
      <c r="A957" s="2" t="s">
        <v>7790</v>
      </c>
      <c r="B957" s="2" t="s">
        <v>1361</v>
      </c>
      <c r="C957" s="2">
        <v>2017.0</v>
      </c>
      <c r="D957" s="2" t="s">
        <v>7791</v>
      </c>
      <c r="E957" s="2" t="s">
        <v>7792</v>
      </c>
      <c r="F957" s="2" t="s">
        <v>7793</v>
      </c>
      <c r="H957" s="2" t="s">
        <v>7794</v>
      </c>
      <c r="I957" s="2" t="s">
        <v>7795</v>
      </c>
      <c r="K957" s="2" t="s">
        <v>7796</v>
      </c>
      <c r="L957" s="2" t="s">
        <v>1658</v>
      </c>
      <c r="M957" s="2" t="s">
        <v>1385</v>
      </c>
      <c r="N957" s="2" t="s">
        <v>1386</v>
      </c>
      <c r="P957" s="2" t="s">
        <v>7797</v>
      </c>
      <c r="R957" s="2" t="s">
        <v>1937</v>
      </c>
      <c r="S957" s="2">
        <v>107.0</v>
      </c>
      <c r="AN957" s="2" t="s">
        <v>1368</v>
      </c>
    </row>
    <row r="958" ht="15.75" customHeight="1">
      <c r="A958" s="2" t="s">
        <v>7798</v>
      </c>
      <c r="B958" s="2" t="s">
        <v>1361</v>
      </c>
      <c r="C958" s="2">
        <v>2018.0</v>
      </c>
      <c r="D958" s="2" t="s">
        <v>7799</v>
      </c>
      <c r="E958" s="2" t="s">
        <v>7800</v>
      </c>
      <c r="F958" s="2" t="s">
        <v>1688</v>
      </c>
      <c r="H958" s="2" t="s">
        <v>1689</v>
      </c>
      <c r="I958" s="2" t="s">
        <v>7801</v>
      </c>
      <c r="K958" s="2" t="s">
        <v>7802</v>
      </c>
      <c r="L958" s="2" t="s">
        <v>1420</v>
      </c>
      <c r="M958" s="2" t="s">
        <v>1385</v>
      </c>
      <c r="N958" s="2" t="s">
        <v>1386</v>
      </c>
      <c r="P958" s="2" t="s">
        <v>7803</v>
      </c>
      <c r="R958" s="2" t="s">
        <v>2237</v>
      </c>
      <c r="S958" s="2">
        <v>115.0</v>
      </c>
      <c r="AN958" s="2" t="s">
        <v>1368</v>
      </c>
    </row>
    <row r="959" ht="15.75" customHeight="1">
      <c r="A959" s="2" t="s">
        <v>7804</v>
      </c>
      <c r="B959" s="2" t="s">
        <v>1361</v>
      </c>
      <c r="C959" s="2">
        <v>1997.0</v>
      </c>
      <c r="D959" s="2" t="s">
        <v>7805</v>
      </c>
      <c r="E959" s="2" t="s">
        <v>7806</v>
      </c>
      <c r="F959" s="2" t="s">
        <v>7807</v>
      </c>
      <c r="I959" s="2" t="s">
        <v>7808</v>
      </c>
      <c r="K959" s="2" t="s">
        <v>7809</v>
      </c>
      <c r="L959" s="2" t="s">
        <v>1804</v>
      </c>
      <c r="M959" s="2" t="s">
        <v>1385</v>
      </c>
      <c r="N959" s="2" t="s">
        <v>1386</v>
      </c>
      <c r="AN959" s="2" t="s">
        <v>1368</v>
      </c>
    </row>
    <row r="960" ht="15.75" customHeight="1">
      <c r="A960" s="2" t="s">
        <v>7810</v>
      </c>
      <c r="B960" s="2" t="s">
        <v>1361</v>
      </c>
      <c r="C960" s="2">
        <v>1980.0</v>
      </c>
      <c r="D960" s="2" t="s">
        <v>7811</v>
      </c>
      <c r="E960" s="2" t="s">
        <v>7812</v>
      </c>
      <c r="F960" s="2" t="s">
        <v>4995</v>
      </c>
      <c r="H960" s="2" t="s">
        <v>4996</v>
      </c>
      <c r="I960" s="2" t="s">
        <v>7813</v>
      </c>
      <c r="L960" s="2" t="s">
        <v>7814</v>
      </c>
      <c r="M960" s="2" t="s">
        <v>1385</v>
      </c>
      <c r="N960" s="2" t="s">
        <v>1386</v>
      </c>
      <c r="P960" s="2" t="s">
        <v>7815</v>
      </c>
      <c r="R960" s="2" t="s">
        <v>1506</v>
      </c>
      <c r="S960" s="2">
        <v>11.0</v>
      </c>
      <c r="AN960" s="2" t="s">
        <v>1368</v>
      </c>
    </row>
    <row r="961" ht="15.75" customHeight="1">
      <c r="A961" s="2" t="s">
        <v>7816</v>
      </c>
      <c r="B961" s="2" t="s">
        <v>1396</v>
      </c>
      <c r="C961" s="2">
        <v>2008.0</v>
      </c>
      <c r="D961" s="2" t="s">
        <v>7817</v>
      </c>
      <c r="E961" s="2" t="s">
        <v>7818</v>
      </c>
      <c r="G961" s="2" t="s">
        <v>7819</v>
      </c>
      <c r="L961" s="2" t="s">
        <v>1458</v>
      </c>
      <c r="M961" s="2" t="s">
        <v>1385</v>
      </c>
      <c r="N961" s="2" t="s">
        <v>1386</v>
      </c>
      <c r="Q961" s="2" t="s">
        <v>7820</v>
      </c>
      <c r="AA961" s="2" t="s">
        <v>7821</v>
      </c>
      <c r="AB961" s="2" t="s">
        <v>7822</v>
      </c>
      <c r="AN961" s="2" t="s">
        <v>1368</v>
      </c>
    </row>
    <row r="962" ht="15.75" customHeight="1">
      <c r="A962" s="2" t="s">
        <v>7823</v>
      </c>
      <c r="B962" s="2" t="s">
        <v>1361</v>
      </c>
      <c r="C962" s="2">
        <v>2004.0</v>
      </c>
      <c r="D962" s="2" t="s">
        <v>7824</v>
      </c>
      <c r="E962" s="2" t="s">
        <v>1147</v>
      </c>
      <c r="F962" s="2" t="s">
        <v>6641</v>
      </c>
      <c r="H962" s="2" t="s">
        <v>7825</v>
      </c>
      <c r="I962" s="2" t="s">
        <v>1150</v>
      </c>
      <c r="K962" s="2" t="s">
        <v>7826</v>
      </c>
      <c r="L962" s="2" t="s">
        <v>2373</v>
      </c>
      <c r="M962" s="2" t="s">
        <v>1385</v>
      </c>
      <c r="N962" s="2" t="s">
        <v>1386</v>
      </c>
      <c r="AN962" s="2" t="s">
        <v>1368</v>
      </c>
    </row>
    <row r="963" ht="15.75" customHeight="1">
      <c r="A963" s="2" t="s">
        <v>7827</v>
      </c>
      <c r="B963" s="2" t="s">
        <v>1396</v>
      </c>
      <c r="C963" s="2">
        <v>2015.0</v>
      </c>
      <c r="D963" s="2" t="s">
        <v>7828</v>
      </c>
      <c r="E963" s="2" t="s">
        <v>7829</v>
      </c>
      <c r="L963" s="2" t="s">
        <v>1373</v>
      </c>
      <c r="M963" s="2" t="s">
        <v>1385</v>
      </c>
      <c r="N963" s="2" t="s">
        <v>1386</v>
      </c>
      <c r="AA963" s="2" t="s">
        <v>7830</v>
      </c>
      <c r="AN963" s="2" t="s">
        <v>1368</v>
      </c>
    </row>
    <row r="964" ht="15.75" customHeight="1">
      <c r="A964" s="2" t="s">
        <v>7831</v>
      </c>
      <c r="B964" s="2" t="s">
        <v>1361</v>
      </c>
      <c r="C964" s="2">
        <v>1969.0</v>
      </c>
      <c r="D964" s="2" t="s">
        <v>7832</v>
      </c>
      <c r="E964" s="2" t="s">
        <v>7833</v>
      </c>
      <c r="F964" s="2" t="s">
        <v>7834</v>
      </c>
      <c r="H964" s="2" t="s">
        <v>7835</v>
      </c>
      <c r="I964" s="2" t="s">
        <v>7836</v>
      </c>
      <c r="K964" s="2" t="s">
        <v>7837</v>
      </c>
      <c r="L964" s="2" t="s">
        <v>7838</v>
      </c>
      <c r="M964" s="2" t="s">
        <v>1385</v>
      </c>
      <c r="N964" s="2" t="s">
        <v>1386</v>
      </c>
      <c r="AN964" s="2" t="s">
        <v>1368</v>
      </c>
    </row>
    <row r="965" ht="15.75" customHeight="1">
      <c r="A965" s="2" t="s">
        <v>7839</v>
      </c>
      <c r="B965" s="2" t="s">
        <v>1766</v>
      </c>
      <c r="C965" s="2">
        <v>2003.0</v>
      </c>
      <c r="D965" s="2" t="s">
        <v>7840</v>
      </c>
      <c r="E965" s="2" t="s">
        <v>7841</v>
      </c>
      <c r="F965" s="2" t="s">
        <v>7841</v>
      </c>
      <c r="G965" s="2" t="s">
        <v>7842</v>
      </c>
      <c r="L965" s="2" t="s">
        <v>1606</v>
      </c>
      <c r="M965" s="2" t="s">
        <v>1385</v>
      </c>
      <c r="N965" s="2" t="s">
        <v>1386</v>
      </c>
      <c r="P965" s="2" t="s">
        <v>7843</v>
      </c>
      <c r="AA965" s="2" t="s">
        <v>7844</v>
      </c>
      <c r="AB965" s="2" t="s">
        <v>5295</v>
      </c>
      <c r="AN965" s="2" t="s">
        <v>1368</v>
      </c>
      <c r="AP965" s="2" t="s">
        <v>7845</v>
      </c>
    </row>
    <row r="966" ht="15.75" customHeight="1">
      <c r="A966" s="2" t="s">
        <v>7846</v>
      </c>
      <c r="B966" s="2" t="s">
        <v>1361</v>
      </c>
      <c r="C966" s="2">
        <v>2016.0</v>
      </c>
      <c r="D966" s="2" t="s">
        <v>7847</v>
      </c>
      <c r="E966" s="2" t="s">
        <v>7848</v>
      </c>
      <c r="F966" s="2" t="s">
        <v>1789</v>
      </c>
      <c r="H966" s="2" t="s">
        <v>1790</v>
      </c>
      <c r="I966" s="2" t="s">
        <v>7849</v>
      </c>
      <c r="K966" s="2" t="s">
        <v>7850</v>
      </c>
      <c r="L966" s="2" t="s">
        <v>7676</v>
      </c>
      <c r="M966" s="2" t="s">
        <v>1385</v>
      </c>
      <c r="N966" s="2" t="s">
        <v>1386</v>
      </c>
      <c r="P966" s="2" t="s">
        <v>7851</v>
      </c>
      <c r="S966" s="2">
        <v>41.0</v>
      </c>
      <c r="AN966" s="2" t="s">
        <v>1368</v>
      </c>
    </row>
    <row r="967" ht="15.75" customHeight="1">
      <c r="A967" s="2" t="s">
        <v>7852</v>
      </c>
      <c r="B967" s="2" t="s">
        <v>1361</v>
      </c>
      <c r="C967" s="2">
        <v>2005.0</v>
      </c>
      <c r="D967" s="2" t="s">
        <v>7853</v>
      </c>
      <c r="E967" s="2" t="s">
        <v>7854</v>
      </c>
      <c r="F967" s="2" t="s">
        <v>6363</v>
      </c>
      <c r="H967" s="2" t="s">
        <v>6364</v>
      </c>
      <c r="I967" s="2" t="s">
        <v>7855</v>
      </c>
      <c r="K967" s="2" t="s">
        <v>7856</v>
      </c>
      <c r="L967" s="2" t="s">
        <v>1394</v>
      </c>
      <c r="M967" s="2" t="s">
        <v>1385</v>
      </c>
      <c r="N967" s="2" t="s">
        <v>1386</v>
      </c>
      <c r="P967" s="2" t="s">
        <v>7857</v>
      </c>
      <c r="R967" s="2" t="s">
        <v>2646</v>
      </c>
      <c r="S967" s="2">
        <v>8.0</v>
      </c>
      <c r="AN967" s="2" t="s">
        <v>1368</v>
      </c>
    </row>
    <row r="968" ht="15.75" customHeight="1">
      <c r="A968" s="2" t="s">
        <v>7858</v>
      </c>
      <c r="B968" s="2" t="s">
        <v>1361</v>
      </c>
      <c r="C968" s="2">
        <v>2011.0</v>
      </c>
      <c r="D968" s="2" t="s">
        <v>7859</v>
      </c>
      <c r="E968" s="2" t="s">
        <v>7860</v>
      </c>
      <c r="F968" s="2" t="s">
        <v>1425</v>
      </c>
      <c r="H968" s="2" t="s">
        <v>1426</v>
      </c>
      <c r="I968" s="2" t="s">
        <v>7861</v>
      </c>
      <c r="K968" s="2" t="s">
        <v>7862</v>
      </c>
      <c r="L968" s="2" t="s">
        <v>1627</v>
      </c>
      <c r="M968" s="2" t="s">
        <v>1385</v>
      </c>
      <c r="N968" s="2" t="s">
        <v>1386</v>
      </c>
      <c r="P968" s="2" t="s">
        <v>7863</v>
      </c>
      <c r="R968" s="2" t="s">
        <v>1453</v>
      </c>
      <c r="S968" s="2">
        <v>62.0</v>
      </c>
      <c r="AN968" s="2" t="s">
        <v>1368</v>
      </c>
    </row>
    <row r="969" ht="15.75" customHeight="1">
      <c r="A969" s="2" t="s">
        <v>7864</v>
      </c>
      <c r="B969" s="2" t="s">
        <v>1361</v>
      </c>
      <c r="C969" s="2">
        <v>2014.0</v>
      </c>
      <c r="D969" s="2" t="s">
        <v>7865</v>
      </c>
      <c r="E969" s="2" t="s">
        <v>7866</v>
      </c>
      <c r="F969" s="2" t="s">
        <v>7867</v>
      </c>
      <c r="H969" s="2" t="s">
        <v>7868</v>
      </c>
      <c r="I969" s="2" t="s">
        <v>7869</v>
      </c>
      <c r="K969" s="2" t="s">
        <v>7870</v>
      </c>
      <c r="L969" s="2" t="s">
        <v>2651</v>
      </c>
      <c r="M969" s="2" t="s">
        <v>1385</v>
      </c>
      <c r="N969" s="2" t="s">
        <v>1386</v>
      </c>
      <c r="P969" s="2" t="s">
        <v>7871</v>
      </c>
      <c r="R969" s="2" t="s">
        <v>1937</v>
      </c>
      <c r="S969" s="2">
        <v>54.0</v>
      </c>
      <c r="AN969" s="2" t="s">
        <v>1368</v>
      </c>
    </row>
    <row r="970" ht="15.75" customHeight="1">
      <c r="A970" s="2" t="s">
        <v>7872</v>
      </c>
      <c r="B970" s="2" t="s">
        <v>1361</v>
      </c>
      <c r="C970" s="2">
        <v>2011.0</v>
      </c>
      <c r="D970" s="2" t="s">
        <v>7873</v>
      </c>
      <c r="E970" s="2" t="s">
        <v>7874</v>
      </c>
      <c r="F970" s="2" t="s">
        <v>7875</v>
      </c>
      <c r="H970" s="2" t="s">
        <v>7876</v>
      </c>
      <c r="I970" s="2" t="s">
        <v>7877</v>
      </c>
      <c r="J970" s="2" t="s">
        <v>7878</v>
      </c>
      <c r="K970" s="2" t="s">
        <v>7879</v>
      </c>
      <c r="L970" s="2" t="s">
        <v>3064</v>
      </c>
      <c r="M970" s="2" t="s">
        <v>1385</v>
      </c>
      <c r="N970" s="2" t="s">
        <v>1386</v>
      </c>
      <c r="P970" s="2" t="s">
        <v>7880</v>
      </c>
      <c r="R970" s="2" t="s">
        <v>1453</v>
      </c>
      <c r="S970" s="2">
        <v>49.0</v>
      </c>
      <c r="AN970" s="2" t="s">
        <v>1368</v>
      </c>
    </row>
    <row r="971" ht="15.75" customHeight="1">
      <c r="A971" s="2" t="s">
        <v>7881</v>
      </c>
      <c r="B971" s="2" t="s">
        <v>1361</v>
      </c>
      <c r="C971" s="2">
        <v>1992.0</v>
      </c>
      <c r="D971" s="2" t="s">
        <v>7447</v>
      </c>
      <c r="E971" s="2" t="s">
        <v>7882</v>
      </c>
      <c r="F971" s="2" t="s">
        <v>7883</v>
      </c>
      <c r="L971" s="2" t="s">
        <v>3458</v>
      </c>
      <c r="M971" s="2" t="s">
        <v>1385</v>
      </c>
      <c r="N971" s="2" t="s">
        <v>1386</v>
      </c>
      <c r="AN971" s="2" t="s">
        <v>1368</v>
      </c>
    </row>
    <row r="972" ht="15.75" customHeight="1">
      <c r="A972" s="2" t="s">
        <v>7884</v>
      </c>
      <c r="B972" s="2" t="s">
        <v>1766</v>
      </c>
      <c r="C972" s="2">
        <v>1966.0</v>
      </c>
      <c r="D972" s="2" t="s">
        <v>7447</v>
      </c>
      <c r="E972" s="2" t="s">
        <v>7885</v>
      </c>
      <c r="F972" s="2" t="s">
        <v>7886</v>
      </c>
      <c r="L972" s="2" t="s">
        <v>7887</v>
      </c>
      <c r="M972" s="2" t="s">
        <v>1385</v>
      </c>
      <c r="N972" s="2" t="s">
        <v>1386</v>
      </c>
      <c r="P972" s="2" t="s">
        <v>7888</v>
      </c>
      <c r="AA972" s="2" t="s">
        <v>1771</v>
      </c>
      <c r="AN972" s="2" t="s">
        <v>1368</v>
      </c>
    </row>
    <row r="973" ht="15.75" customHeight="1">
      <c r="A973" s="2" t="s">
        <v>7889</v>
      </c>
      <c r="B973" s="2" t="s">
        <v>1361</v>
      </c>
      <c r="C973" s="2">
        <v>2015.0</v>
      </c>
      <c r="D973" s="2" t="s">
        <v>7890</v>
      </c>
      <c r="E973" s="2" t="s">
        <v>7891</v>
      </c>
      <c r="F973" s="2" t="s">
        <v>7892</v>
      </c>
      <c r="L973" s="2" t="s">
        <v>1373</v>
      </c>
      <c r="M973" s="2" t="s">
        <v>1385</v>
      </c>
      <c r="N973" s="2" t="s">
        <v>1386</v>
      </c>
      <c r="AN973" s="2" t="s">
        <v>1368</v>
      </c>
    </row>
    <row r="974" ht="15.75" customHeight="1">
      <c r="A974" s="2" t="s">
        <v>7893</v>
      </c>
      <c r="B974" s="2" t="s">
        <v>1361</v>
      </c>
      <c r="C974" s="2">
        <v>2014.0</v>
      </c>
      <c r="D974" s="2" t="s">
        <v>7894</v>
      </c>
      <c r="E974" s="2" t="s">
        <v>7895</v>
      </c>
      <c r="L974" s="2" t="s">
        <v>1476</v>
      </c>
      <c r="M974" s="2" t="s">
        <v>1385</v>
      </c>
      <c r="N974" s="2" t="s">
        <v>1386</v>
      </c>
      <c r="AN974" s="2" t="s">
        <v>1368</v>
      </c>
    </row>
    <row r="975" ht="15.75" customHeight="1">
      <c r="A975" s="2" t="s">
        <v>7896</v>
      </c>
      <c r="B975" s="2" t="s">
        <v>1396</v>
      </c>
      <c r="C975" s="2">
        <v>2009.0</v>
      </c>
      <c r="D975" s="2" t="s">
        <v>7447</v>
      </c>
      <c r="E975" s="2" t="s">
        <v>7897</v>
      </c>
      <c r="L975" s="2" t="s">
        <v>1364</v>
      </c>
      <c r="M975" s="2" t="s">
        <v>1385</v>
      </c>
      <c r="N975" s="2" t="s">
        <v>1386</v>
      </c>
      <c r="AA975" s="2" t="s">
        <v>7898</v>
      </c>
      <c r="AN975" s="2" t="s">
        <v>1368</v>
      </c>
    </row>
    <row r="976" ht="15.75" customHeight="1">
      <c r="A976" s="2" t="s">
        <v>7899</v>
      </c>
      <c r="B976" s="2" t="s">
        <v>1781</v>
      </c>
      <c r="C976" s="2">
        <v>2013.0</v>
      </c>
      <c r="D976" s="2" t="s">
        <v>7506</v>
      </c>
      <c r="E976" s="2" t="s">
        <v>7900</v>
      </c>
      <c r="K976" s="2" t="s">
        <v>7901</v>
      </c>
      <c r="L976" s="2" t="s">
        <v>1429</v>
      </c>
      <c r="M976" s="2" t="s">
        <v>1385</v>
      </c>
      <c r="N976" s="2" t="s">
        <v>1386</v>
      </c>
      <c r="AN976" s="2" t="s">
        <v>1368</v>
      </c>
    </row>
    <row r="977" ht="15.75" customHeight="1">
      <c r="A977" s="2" t="s">
        <v>7902</v>
      </c>
      <c r="B977" s="2" t="s">
        <v>1396</v>
      </c>
      <c r="C977" s="2">
        <v>2016.0</v>
      </c>
      <c r="D977" s="2" t="s">
        <v>7447</v>
      </c>
      <c r="E977" s="2" t="s">
        <v>7903</v>
      </c>
      <c r="L977" s="2" t="s">
        <v>1502</v>
      </c>
      <c r="M977" s="2" t="s">
        <v>1385</v>
      </c>
      <c r="N977" s="2" t="s">
        <v>1386</v>
      </c>
      <c r="AN977" s="2" t="s">
        <v>1368</v>
      </c>
    </row>
    <row r="978" ht="15.75" customHeight="1">
      <c r="A978" s="2" t="s">
        <v>7904</v>
      </c>
      <c r="B978" s="2" t="s">
        <v>1781</v>
      </c>
      <c r="C978" s="2">
        <v>2003.0</v>
      </c>
      <c r="D978" s="2" t="s">
        <v>7447</v>
      </c>
      <c r="E978" s="2" t="s">
        <v>7905</v>
      </c>
      <c r="L978" s="2" t="s">
        <v>1606</v>
      </c>
      <c r="M978" s="2" t="s">
        <v>1385</v>
      </c>
      <c r="N978" s="2" t="s">
        <v>1386</v>
      </c>
      <c r="AN978" s="2" t="s">
        <v>1368</v>
      </c>
    </row>
    <row r="979" ht="15.75" customHeight="1">
      <c r="A979" s="2" t="s">
        <v>7906</v>
      </c>
      <c r="B979" s="2" t="s">
        <v>1361</v>
      </c>
      <c r="C979" s="2">
        <v>2018.0</v>
      </c>
      <c r="D979" s="2" t="s">
        <v>7907</v>
      </c>
      <c r="E979" s="2" t="s">
        <v>7908</v>
      </c>
      <c r="F979" s="2" t="s">
        <v>1380</v>
      </c>
      <c r="I979" s="2" t="s">
        <v>7909</v>
      </c>
      <c r="L979" s="2" t="s">
        <v>1420</v>
      </c>
      <c r="M979" s="2" t="s">
        <v>7910</v>
      </c>
      <c r="N979" s="2" t="s">
        <v>7911</v>
      </c>
      <c r="P979" s="2" t="s">
        <v>7912</v>
      </c>
      <c r="R979" s="2">
        <v>7694.0</v>
      </c>
      <c r="S979" s="2">
        <v>555.0</v>
      </c>
      <c r="AN979" s="2" t="s">
        <v>1368</v>
      </c>
    </row>
    <row r="980" ht="15.75" customHeight="1">
      <c r="A980" s="2" t="s">
        <v>7913</v>
      </c>
      <c r="B980" s="2" t="s">
        <v>1361</v>
      </c>
      <c r="C980" s="2">
        <v>2014.0</v>
      </c>
      <c r="D980" s="2" t="s">
        <v>7914</v>
      </c>
      <c r="E980" s="2" t="s">
        <v>7915</v>
      </c>
      <c r="F980" s="2" t="s">
        <v>1380</v>
      </c>
      <c r="H980" s="2" t="s">
        <v>7916</v>
      </c>
      <c r="I980" s="2" t="s">
        <v>7917</v>
      </c>
      <c r="L980" s="2" t="s">
        <v>2651</v>
      </c>
      <c r="M980" s="2" t="s">
        <v>7918</v>
      </c>
      <c r="N980" s="2" t="s">
        <v>7919</v>
      </c>
      <c r="P980" s="2" t="s">
        <v>7920</v>
      </c>
      <c r="R980" s="2">
        <v>7499.0</v>
      </c>
      <c r="S980" s="2">
        <v>509.0</v>
      </c>
      <c r="AN980" s="2" t="s">
        <v>1368</v>
      </c>
    </row>
    <row r="981" ht="15.75" customHeight="1">
      <c r="A981" s="2" t="s">
        <v>7921</v>
      </c>
      <c r="B981" s="2" t="s">
        <v>1361</v>
      </c>
      <c r="C981" s="2">
        <v>2014.0</v>
      </c>
      <c r="D981" s="2" t="s">
        <v>7922</v>
      </c>
      <c r="E981" s="2" t="s">
        <v>7923</v>
      </c>
      <c r="F981" s="2" t="s">
        <v>7924</v>
      </c>
      <c r="I981" s="2" t="s">
        <v>7925</v>
      </c>
      <c r="L981" s="2" t="s">
        <v>1476</v>
      </c>
      <c r="M981" s="2" t="s">
        <v>7926</v>
      </c>
      <c r="N981" s="2" t="s">
        <v>7927</v>
      </c>
      <c r="P981" s="2" t="s">
        <v>7928</v>
      </c>
      <c r="R981" s="2">
        <v>2.0</v>
      </c>
      <c r="S981" s="2">
        <v>49.0</v>
      </c>
      <c r="AN981" s="2" t="s">
        <v>1368</v>
      </c>
    </row>
    <row r="982" ht="15.75" customHeight="1">
      <c r="A982" s="2" t="s">
        <v>7929</v>
      </c>
      <c r="B982" s="2" t="s">
        <v>1361</v>
      </c>
      <c r="C982" s="2">
        <v>2017.0</v>
      </c>
      <c r="D982" s="2" t="s">
        <v>7930</v>
      </c>
      <c r="E982" s="2" t="s">
        <v>7931</v>
      </c>
      <c r="F982" s="2" t="s">
        <v>4215</v>
      </c>
      <c r="I982" s="2" t="s">
        <v>7932</v>
      </c>
      <c r="L982" s="2" t="s">
        <v>1658</v>
      </c>
      <c r="M982" s="2" t="s">
        <v>7933</v>
      </c>
      <c r="N982" s="2" t="s">
        <v>7934</v>
      </c>
      <c r="P982" s="2" t="s">
        <v>7935</v>
      </c>
      <c r="S982" s="2">
        <v>42.0</v>
      </c>
      <c r="AN982" s="2" t="s">
        <v>1368</v>
      </c>
    </row>
    <row r="983" ht="15.75" customHeight="1">
      <c r="A983" s="2" t="s">
        <v>7936</v>
      </c>
      <c r="B983" s="2" t="s">
        <v>1361</v>
      </c>
      <c r="C983" s="2">
        <v>2005.0</v>
      </c>
      <c r="D983" s="2" t="s">
        <v>7937</v>
      </c>
      <c r="E983" s="2" t="s">
        <v>7938</v>
      </c>
      <c r="F983" s="2" t="s">
        <v>1510</v>
      </c>
      <c r="I983" s="2" t="s">
        <v>7939</v>
      </c>
      <c r="L983" s="2" t="s">
        <v>1394</v>
      </c>
      <c r="M983" s="2" t="s">
        <v>7940</v>
      </c>
      <c r="N983" s="2" t="s">
        <v>7941</v>
      </c>
      <c r="R983" s="2">
        <v>5718.0</v>
      </c>
      <c r="S983" s="2">
        <v>308.0</v>
      </c>
      <c r="AN983" s="2" t="s">
        <v>1368</v>
      </c>
    </row>
    <row r="984" ht="15.75" customHeight="1">
      <c r="A984" s="2" t="s">
        <v>7942</v>
      </c>
      <c r="B984" s="2" t="s">
        <v>1361</v>
      </c>
      <c r="C984" s="2">
        <v>2001.0</v>
      </c>
      <c r="D984" s="2" t="s">
        <v>7943</v>
      </c>
      <c r="E984" s="2" t="s">
        <v>7944</v>
      </c>
      <c r="F984" s="2" t="s">
        <v>1863</v>
      </c>
      <c r="H984" s="2" t="s">
        <v>1864</v>
      </c>
      <c r="I984" s="2" t="s">
        <v>7945</v>
      </c>
      <c r="K984" s="2" t="s">
        <v>7946</v>
      </c>
      <c r="L984" s="2" t="s">
        <v>1414</v>
      </c>
      <c r="M984" s="2" t="s">
        <v>1385</v>
      </c>
      <c r="N984" s="2" t="s">
        <v>1386</v>
      </c>
      <c r="P984" s="2" t="s">
        <v>7947</v>
      </c>
      <c r="R984" s="2">
        <v>11.0</v>
      </c>
      <c r="S984" s="2">
        <v>29.0</v>
      </c>
      <c r="AN984" s="2" t="s">
        <v>1368</v>
      </c>
    </row>
    <row r="985" ht="15.75" customHeight="1">
      <c r="A985" s="2" t="s">
        <v>7948</v>
      </c>
      <c r="B985" s="2" t="s">
        <v>1361</v>
      </c>
      <c r="C985" s="2">
        <v>2012.0</v>
      </c>
      <c r="D985" s="2" t="s">
        <v>7949</v>
      </c>
      <c r="E985" s="2" t="s">
        <v>7950</v>
      </c>
      <c r="F985" s="2" t="s">
        <v>6894</v>
      </c>
      <c r="H985" s="2" t="s">
        <v>4563</v>
      </c>
      <c r="I985" s="2" t="s">
        <v>7951</v>
      </c>
      <c r="K985" s="2" t="s">
        <v>7952</v>
      </c>
      <c r="L985" s="2" t="s">
        <v>1405</v>
      </c>
      <c r="M985" s="2" t="s">
        <v>1385</v>
      </c>
      <c r="N985" s="2" t="s">
        <v>1386</v>
      </c>
      <c r="P985" s="2" t="s">
        <v>7953</v>
      </c>
      <c r="R985" s="2">
        <v>1.0</v>
      </c>
      <c r="S985" s="2">
        <v>46.0</v>
      </c>
      <c r="AN985" s="2" t="s">
        <v>1368</v>
      </c>
    </row>
    <row r="986" ht="15.75" customHeight="1">
      <c r="A986" s="2" t="s">
        <v>7954</v>
      </c>
      <c r="B986" s="2" t="s">
        <v>1361</v>
      </c>
      <c r="C986" s="2">
        <v>2015.0</v>
      </c>
      <c r="D986" s="2" t="s">
        <v>7955</v>
      </c>
      <c r="E986" s="2" t="s">
        <v>7956</v>
      </c>
      <c r="F986" s="2" t="s">
        <v>2650</v>
      </c>
      <c r="H986" s="2" t="s">
        <v>4293</v>
      </c>
      <c r="I986" s="2" t="s">
        <v>7957</v>
      </c>
      <c r="L986" s="2" t="s">
        <v>1373</v>
      </c>
      <c r="M986" s="2" t="s">
        <v>1385</v>
      </c>
      <c r="N986" s="2" t="s">
        <v>1386</v>
      </c>
      <c r="P986" s="2" t="s">
        <v>7958</v>
      </c>
      <c r="R986" s="2">
        <v>3.0</v>
      </c>
      <c r="S986" s="2">
        <v>5.0</v>
      </c>
      <c r="AN986" s="2" t="s">
        <v>1368</v>
      </c>
    </row>
    <row r="987" ht="15.75" customHeight="1">
      <c r="A987" s="2" t="s">
        <v>7959</v>
      </c>
      <c r="B987" s="2" t="s">
        <v>1766</v>
      </c>
      <c r="C987" s="2">
        <v>2007.0</v>
      </c>
      <c r="D987" s="2" t="s">
        <v>7960</v>
      </c>
      <c r="E987" s="2" t="s">
        <v>7961</v>
      </c>
      <c r="F987" s="2" t="s">
        <v>7962</v>
      </c>
      <c r="G987" s="2" t="s">
        <v>7963</v>
      </c>
      <c r="K987" s="2" t="s">
        <v>7964</v>
      </c>
      <c r="L987" s="2" t="s">
        <v>2380</v>
      </c>
      <c r="M987" s="2" t="s">
        <v>1385</v>
      </c>
      <c r="N987" s="2" t="s">
        <v>1386</v>
      </c>
      <c r="P987" s="2" t="s">
        <v>7965</v>
      </c>
      <c r="AA987" s="2" t="s">
        <v>7966</v>
      </c>
      <c r="AN987" s="2" t="s">
        <v>1368</v>
      </c>
      <c r="AP987" s="2" t="s">
        <v>7967</v>
      </c>
    </row>
    <row r="988" ht="15.75" customHeight="1">
      <c r="A988" s="2" t="s">
        <v>7968</v>
      </c>
      <c r="B988" s="2" t="s">
        <v>1396</v>
      </c>
      <c r="C988" s="2">
        <v>1996.0</v>
      </c>
      <c r="D988" s="2" t="s">
        <v>7969</v>
      </c>
      <c r="E988" s="2" t="s">
        <v>7970</v>
      </c>
      <c r="L988" s="2" t="s">
        <v>2492</v>
      </c>
      <c r="M988" s="2" t="s">
        <v>1385</v>
      </c>
      <c r="N988" s="2" t="s">
        <v>1386</v>
      </c>
      <c r="AA988" s="2" t="s">
        <v>3197</v>
      </c>
      <c r="AN988" s="2" t="s">
        <v>1368</v>
      </c>
    </row>
    <row r="989" ht="15.75" customHeight="1">
      <c r="A989" s="2" t="s">
        <v>7971</v>
      </c>
      <c r="B989" s="2" t="s">
        <v>1361</v>
      </c>
      <c r="C989" s="2">
        <v>2005.0</v>
      </c>
      <c r="D989" s="2" t="s">
        <v>7972</v>
      </c>
      <c r="E989" s="2" t="s">
        <v>7973</v>
      </c>
      <c r="F989" s="2" t="s">
        <v>1474</v>
      </c>
      <c r="I989" s="2" t="s">
        <v>7974</v>
      </c>
      <c r="L989" s="2" t="s">
        <v>1394</v>
      </c>
      <c r="M989" s="2" t="s">
        <v>7975</v>
      </c>
      <c r="N989" s="2" t="s">
        <v>7976</v>
      </c>
      <c r="P989" s="2" t="s">
        <v>7977</v>
      </c>
      <c r="AN989" s="2" t="s">
        <v>1368</v>
      </c>
    </row>
    <row r="990" ht="15.75" customHeight="1">
      <c r="A990" s="2" t="s">
        <v>7978</v>
      </c>
      <c r="B990" s="2" t="s">
        <v>1361</v>
      </c>
      <c r="C990" s="2">
        <v>2007.0</v>
      </c>
      <c r="D990" s="2" t="s">
        <v>7979</v>
      </c>
      <c r="E990" s="2" t="s">
        <v>7980</v>
      </c>
      <c r="F990" s="2" t="s">
        <v>5741</v>
      </c>
      <c r="I990" s="2" t="s">
        <v>7981</v>
      </c>
      <c r="L990" s="2" t="s">
        <v>2380</v>
      </c>
      <c r="M990" s="2" t="s">
        <v>7982</v>
      </c>
      <c r="N990" s="2" t="s">
        <v>7983</v>
      </c>
      <c r="P990" s="2" t="s">
        <v>7984</v>
      </c>
      <c r="R990" s="2" t="s">
        <v>1462</v>
      </c>
      <c r="S990" s="2">
        <v>53.0</v>
      </c>
      <c r="AN990" s="2" t="s">
        <v>1368</v>
      </c>
    </row>
    <row r="991" ht="15.75" customHeight="1">
      <c r="A991" s="2" t="s">
        <v>7985</v>
      </c>
      <c r="B991" s="2" t="s">
        <v>1361</v>
      </c>
      <c r="C991" s="2">
        <v>1986.0</v>
      </c>
      <c r="D991" s="2" t="s">
        <v>5326</v>
      </c>
      <c r="E991" s="2" t="s">
        <v>7986</v>
      </c>
      <c r="F991" s="2" t="s">
        <v>7987</v>
      </c>
      <c r="I991" s="2" t="s">
        <v>7988</v>
      </c>
      <c r="L991" s="2" t="s">
        <v>3288</v>
      </c>
      <c r="M991" s="2" t="s">
        <v>7989</v>
      </c>
      <c r="N991" s="2" t="s">
        <v>7990</v>
      </c>
      <c r="P991" s="2" t="s">
        <v>7991</v>
      </c>
      <c r="R991" s="2" t="s">
        <v>1600</v>
      </c>
      <c r="S991" s="2">
        <v>10.0</v>
      </c>
      <c r="AN991" s="2" t="s">
        <v>1368</v>
      </c>
    </row>
    <row r="992" ht="15.75" customHeight="1">
      <c r="A992" s="2" t="s">
        <v>7992</v>
      </c>
      <c r="B992" s="2" t="s">
        <v>1361</v>
      </c>
      <c r="C992" s="2">
        <v>1998.0</v>
      </c>
      <c r="D992" s="2" t="s">
        <v>7993</v>
      </c>
      <c r="E992" s="2" t="s">
        <v>7994</v>
      </c>
      <c r="F992" s="2" t="s">
        <v>7995</v>
      </c>
      <c r="L992" s="2" t="s">
        <v>1958</v>
      </c>
      <c r="M992" s="2" t="s">
        <v>7996</v>
      </c>
      <c r="N992" s="2" t="s">
        <v>7997</v>
      </c>
      <c r="R992" s="2" t="s">
        <v>7998</v>
      </c>
      <c r="S992" s="2">
        <v>35.0</v>
      </c>
      <c r="AN992" s="2" t="s">
        <v>1368</v>
      </c>
    </row>
    <row r="993" ht="15.75" customHeight="1">
      <c r="A993" s="2" t="s">
        <v>7999</v>
      </c>
      <c r="B993" s="2" t="s">
        <v>1361</v>
      </c>
      <c r="C993" s="2">
        <v>2014.0</v>
      </c>
      <c r="D993" s="2" t="s">
        <v>8000</v>
      </c>
      <c r="E993" s="2" t="s">
        <v>8001</v>
      </c>
      <c r="F993" s="2" t="s">
        <v>2205</v>
      </c>
      <c r="H993" s="2" t="s">
        <v>2206</v>
      </c>
      <c r="I993" s="2" t="s">
        <v>8002</v>
      </c>
      <c r="J993" s="2" t="s">
        <v>8003</v>
      </c>
      <c r="L993" s="2" t="s">
        <v>8004</v>
      </c>
      <c r="M993" s="2" t="s">
        <v>8005</v>
      </c>
      <c r="N993" s="2" t="s">
        <v>8006</v>
      </c>
      <c r="O993" s="2" t="s">
        <v>8007</v>
      </c>
      <c r="P993" s="2" t="s">
        <v>8008</v>
      </c>
      <c r="S993" s="2">
        <v>50.0</v>
      </c>
      <c r="U993" s="2" t="s">
        <v>2205</v>
      </c>
      <c r="V993" s="2" t="s">
        <v>8009</v>
      </c>
      <c r="AC993" s="2" t="s">
        <v>1540</v>
      </c>
      <c r="AH993" s="2" t="s">
        <v>1541</v>
      </c>
      <c r="AN993" s="2" t="s">
        <v>1872</v>
      </c>
    </row>
    <row r="994" ht="15.75" customHeight="1">
      <c r="A994" s="2" t="s">
        <v>8010</v>
      </c>
      <c r="B994" s="2" t="s">
        <v>1361</v>
      </c>
      <c r="C994" s="2">
        <v>2010.0</v>
      </c>
      <c r="D994" s="2" t="s">
        <v>8011</v>
      </c>
      <c r="E994" s="2" t="s">
        <v>8012</v>
      </c>
      <c r="F994" s="2" t="s">
        <v>1484</v>
      </c>
      <c r="H994" s="2" t="s">
        <v>3119</v>
      </c>
      <c r="I994" s="2" t="s">
        <v>8013</v>
      </c>
      <c r="J994" s="2" t="s">
        <v>8014</v>
      </c>
      <c r="L994" s="2" t="s">
        <v>8015</v>
      </c>
      <c r="M994" s="2" t="s">
        <v>8016</v>
      </c>
      <c r="N994" s="2" t="s">
        <v>8017</v>
      </c>
      <c r="O994" s="2" t="s">
        <v>8018</v>
      </c>
      <c r="P994" s="2" t="s">
        <v>8019</v>
      </c>
      <c r="R994" s="2" t="s">
        <v>1937</v>
      </c>
      <c r="S994" s="2">
        <v>143.0</v>
      </c>
      <c r="U994" s="2" t="s">
        <v>1484</v>
      </c>
      <c r="V994" s="2" t="s">
        <v>8020</v>
      </c>
      <c r="AC994" s="2" t="s">
        <v>1540</v>
      </c>
      <c r="AH994" s="2" t="s">
        <v>1541</v>
      </c>
      <c r="AN994" s="2" t="s">
        <v>8021</v>
      </c>
    </row>
    <row r="995" ht="15.75" customHeight="1">
      <c r="A995" s="2" t="s">
        <v>8022</v>
      </c>
      <c r="B995" s="2" t="s">
        <v>1396</v>
      </c>
      <c r="C995" s="2">
        <v>2012.0</v>
      </c>
      <c r="D995" s="2" t="s">
        <v>5326</v>
      </c>
      <c r="E995" s="2" t="s">
        <v>8023</v>
      </c>
      <c r="L995" s="2" t="s">
        <v>1405</v>
      </c>
      <c r="M995" s="2" t="s">
        <v>1562</v>
      </c>
      <c r="N995" s="2" t="s">
        <v>1563</v>
      </c>
      <c r="Q995" s="2">
        <v>563.0</v>
      </c>
      <c r="AA995" s="2" t="s">
        <v>2441</v>
      </c>
      <c r="AB995" s="2" t="s">
        <v>5295</v>
      </c>
      <c r="AN995" s="2" t="s">
        <v>8024</v>
      </c>
    </row>
    <row r="996" ht="15.75" customHeight="1">
      <c r="A996" s="2" t="s">
        <v>8025</v>
      </c>
      <c r="B996" s="2" t="s">
        <v>1361</v>
      </c>
      <c r="C996" s="2">
        <v>2016.0</v>
      </c>
      <c r="D996" s="2" t="s">
        <v>8026</v>
      </c>
      <c r="E996" s="2" t="s">
        <v>8027</v>
      </c>
      <c r="F996" s="2" t="s">
        <v>2053</v>
      </c>
      <c r="H996" s="2" t="s">
        <v>8028</v>
      </c>
      <c r="I996" s="2" t="s">
        <v>8029</v>
      </c>
      <c r="K996" s="2" t="s">
        <v>8030</v>
      </c>
      <c r="L996" s="2" t="s">
        <v>1502</v>
      </c>
      <c r="M996" s="2" t="s">
        <v>1385</v>
      </c>
      <c r="N996" s="2" t="s">
        <v>1386</v>
      </c>
      <c r="P996" s="2" t="s">
        <v>8031</v>
      </c>
      <c r="R996" s="2" t="s">
        <v>2646</v>
      </c>
      <c r="S996" s="2">
        <v>14.0</v>
      </c>
      <c r="AN996" s="2" t="s">
        <v>1621</v>
      </c>
    </row>
    <row r="997" ht="15.75" customHeight="1">
      <c r="A997" s="2" t="s">
        <v>8032</v>
      </c>
      <c r="B997" s="2" t="s">
        <v>1361</v>
      </c>
      <c r="C997" s="2">
        <v>2004.0</v>
      </c>
      <c r="D997" s="2" t="s">
        <v>8033</v>
      </c>
      <c r="E997" s="2" t="s">
        <v>8034</v>
      </c>
      <c r="F997" s="2" t="s">
        <v>8035</v>
      </c>
      <c r="H997" s="2" t="s">
        <v>8036</v>
      </c>
      <c r="I997" s="2" t="s">
        <v>8037</v>
      </c>
      <c r="K997" s="2" t="s">
        <v>8038</v>
      </c>
      <c r="L997" s="2" t="s">
        <v>2373</v>
      </c>
      <c r="M997" s="2" t="s">
        <v>1385</v>
      </c>
      <c r="N997" s="2" t="s">
        <v>1386</v>
      </c>
      <c r="AN997" s="2" t="s">
        <v>1368</v>
      </c>
    </row>
    <row r="998" ht="15.75" customHeight="1">
      <c r="A998" s="2" t="s">
        <v>8039</v>
      </c>
      <c r="B998" s="2" t="s">
        <v>1361</v>
      </c>
      <c r="C998" s="2">
        <v>2013.0</v>
      </c>
      <c r="D998" s="2" t="s">
        <v>8040</v>
      </c>
      <c r="E998" s="2" t="s">
        <v>8041</v>
      </c>
      <c r="F998" s="2" t="s">
        <v>3689</v>
      </c>
      <c r="H998" s="2" t="s">
        <v>3690</v>
      </c>
      <c r="I998" s="2" t="s">
        <v>8042</v>
      </c>
      <c r="K998" s="2" t="s">
        <v>8043</v>
      </c>
      <c r="L998" s="2" t="s">
        <v>1429</v>
      </c>
      <c r="M998" s="2" t="s">
        <v>1385</v>
      </c>
      <c r="N998" s="2" t="s">
        <v>1386</v>
      </c>
      <c r="P998" s="2" t="s">
        <v>8044</v>
      </c>
      <c r="R998" s="2" t="s">
        <v>1462</v>
      </c>
      <c r="S998" s="2">
        <v>5.0</v>
      </c>
      <c r="AN998" s="2" t="s">
        <v>1368</v>
      </c>
    </row>
    <row r="999" ht="15.75" customHeight="1">
      <c r="A999" s="2" t="s">
        <v>8045</v>
      </c>
      <c r="B999" s="2" t="s">
        <v>1361</v>
      </c>
      <c r="C999" s="2">
        <v>2001.0</v>
      </c>
      <c r="D999" s="2" t="s">
        <v>8046</v>
      </c>
      <c r="E999" s="2" t="s">
        <v>8047</v>
      </c>
      <c r="F999" s="2" t="s">
        <v>8048</v>
      </c>
      <c r="I999" s="2" t="s">
        <v>8049</v>
      </c>
      <c r="L999" s="2" t="s">
        <v>1414</v>
      </c>
      <c r="M999" s="2" t="s">
        <v>8050</v>
      </c>
      <c r="N999" s="2" t="s">
        <v>8051</v>
      </c>
      <c r="P999" s="2" t="s">
        <v>8052</v>
      </c>
      <c r="R999" s="2">
        <v>4.0</v>
      </c>
      <c r="S999" s="2">
        <v>19.0</v>
      </c>
      <c r="AN999" s="2" t="s">
        <v>1368</v>
      </c>
    </row>
    <row r="1000" ht="15.75" customHeight="1">
      <c r="A1000" s="2" t="s">
        <v>8053</v>
      </c>
      <c r="B1000" s="2" t="s">
        <v>1361</v>
      </c>
      <c r="C1000" s="2">
        <v>2015.0</v>
      </c>
      <c r="D1000" s="2" t="s">
        <v>8054</v>
      </c>
      <c r="E1000" s="2" t="s">
        <v>8055</v>
      </c>
      <c r="F1000" s="2" t="s">
        <v>8056</v>
      </c>
      <c r="I1000" s="2" t="s">
        <v>8057</v>
      </c>
      <c r="L1000" s="2" t="s">
        <v>1373</v>
      </c>
      <c r="M1000" s="2" t="s">
        <v>8058</v>
      </c>
      <c r="N1000" s="2" t="s">
        <v>8059</v>
      </c>
      <c r="P1000" s="2" t="s">
        <v>8060</v>
      </c>
      <c r="R1000" s="2">
        <v>7.0</v>
      </c>
      <c r="S1000" s="2">
        <v>26.0</v>
      </c>
      <c r="AN1000" s="2" t="s">
        <v>1368</v>
      </c>
    </row>
    <row r="1001" ht="15.75" customHeight="1">
      <c r="A1001" s="2" t="s">
        <v>8061</v>
      </c>
      <c r="B1001" s="2" t="s">
        <v>1361</v>
      </c>
      <c r="C1001" s="2">
        <v>2009.0</v>
      </c>
      <c r="D1001" s="2" t="s">
        <v>8062</v>
      </c>
      <c r="E1001" s="2" t="s">
        <v>8063</v>
      </c>
      <c r="F1001" s="2" t="s">
        <v>1863</v>
      </c>
      <c r="I1001" s="2" t="s">
        <v>8064</v>
      </c>
      <c r="L1001" s="2" t="s">
        <v>1364</v>
      </c>
      <c r="M1001" s="2" t="s">
        <v>8065</v>
      </c>
      <c r="N1001" s="2" t="s">
        <v>8066</v>
      </c>
      <c r="P1001" s="2" t="s">
        <v>8067</v>
      </c>
      <c r="R1001" s="2">
        <v>12.0</v>
      </c>
      <c r="S1001" s="2">
        <v>37.0</v>
      </c>
      <c r="AN1001" s="2" t="s">
        <v>1368</v>
      </c>
    </row>
    <row r="1002" ht="15.75" customHeight="1">
      <c r="A1002" s="2" t="s">
        <v>8068</v>
      </c>
      <c r="B1002" s="2" t="s">
        <v>1361</v>
      </c>
      <c r="C1002" s="2">
        <v>2007.0</v>
      </c>
      <c r="D1002" s="2" t="s">
        <v>8069</v>
      </c>
      <c r="E1002" s="2" t="s">
        <v>8070</v>
      </c>
      <c r="F1002" s="2" t="s">
        <v>8071</v>
      </c>
      <c r="I1002" s="2" t="s">
        <v>8072</v>
      </c>
      <c r="K1002" s="2" t="s">
        <v>8073</v>
      </c>
      <c r="L1002" s="2" t="s">
        <v>2380</v>
      </c>
      <c r="M1002" s="2" t="s">
        <v>8074</v>
      </c>
      <c r="N1002" s="2" t="s">
        <v>8075</v>
      </c>
      <c r="AN1002" s="2" t="s">
        <v>1368</v>
      </c>
    </row>
    <row r="1003" ht="15.75" customHeight="1">
      <c r="A1003" s="2" t="s">
        <v>8076</v>
      </c>
      <c r="B1003" s="2" t="s">
        <v>1361</v>
      </c>
      <c r="C1003" s="2">
        <v>2010.0</v>
      </c>
      <c r="D1003" s="2" t="s">
        <v>8077</v>
      </c>
      <c r="E1003" s="2" t="s">
        <v>8078</v>
      </c>
      <c r="F1003" s="2" t="s">
        <v>1510</v>
      </c>
      <c r="I1003" s="2" t="s">
        <v>917</v>
      </c>
      <c r="L1003" s="2" t="s">
        <v>1449</v>
      </c>
      <c r="M1003" s="2" t="s">
        <v>8079</v>
      </c>
      <c r="N1003" s="2" t="s">
        <v>8080</v>
      </c>
      <c r="P1003" s="2" t="s">
        <v>8081</v>
      </c>
      <c r="R1003" s="2">
        <v>5964.0</v>
      </c>
      <c r="S1003" s="2">
        <v>327.0</v>
      </c>
      <c r="AN1003" s="2" t="s">
        <v>1368</v>
      </c>
    </row>
    <row r="1004" ht="15.75" customHeight="1">
      <c r="A1004" s="2" t="s">
        <v>8082</v>
      </c>
      <c r="B1004" s="2" t="s">
        <v>1361</v>
      </c>
      <c r="C1004" s="2">
        <v>2013.0</v>
      </c>
      <c r="D1004" s="2" t="s">
        <v>8083</v>
      </c>
      <c r="E1004" s="2" t="s">
        <v>580</v>
      </c>
      <c r="F1004" s="2" t="s">
        <v>1688</v>
      </c>
      <c r="H1004" s="2" t="s">
        <v>2892</v>
      </c>
      <c r="I1004" s="2" t="s">
        <v>582</v>
      </c>
      <c r="J1004" s="2" t="s">
        <v>8084</v>
      </c>
      <c r="K1004" s="2" t="s">
        <v>581</v>
      </c>
      <c r="L1004" s="2" t="s">
        <v>8085</v>
      </c>
      <c r="M1004" s="2" t="s">
        <v>8086</v>
      </c>
      <c r="N1004" s="2" t="s">
        <v>8087</v>
      </c>
      <c r="O1004" s="2" t="s">
        <v>8088</v>
      </c>
      <c r="P1004" s="2" t="s">
        <v>8089</v>
      </c>
      <c r="R1004" s="2">
        <v>27.0</v>
      </c>
      <c r="S1004" s="2">
        <v>110.0</v>
      </c>
      <c r="U1004" s="2" t="s">
        <v>2901</v>
      </c>
      <c r="AC1004" s="2" t="s">
        <v>1540</v>
      </c>
      <c r="AH1004" s="2" t="s">
        <v>1541</v>
      </c>
      <c r="AN1004" s="2" t="s">
        <v>1885</v>
      </c>
    </row>
    <row r="1005" ht="15.75" customHeight="1">
      <c r="A1005" s="2" t="s">
        <v>8090</v>
      </c>
      <c r="B1005" s="2" t="s">
        <v>1361</v>
      </c>
      <c r="C1005" s="2">
        <v>2018.0</v>
      </c>
      <c r="D1005" s="2" t="s">
        <v>8091</v>
      </c>
      <c r="E1005" s="2" t="s">
        <v>8092</v>
      </c>
      <c r="F1005" s="2" t="s">
        <v>8093</v>
      </c>
      <c r="H1005" s="2" t="s">
        <v>8094</v>
      </c>
      <c r="I1005" s="2" t="s">
        <v>8095</v>
      </c>
      <c r="J1005" s="2" t="s">
        <v>8096</v>
      </c>
      <c r="K1005" s="2" t="s">
        <v>8097</v>
      </c>
      <c r="L1005" s="2" t="s">
        <v>8098</v>
      </c>
      <c r="M1005" s="2" t="s">
        <v>8099</v>
      </c>
      <c r="N1005" s="2" t="s">
        <v>8100</v>
      </c>
      <c r="R1005" s="2">
        <v>1885.0</v>
      </c>
      <c r="S1005" s="2">
        <v>285.0</v>
      </c>
      <c r="U1005" s="2" t="s">
        <v>8101</v>
      </c>
      <c r="AC1005" s="2" t="s">
        <v>8102</v>
      </c>
      <c r="AD1005" s="2" t="s">
        <v>8103</v>
      </c>
      <c r="AJ1005" s="2" t="s">
        <v>8104</v>
      </c>
      <c r="AN1005" s="2" t="s">
        <v>2169</v>
      </c>
    </row>
    <row r="1006" ht="15.75" customHeight="1">
      <c r="A1006" s="2" t="s">
        <v>8105</v>
      </c>
      <c r="B1006" s="2" t="s">
        <v>1361</v>
      </c>
      <c r="C1006" s="2">
        <v>1995.0</v>
      </c>
      <c r="D1006" s="2" t="s">
        <v>8106</v>
      </c>
      <c r="E1006" s="2" t="s">
        <v>8107</v>
      </c>
      <c r="F1006" s="2" t="s">
        <v>2665</v>
      </c>
      <c r="I1006" s="2" t="s">
        <v>8108</v>
      </c>
      <c r="K1006" s="2" t="s">
        <v>8109</v>
      </c>
      <c r="L1006" s="2" t="s">
        <v>2089</v>
      </c>
      <c r="M1006" s="2" t="s">
        <v>1385</v>
      </c>
      <c r="N1006" s="2" t="s">
        <v>1386</v>
      </c>
      <c r="P1006" s="2" t="s">
        <v>8110</v>
      </c>
      <c r="R1006" s="2">
        <v>3.0</v>
      </c>
      <c r="S1006" s="2">
        <v>23.0</v>
      </c>
      <c r="AC1006" s="2" t="s">
        <v>3263</v>
      </c>
      <c r="AN1006" s="2" t="s">
        <v>1368</v>
      </c>
    </row>
    <row r="1007" ht="15.75" customHeight="1">
      <c r="A1007" s="2" t="s">
        <v>8111</v>
      </c>
      <c r="B1007" s="2" t="s">
        <v>1361</v>
      </c>
      <c r="C1007" s="2">
        <v>2008.0</v>
      </c>
      <c r="D1007" s="2" t="s">
        <v>8112</v>
      </c>
      <c r="E1007" s="2" t="s">
        <v>8113</v>
      </c>
      <c r="F1007" s="2" t="s">
        <v>8114</v>
      </c>
      <c r="I1007" s="2" t="s">
        <v>8115</v>
      </c>
      <c r="L1007" s="2" t="s">
        <v>1458</v>
      </c>
      <c r="M1007" s="2" t="s">
        <v>1385</v>
      </c>
      <c r="N1007" s="2" t="s">
        <v>1386</v>
      </c>
      <c r="S1007" s="2">
        <v>10.0</v>
      </c>
      <c r="AN1007" s="2" t="s">
        <v>1368</v>
      </c>
    </row>
    <row r="1008" ht="15.75" customHeight="1">
      <c r="A1008" s="2" t="s">
        <v>8116</v>
      </c>
      <c r="B1008" s="2" t="s">
        <v>1361</v>
      </c>
      <c r="C1008" s="2">
        <v>2005.0</v>
      </c>
      <c r="D1008" s="2" t="s">
        <v>8117</v>
      </c>
      <c r="E1008" s="2" t="s">
        <v>8118</v>
      </c>
      <c r="F1008" s="2" t="s">
        <v>1863</v>
      </c>
      <c r="H1008" s="2" t="s">
        <v>1864</v>
      </c>
      <c r="I1008" s="2" t="s">
        <v>8119</v>
      </c>
      <c r="K1008" s="2" t="s">
        <v>8120</v>
      </c>
      <c r="L1008" s="2" t="s">
        <v>8121</v>
      </c>
      <c r="M1008" s="2" t="s">
        <v>1385</v>
      </c>
      <c r="N1008" s="2" t="s">
        <v>1386</v>
      </c>
      <c r="P1008" s="2" t="s">
        <v>8122</v>
      </c>
      <c r="R1008" s="2">
        <v>9.0</v>
      </c>
      <c r="S1008" s="2">
        <v>33.0</v>
      </c>
      <c r="AN1008" s="2" t="s">
        <v>1368</v>
      </c>
    </row>
    <row r="1009" ht="15.75" customHeight="1">
      <c r="A1009" s="2" t="s">
        <v>8123</v>
      </c>
      <c r="B1009" s="2" t="s">
        <v>1361</v>
      </c>
      <c r="C1009" s="2">
        <v>2007.0</v>
      </c>
      <c r="D1009" s="2" t="s">
        <v>8124</v>
      </c>
      <c r="E1009" s="2" t="s">
        <v>8125</v>
      </c>
      <c r="F1009" s="2" t="s">
        <v>8126</v>
      </c>
      <c r="I1009" s="2" t="s">
        <v>8127</v>
      </c>
      <c r="L1009" s="2">
        <v>2007.0</v>
      </c>
      <c r="M1009" s="2" t="s">
        <v>8128</v>
      </c>
      <c r="N1009" s="2" t="s">
        <v>8129</v>
      </c>
      <c r="P1009" s="2" t="s">
        <v>8130</v>
      </c>
      <c r="R1009" s="2" t="s">
        <v>1453</v>
      </c>
      <c r="S1009" s="2">
        <v>22.0</v>
      </c>
      <c r="AN1009" s="2" t="s">
        <v>1368</v>
      </c>
    </row>
    <row r="1010" ht="15.75" customHeight="1">
      <c r="A1010" s="2" t="s">
        <v>8131</v>
      </c>
      <c r="B1010" s="2" t="s">
        <v>1361</v>
      </c>
      <c r="C1010" s="2">
        <v>2006.0</v>
      </c>
      <c r="D1010" s="2" t="s">
        <v>8132</v>
      </c>
      <c r="E1010" s="2" t="s">
        <v>8133</v>
      </c>
      <c r="F1010" s="2" t="s">
        <v>8134</v>
      </c>
      <c r="L1010" s="2">
        <v>2006.0</v>
      </c>
      <c r="M1010" s="2" t="s">
        <v>8135</v>
      </c>
      <c r="N1010" s="2" t="s">
        <v>8136</v>
      </c>
      <c r="P1010" s="2" t="s">
        <v>8137</v>
      </c>
      <c r="R1010" s="2" t="s">
        <v>1462</v>
      </c>
      <c r="S1010" s="2">
        <v>13.0</v>
      </c>
      <c r="AN1010" s="2" t="s">
        <v>1368</v>
      </c>
    </row>
    <row r="1011" ht="15.75" customHeight="1">
      <c r="A1011" s="2" t="s">
        <v>8138</v>
      </c>
      <c r="B1011" s="2" t="s">
        <v>1361</v>
      </c>
      <c r="C1011" s="2">
        <v>2012.0</v>
      </c>
      <c r="D1011" s="2" t="s">
        <v>8139</v>
      </c>
      <c r="E1011" s="2" t="s">
        <v>8140</v>
      </c>
      <c r="F1011" s="2" t="s">
        <v>1466</v>
      </c>
      <c r="I1011" s="2" t="s">
        <v>8141</v>
      </c>
      <c r="L1011" s="2">
        <v>2012.0</v>
      </c>
      <c r="M1011" s="2" t="s">
        <v>8142</v>
      </c>
      <c r="N1011" s="2" t="s">
        <v>8143</v>
      </c>
      <c r="P1011" s="2" t="s">
        <v>8144</v>
      </c>
      <c r="R1011" s="2" t="s">
        <v>1462</v>
      </c>
      <c r="S1011" s="2">
        <v>29.0</v>
      </c>
      <c r="AN1011" s="2" t="s">
        <v>1368</v>
      </c>
    </row>
    <row r="1012" ht="15.75" customHeight="1">
      <c r="A1012" s="2" t="s">
        <v>8145</v>
      </c>
      <c r="B1012" s="2" t="s">
        <v>1361</v>
      </c>
      <c r="C1012" s="2">
        <v>2013.0</v>
      </c>
      <c r="D1012" s="2" t="s">
        <v>8146</v>
      </c>
      <c r="E1012" s="2" t="s">
        <v>8147</v>
      </c>
      <c r="F1012" s="2" t="s">
        <v>8148</v>
      </c>
      <c r="I1012" s="2" t="s">
        <v>8149</v>
      </c>
      <c r="L1012" s="2">
        <v>2013.0</v>
      </c>
      <c r="M1012" s="2" t="s">
        <v>8150</v>
      </c>
      <c r="N1012" s="2" t="s">
        <v>8151</v>
      </c>
      <c r="P1012" s="2" t="s">
        <v>8152</v>
      </c>
      <c r="R1012" s="2" t="s">
        <v>1480</v>
      </c>
      <c r="S1012" s="2">
        <v>29.0</v>
      </c>
      <c r="AN1012" s="2" t="s">
        <v>1368</v>
      </c>
    </row>
    <row r="1013" ht="15.75" customHeight="1">
      <c r="A1013" s="2" t="s">
        <v>8153</v>
      </c>
      <c r="B1013" s="2" t="s">
        <v>1361</v>
      </c>
      <c r="C1013" s="2">
        <v>1997.0</v>
      </c>
      <c r="D1013" s="2" t="s">
        <v>8154</v>
      </c>
      <c r="E1013" s="2" t="s">
        <v>8155</v>
      </c>
      <c r="F1013" s="2" t="s">
        <v>8156</v>
      </c>
      <c r="I1013" s="2" t="s">
        <v>8157</v>
      </c>
      <c r="L1013" s="2">
        <v>1997.0</v>
      </c>
      <c r="M1013" s="2" t="s">
        <v>8158</v>
      </c>
      <c r="N1013" s="2" t="s">
        <v>8159</v>
      </c>
      <c r="P1013" s="2" t="s">
        <v>8160</v>
      </c>
      <c r="AN1013" s="2" t="s">
        <v>1368</v>
      </c>
    </row>
    <row r="1014" ht="15.75" customHeight="1">
      <c r="A1014" s="2" t="s">
        <v>8161</v>
      </c>
      <c r="B1014" s="2" t="s">
        <v>1361</v>
      </c>
      <c r="C1014" s="2">
        <v>2016.0</v>
      </c>
      <c r="D1014" s="2" t="s">
        <v>8162</v>
      </c>
      <c r="E1014" s="2" t="s">
        <v>8163</v>
      </c>
      <c r="F1014" s="2" t="s">
        <v>8164</v>
      </c>
      <c r="H1014" s="2" t="s">
        <v>8165</v>
      </c>
      <c r="I1014" s="2" t="s">
        <v>8166</v>
      </c>
      <c r="J1014" s="2" t="s">
        <v>8167</v>
      </c>
      <c r="K1014" s="2" t="s">
        <v>8168</v>
      </c>
      <c r="L1014" s="2">
        <v>2016.0</v>
      </c>
      <c r="M1014" s="2" t="s">
        <v>1385</v>
      </c>
      <c r="N1014" s="2" t="s">
        <v>1386</v>
      </c>
      <c r="P1014" s="2" t="s">
        <v>8169</v>
      </c>
      <c r="S1014" s="2">
        <v>211.0</v>
      </c>
      <c r="AN1014" s="2" t="s">
        <v>1368</v>
      </c>
    </row>
    <row r="1015" ht="15.75" customHeight="1">
      <c r="A1015" s="2" t="s">
        <v>8170</v>
      </c>
      <c r="B1015" s="2" t="s">
        <v>1361</v>
      </c>
      <c r="C1015" s="2">
        <v>2010.0</v>
      </c>
      <c r="D1015" s="2" t="s">
        <v>8171</v>
      </c>
      <c r="E1015" s="2" t="s">
        <v>794</v>
      </c>
      <c r="F1015" s="2" t="s">
        <v>2036</v>
      </c>
      <c r="H1015" s="2" t="s">
        <v>8172</v>
      </c>
      <c r="I1015" s="2" t="s">
        <v>797</v>
      </c>
      <c r="J1015" s="2" t="s">
        <v>8173</v>
      </c>
      <c r="K1015" s="2" t="s">
        <v>8174</v>
      </c>
      <c r="L1015" s="2">
        <v>2010.0</v>
      </c>
      <c r="M1015" s="2" t="s">
        <v>1385</v>
      </c>
      <c r="N1015" s="2" t="s">
        <v>1386</v>
      </c>
      <c r="P1015" s="2" t="s">
        <v>8175</v>
      </c>
      <c r="R1015" s="2" t="s">
        <v>1620</v>
      </c>
      <c r="S1015" s="2">
        <v>60.0</v>
      </c>
      <c r="AN1015" s="2" t="s">
        <v>1368</v>
      </c>
    </row>
    <row r="1016" ht="15.75" customHeight="1">
      <c r="A1016" s="2" t="s">
        <v>8176</v>
      </c>
      <c r="B1016" s="2" t="s">
        <v>1361</v>
      </c>
      <c r="C1016" s="2">
        <v>2017.0</v>
      </c>
      <c r="D1016" s="2" t="s">
        <v>8177</v>
      </c>
      <c r="E1016" s="2" t="s">
        <v>8178</v>
      </c>
      <c r="L1016" s="2">
        <v>2017.0</v>
      </c>
      <c r="M1016" s="2" t="s">
        <v>1385</v>
      </c>
      <c r="N1016" s="2" t="s">
        <v>1386</v>
      </c>
      <c r="R1016" s="2" t="s">
        <v>8179</v>
      </c>
      <c r="AN1016" s="2" t="s">
        <v>1368</v>
      </c>
    </row>
    <row r="1017" ht="15.75" customHeight="1">
      <c r="A1017" s="2" t="s">
        <v>8180</v>
      </c>
      <c r="B1017" s="2" t="s">
        <v>1361</v>
      </c>
      <c r="C1017" s="2">
        <v>2013.0</v>
      </c>
      <c r="D1017" s="2" t="s">
        <v>8181</v>
      </c>
      <c r="E1017" s="2" t="s">
        <v>610</v>
      </c>
      <c r="F1017" s="2" t="s">
        <v>3632</v>
      </c>
      <c r="H1017" s="2" t="s">
        <v>8182</v>
      </c>
      <c r="I1017" s="2" t="s">
        <v>612</v>
      </c>
      <c r="K1017" s="2" t="s">
        <v>8183</v>
      </c>
      <c r="L1017" s="2">
        <v>2013.0</v>
      </c>
      <c r="M1017" s="2" t="s">
        <v>1385</v>
      </c>
      <c r="N1017" s="2" t="s">
        <v>1386</v>
      </c>
      <c r="AN1017" s="2" t="s">
        <v>1368</v>
      </c>
    </row>
    <row r="1018" ht="15.75" customHeight="1">
      <c r="A1018" s="2" t="s">
        <v>8184</v>
      </c>
      <c r="B1018" s="2" t="s">
        <v>1361</v>
      </c>
      <c r="C1018" s="2">
        <v>2007.0</v>
      </c>
      <c r="D1018" s="2" t="s">
        <v>8185</v>
      </c>
      <c r="E1018" s="2" t="s">
        <v>8186</v>
      </c>
      <c r="F1018" s="2" t="s">
        <v>8187</v>
      </c>
      <c r="H1018" s="2" t="s">
        <v>8188</v>
      </c>
      <c r="I1018" s="2" t="s">
        <v>8189</v>
      </c>
      <c r="K1018" s="2" t="s">
        <v>8190</v>
      </c>
      <c r="L1018" s="2">
        <v>2007.0</v>
      </c>
      <c r="M1018" s="2" t="s">
        <v>1385</v>
      </c>
      <c r="N1018" s="2" t="s">
        <v>1386</v>
      </c>
      <c r="P1018" s="2" t="s">
        <v>8191</v>
      </c>
      <c r="R1018" s="2" t="s">
        <v>1506</v>
      </c>
      <c r="S1018" s="2">
        <v>25.0</v>
      </c>
      <c r="AN1018" s="2" t="s">
        <v>1368</v>
      </c>
    </row>
    <row r="1019" ht="15.75" customHeight="1">
      <c r="A1019" s="2" t="s">
        <v>8192</v>
      </c>
      <c r="B1019" s="2" t="s">
        <v>1361</v>
      </c>
      <c r="C1019" s="2">
        <v>1992.0</v>
      </c>
      <c r="D1019" s="2" t="s">
        <v>8193</v>
      </c>
      <c r="E1019" s="2" t="s">
        <v>8194</v>
      </c>
      <c r="F1019" s="2" t="s">
        <v>5250</v>
      </c>
      <c r="I1019" s="2" t="s">
        <v>8195</v>
      </c>
      <c r="L1019" s="2" t="s">
        <v>3458</v>
      </c>
      <c r="M1019" s="2" t="s">
        <v>8196</v>
      </c>
      <c r="N1019" s="2" t="s">
        <v>8197</v>
      </c>
      <c r="P1019" s="2" t="s">
        <v>8198</v>
      </c>
      <c r="R1019" s="2" t="s">
        <v>1462</v>
      </c>
      <c r="S1019" s="2">
        <v>46.0</v>
      </c>
      <c r="AN1019" s="2" t="s">
        <v>1368</v>
      </c>
    </row>
    <row r="1020" ht="15.75" customHeight="1">
      <c r="A1020" s="2" t="s">
        <v>8199</v>
      </c>
      <c r="B1020" s="2" t="s">
        <v>1361</v>
      </c>
      <c r="C1020" s="2">
        <v>2012.0</v>
      </c>
      <c r="D1020" s="2" t="s">
        <v>8200</v>
      </c>
      <c r="E1020" s="2" t="s">
        <v>8201</v>
      </c>
      <c r="F1020" s="2" t="s">
        <v>6356</v>
      </c>
      <c r="H1020" s="2" t="s">
        <v>6357</v>
      </c>
      <c r="K1020" s="2" t="s">
        <v>8202</v>
      </c>
      <c r="L1020" s="2" t="s">
        <v>1405</v>
      </c>
      <c r="M1020" s="2" t="s">
        <v>8203</v>
      </c>
      <c r="N1020" s="2" t="s">
        <v>8204</v>
      </c>
      <c r="P1020" s="2" t="s">
        <v>8205</v>
      </c>
      <c r="R1020" s="2" t="s">
        <v>1453</v>
      </c>
      <c r="S1020" s="2">
        <v>5.0</v>
      </c>
      <c r="AN1020" s="2" t="s">
        <v>1368</v>
      </c>
    </row>
    <row r="1021" ht="15.75" customHeight="1">
      <c r="A1021" s="2" t="s">
        <v>8206</v>
      </c>
      <c r="B1021" s="2" t="s">
        <v>1361</v>
      </c>
      <c r="C1021" s="2">
        <v>2008.0</v>
      </c>
      <c r="D1021" s="2" t="s">
        <v>8207</v>
      </c>
      <c r="E1021" s="2" t="s">
        <v>8208</v>
      </c>
      <c r="F1021" s="2" t="s">
        <v>3274</v>
      </c>
      <c r="I1021" s="2" t="s">
        <v>8209</v>
      </c>
      <c r="L1021" s="2" t="s">
        <v>1458</v>
      </c>
      <c r="M1021" s="2" t="s">
        <v>8210</v>
      </c>
      <c r="N1021" s="2" t="s">
        <v>8211</v>
      </c>
      <c r="P1021" s="2" t="s">
        <v>8212</v>
      </c>
      <c r="R1021" s="2" t="s">
        <v>1462</v>
      </c>
      <c r="S1021" s="2">
        <v>2.0</v>
      </c>
      <c r="AN1021" s="2" t="s">
        <v>1368</v>
      </c>
    </row>
    <row r="1022" ht="15.75" customHeight="1">
      <c r="A1022" s="2" t="s">
        <v>8213</v>
      </c>
      <c r="B1022" s="2" t="s">
        <v>1361</v>
      </c>
      <c r="C1022" s="2">
        <v>2004.0</v>
      </c>
      <c r="D1022" s="2" t="s">
        <v>8214</v>
      </c>
      <c r="E1022" s="2" t="s">
        <v>8215</v>
      </c>
      <c r="F1022" s="2" t="s">
        <v>8216</v>
      </c>
      <c r="K1022" s="2" t="s">
        <v>8217</v>
      </c>
      <c r="L1022" s="2" t="s">
        <v>2373</v>
      </c>
      <c r="M1022" s="2" t="s">
        <v>8218</v>
      </c>
      <c r="N1022" s="2" t="s">
        <v>8219</v>
      </c>
      <c r="S1022" s="2">
        <v>100.0</v>
      </c>
      <c r="AN1022" s="2" t="s">
        <v>1368</v>
      </c>
    </row>
    <row r="1023" ht="15.75" customHeight="1">
      <c r="A1023" s="2" t="s">
        <v>8220</v>
      </c>
      <c r="B1023" s="2" t="s">
        <v>1361</v>
      </c>
      <c r="C1023" s="2">
        <v>2004.0</v>
      </c>
      <c r="D1023" s="2" t="s">
        <v>8221</v>
      </c>
      <c r="E1023" s="2" t="s">
        <v>8222</v>
      </c>
      <c r="F1023" s="2" t="s">
        <v>8223</v>
      </c>
      <c r="L1023" s="2" t="s">
        <v>2373</v>
      </c>
      <c r="M1023" s="2" t="s">
        <v>8224</v>
      </c>
      <c r="N1023" s="2" t="s">
        <v>8225</v>
      </c>
      <c r="P1023" s="2" t="s">
        <v>8226</v>
      </c>
      <c r="R1023" s="2" t="s">
        <v>2646</v>
      </c>
      <c r="S1023" s="2">
        <v>32.0</v>
      </c>
      <c r="AN1023" s="2" t="s">
        <v>1368</v>
      </c>
    </row>
    <row r="1024" ht="15.75" customHeight="1">
      <c r="A1024" s="2" t="s">
        <v>8227</v>
      </c>
      <c r="B1024" s="2" t="s">
        <v>1361</v>
      </c>
      <c r="C1024" s="2">
        <v>2004.0</v>
      </c>
      <c r="D1024" s="2" t="s">
        <v>8228</v>
      </c>
      <c r="E1024" s="2" t="s">
        <v>8229</v>
      </c>
      <c r="F1024" s="2" t="s">
        <v>8230</v>
      </c>
      <c r="I1024" s="2" t="s">
        <v>8231</v>
      </c>
      <c r="L1024" s="2" t="s">
        <v>2373</v>
      </c>
      <c r="M1024" s="2" t="s">
        <v>8232</v>
      </c>
      <c r="N1024" s="2" t="s">
        <v>8233</v>
      </c>
      <c r="P1024" s="2" t="s">
        <v>8234</v>
      </c>
      <c r="S1024" s="2">
        <v>6.0</v>
      </c>
      <c r="AN1024" s="2" t="s">
        <v>1368</v>
      </c>
    </row>
    <row r="1025" ht="15.75" customHeight="1">
      <c r="A1025" s="2" t="s">
        <v>8235</v>
      </c>
      <c r="B1025" s="2" t="s">
        <v>1361</v>
      </c>
      <c r="C1025" s="2">
        <v>2017.0</v>
      </c>
      <c r="D1025" s="2" t="s">
        <v>8236</v>
      </c>
      <c r="E1025" s="2" t="s">
        <v>8237</v>
      </c>
      <c r="F1025" s="2" t="s">
        <v>5136</v>
      </c>
      <c r="I1025" s="2" t="s">
        <v>8238</v>
      </c>
      <c r="L1025" s="2" t="s">
        <v>1658</v>
      </c>
      <c r="M1025" s="2" t="s">
        <v>8239</v>
      </c>
      <c r="N1025" s="2" t="s">
        <v>8240</v>
      </c>
      <c r="P1025" s="2" t="s">
        <v>8241</v>
      </c>
      <c r="R1025" s="2" t="s">
        <v>2646</v>
      </c>
      <c r="S1025" s="2">
        <v>32.0</v>
      </c>
      <c r="AN1025" s="2" t="s">
        <v>1368</v>
      </c>
    </row>
    <row r="1026" ht="15.75" customHeight="1">
      <c r="A1026" s="2" t="s">
        <v>8242</v>
      </c>
      <c r="B1026" s="2" t="s">
        <v>1361</v>
      </c>
      <c r="C1026" s="2">
        <v>2008.0</v>
      </c>
      <c r="D1026" s="2" t="s">
        <v>8243</v>
      </c>
      <c r="E1026" s="2" t="s">
        <v>8244</v>
      </c>
      <c r="F1026" s="2" t="s">
        <v>1628</v>
      </c>
      <c r="J1026" s="2" t="s">
        <v>8245</v>
      </c>
      <c r="K1026" s="2" t="s">
        <v>8246</v>
      </c>
      <c r="L1026" s="2" t="s">
        <v>1458</v>
      </c>
      <c r="M1026" s="2" t="s">
        <v>8247</v>
      </c>
      <c r="N1026" s="2" t="s">
        <v>8248</v>
      </c>
      <c r="P1026" s="2" t="s">
        <v>8249</v>
      </c>
      <c r="R1026" s="2" t="s">
        <v>8250</v>
      </c>
      <c r="AN1026" s="2" t="s">
        <v>1368</v>
      </c>
    </row>
    <row r="1027" ht="15.75" customHeight="1">
      <c r="A1027" s="2" t="s">
        <v>8251</v>
      </c>
      <c r="B1027" s="2" t="s">
        <v>1361</v>
      </c>
      <c r="C1027" s="2">
        <v>2018.0</v>
      </c>
      <c r="D1027" s="2" t="s">
        <v>8252</v>
      </c>
      <c r="E1027" s="2" t="s">
        <v>8253</v>
      </c>
      <c r="F1027" s="2" t="s">
        <v>8254</v>
      </c>
      <c r="I1027" s="2" t="s">
        <v>8255</v>
      </c>
      <c r="L1027" s="2" t="s">
        <v>1420</v>
      </c>
      <c r="M1027" s="2" t="s">
        <v>8256</v>
      </c>
      <c r="N1027" s="2" t="s">
        <v>8257</v>
      </c>
      <c r="P1027" s="2" t="s">
        <v>8258</v>
      </c>
      <c r="R1027" s="2" t="s">
        <v>1537</v>
      </c>
      <c r="S1027" s="2">
        <v>120.0</v>
      </c>
      <c r="AN1027" s="2" t="s">
        <v>1368</v>
      </c>
    </row>
    <row r="1028" ht="15.75" customHeight="1">
      <c r="A1028" s="2" t="s">
        <v>8259</v>
      </c>
      <c r="B1028" s="2" t="s">
        <v>1361</v>
      </c>
      <c r="C1028" s="2">
        <v>2011.0</v>
      </c>
      <c r="D1028" s="2" t="s">
        <v>8260</v>
      </c>
      <c r="E1028" s="2" t="s">
        <v>8261</v>
      </c>
      <c r="F1028" s="2" t="s">
        <v>4581</v>
      </c>
      <c r="I1028" s="2" t="s">
        <v>8262</v>
      </c>
      <c r="L1028" s="2" t="s">
        <v>1627</v>
      </c>
      <c r="M1028" s="2" t="s">
        <v>8263</v>
      </c>
      <c r="N1028" s="2" t="s">
        <v>8264</v>
      </c>
      <c r="P1028" s="2" t="s">
        <v>8265</v>
      </c>
      <c r="R1028" s="2" t="s">
        <v>1462</v>
      </c>
      <c r="S1028" s="2">
        <v>98.0</v>
      </c>
      <c r="AN1028" s="2" t="s">
        <v>1368</v>
      </c>
    </row>
    <row r="1029" ht="15.75" customHeight="1">
      <c r="A1029" s="2" t="s">
        <v>8266</v>
      </c>
      <c r="B1029" s="2" t="s">
        <v>1361</v>
      </c>
      <c r="C1029" s="2">
        <v>1992.0</v>
      </c>
      <c r="D1029" s="2" t="s">
        <v>8267</v>
      </c>
      <c r="E1029" s="2" t="s">
        <v>8268</v>
      </c>
      <c r="F1029" s="2" t="s">
        <v>8156</v>
      </c>
      <c r="I1029" s="2" t="s">
        <v>8269</v>
      </c>
      <c r="L1029" s="2" t="s">
        <v>3458</v>
      </c>
      <c r="M1029" s="2" t="s">
        <v>8270</v>
      </c>
      <c r="N1029" s="2" t="s">
        <v>8271</v>
      </c>
      <c r="P1029" s="2" t="s">
        <v>8272</v>
      </c>
      <c r="AN1029" s="2" t="s">
        <v>1368</v>
      </c>
    </row>
    <row r="1030" ht="15.75" customHeight="1">
      <c r="A1030" s="2" t="s">
        <v>8273</v>
      </c>
      <c r="B1030" s="2" t="s">
        <v>1361</v>
      </c>
      <c r="C1030" s="2">
        <v>1994.0</v>
      </c>
      <c r="D1030" s="2" t="s">
        <v>8274</v>
      </c>
      <c r="E1030" s="2" t="s">
        <v>8275</v>
      </c>
      <c r="F1030" s="2" t="s">
        <v>1633</v>
      </c>
      <c r="I1030" s="2" t="s">
        <v>8276</v>
      </c>
      <c r="L1030" s="2" t="s">
        <v>2327</v>
      </c>
      <c r="M1030" s="2" t="s">
        <v>8277</v>
      </c>
      <c r="N1030" s="2" t="s">
        <v>8278</v>
      </c>
      <c r="P1030" s="2" t="s">
        <v>8279</v>
      </c>
      <c r="AN1030" s="2" t="s">
        <v>1368</v>
      </c>
    </row>
    <row r="1031" ht="15.75" customHeight="1">
      <c r="A1031" s="2" t="s">
        <v>8280</v>
      </c>
      <c r="B1031" s="2" t="s">
        <v>1361</v>
      </c>
      <c r="C1031" s="2">
        <v>2008.0</v>
      </c>
      <c r="D1031" s="2" t="s">
        <v>8281</v>
      </c>
      <c r="E1031" s="2" t="s">
        <v>8282</v>
      </c>
      <c r="F1031" s="2" t="s">
        <v>8283</v>
      </c>
      <c r="K1031" s="2" t="s">
        <v>8284</v>
      </c>
      <c r="L1031" s="2" t="s">
        <v>1458</v>
      </c>
      <c r="M1031" s="2" t="s">
        <v>8285</v>
      </c>
      <c r="N1031" s="2" t="s">
        <v>8286</v>
      </c>
      <c r="AN1031" s="2" t="s">
        <v>1368</v>
      </c>
    </row>
    <row r="1032" ht="15.75" customHeight="1">
      <c r="A1032" s="2" t="s">
        <v>8287</v>
      </c>
      <c r="B1032" s="2" t="s">
        <v>1361</v>
      </c>
      <c r="C1032" s="2">
        <v>2017.0</v>
      </c>
      <c r="D1032" s="2" t="s">
        <v>8288</v>
      </c>
      <c r="E1032" s="2" t="s">
        <v>8289</v>
      </c>
      <c r="F1032" s="2" t="s">
        <v>8290</v>
      </c>
      <c r="I1032" s="2" t="s">
        <v>8291</v>
      </c>
      <c r="L1032" s="2" t="s">
        <v>1658</v>
      </c>
      <c r="M1032" s="2" t="s">
        <v>8292</v>
      </c>
      <c r="N1032" s="2" t="s">
        <v>8293</v>
      </c>
      <c r="P1032" s="2" t="s">
        <v>8294</v>
      </c>
      <c r="R1032" s="2" t="s">
        <v>1600</v>
      </c>
      <c r="S1032" s="2">
        <v>3.0</v>
      </c>
      <c r="AN1032" s="2" t="s">
        <v>1368</v>
      </c>
    </row>
    <row r="1033" ht="15.75" customHeight="1">
      <c r="A1033" s="2" t="s">
        <v>8295</v>
      </c>
      <c r="B1033" s="2" t="s">
        <v>1361</v>
      </c>
      <c r="C1033" s="2">
        <v>2017.0</v>
      </c>
      <c r="D1033" s="2" t="s">
        <v>8296</v>
      </c>
      <c r="E1033" s="2" t="s">
        <v>8297</v>
      </c>
      <c r="F1033" s="2" t="s">
        <v>8298</v>
      </c>
      <c r="I1033" s="2" t="s">
        <v>8299</v>
      </c>
      <c r="L1033" s="2" t="s">
        <v>1658</v>
      </c>
      <c r="M1033" s="2" t="s">
        <v>8300</v>
      </c>
      <c r="N1033" s="2" t="s">
        <v>8301</v>
      </c>
      <c r="P1033" s="2" t="s">
        <v>8302</v>
      </c>
      <c r="S1033" s="2">
        <v>72.0</v>
      </c>
      <c r="AN1033" s="2" t="s">
        <v>1368</v>
      </c>
    </row>
    <row r="1034" ht="15.75" customHeight="1">
      <c r="A1034" s="2" t="s">
        <v>8303</v>
      </c>
      <c r="B1034" s="2" t="s">
        <v>1361</v>
      </c>
      <c r="C1034" s="2">
        <v>2014.0</v>
      </c>
      <c r="D1034" s="2" t="s">
        <v>8304</v>
      </c>
      <c r="E1034" s="2" t="s">
        <v>8305</v>
      </c>
      <c r="F1034" s="2" t="s">
        <v>8306</v>
      </c>
      <c r="L1034" s="2" t="s">
        <v>1476</v>
      </c>
      <c r="M1034" s="2" t="s">
        <v>8307</v>
      </c>
      <c r="N1034" s="2" t="s">
        <v>8308</v>
      </c>
      <c r="AN1034" s="2" t="s">
        <v>1368</v>
      </c>
    </row>
    <row r="1035" ht="15.75" customHeight="1">
      <c r="A1035" s="2" t="s">
        <v>8309</v>
      </c>
      <c r="B1035" s="2" t="s">
        <v>1361</v>
      </c>
      <c r="C1035" s="2">
        <v>2003.0</v>
      </c>
      <c r="D1035" s="2" t="s">
        <v>8310</v>
      </c>
      <c r="E1035" s="2" t="s">
        <v>8311</v>
      </c>
      <c r="F1035" s="2" t="s">
        <v>6488</v>
      </c>
      <c r="I1035" s="2" t="s">
        <v>8312</v>
      </c>
      <c r="L1035" s="2" t="s">
        <v>1606</v>
      </c>
      <c r="M1035" s="2" t="s">
        <v>8313</v>
      </c>
      <c r="N1035" s="2" t="s">
        <v>8314</v>
      </c>
      <c r="P1035" s="2" t="s">
        <v>8315</v>
      </c>
      <c r="R1035" s="2" t="s">
        <v>1600</v>
      </c>
      <c r="S1035" s="2">
        <v>5.0</v>
      </c>
      <c r="AN1035" s="2" t="s">
        <v>1368</v>
      </c>
    </row>
    <row r="1036" ht="15.75" customHeight="1">
      <c r="A1036" s="2" t="s">
        <v>8316</v>
      </c>
      <c r="B1036" s="2" t="s">
        <v>1361</v>
      </c>
      <c r="C1036" s="2">
        <v>1994.0</v>
      </c>
      <c r="D1036" s="2" t="s">
        <v>8317</v>
      </c>
      <c r="E1036" s="2" t="s">
        <v>8318</v>
      </c>
      <c r="F1036" s="2" t="s">
        <v>5741</v>
      </c>
      <c r="I1036" s="2" t="s">
        <v>8319</v>
      </c>
      <c r="L1036" s="2" t="s">
        <v>2327</v>
      </c>
      <c r="M1036" s="2" t="s">
        <v>5808</v>
      </c>
      <c r="N1036" s="2" t="s">
        <v>5809</v>
      </c>
      <c r="P1036" s="2" t="s">
        <v>8320</v>
      </c>
      <c r="R1036" s="2" t="s">
        <v>1453</v>
      </c>
      <c r="S1036" s="2">
        <v>27.0</v>
      </c>
      <c r="AN1036" s="2" t="s">
        <v>1368</v>
      </c>
    </row>
    <row r="1037" ht="15.75" customHeight="1">
      <c r="A1037" s="2" t="s">
        <v>8321</v>
      </c>
      <c r="B1037" s="2" t="s">
        <v>1361</v>
      </c>
      <c r="C1037" s="2">
        <v>1996.0</v>
      </c>
      <c r="D1037" s="2" t="s">
        <v>8322</v>
      </c>
      <c r="E1037" s="2" t="s">
        <v>8323</v>
      </c>
      <c r="F1037" s="2" t="s">
        <v>8223</v>
      </c>
      <c r="I1037" s="2" t="s">
        <v>8324</v>
      </c>
      <c r="L1037" s="2" t="s">
        <v>2492</v>
      </c>
      <c r="M1037" s="2" t="s">
        <v>8325</v>
      </c>
      <c r="N1037" s="2" t="s">
        <v>8326</v>
      </c>
      <c r="P1037" s="2" t="s">
        <v>8327</v>
      </c>
      <c r="R1037" s="2" t="s">
        <v>1443</v>
      </c>
      <c r="S1037" s="2">
        <v>24.0</v>
      </c>
      <c r="AN1037" s="2" t="s">
        <v>1368</v>
      </c>
    </row>
    <row r="1038" ht="15.75" customHeight="1">
      <c r="A1038" s="2" t="s">
        <v>8328</v>
      </c>
      <c r="B1038" s="2" t="s">
        <v>1361</v>
      </c>
      <c r="C1038" s="2">
        <v>2012.0</v>
      </c>
      <c r="D1038" s="2" t="s">
        <v>8329</v>
      </c>
      <c r="E1038" s="2" t="s">
        <v>8330</v>
      </c>
      <c r="F1038" s="2" t="s">
        <v>3201</v>
      </c>
      <c r="I1038" s="2" t="s">
        <v>8331</v>
      </c>
      <c r="L1038" s="2" t="s">
        <v>1405</v>
      </c>
      <c r="M1038" s="2" t="s">
        <v>8332</v>
      </c>
      <c r="N1038" s="2" t="s">
        <v>8333</v>
      </c>
      <c r="P1038" s="2" t="s">
        <v>8334</v>
      </c>
      <c r="S1038" s="2">
        <v>41.0</v>
      </c>
      <c r="AN1038" s="2" t="s">
        <v>1368</v>
      </c>
    </row>
    <row r="1039" ht="15.75" customHeight="1">
      <c r="A1039" s="2" t="s">
        <v>8335</v>
      </c>
      <c r="B1039" s="2" t="s">
        <v>1361</v>
      </c>
      <c r="C1039" s="2">
        <v>2013.0</v>
      </c>
      <c r="D1039" s="2" t="s">
        <v>8336</v>
      </c>
      <c r="E1039" s="2" t="s">
        <v>8337</v>
      </c>
      <c r="F1039" s="2" t="s">
        <v>8338</v>
      </c>
      <c r="I1039" s="2" t="s">
        <v>639</v>
      </c>
      <c r="L1039" s="2" t="s">
        <v>1429</v>
      </c>
      <c r="M1039" s="2" t="s">
        <v>8339</v>
      </c>
      <c r="N1039" s="2" t="s">
        <v>8340</v>
      </c>
      <c r="P1039" s="2" t="s">
        <v>8341</v>
      </c>
      <c r="S1039" s="2">
        <v>5.0</v>
      </c>
      <c r="AN1039" s="2" t="s">
        <v>1368</v>
      </c>
    </row>
    <row r="1040" ht="15.75" customHeight="1">
      <c r="A1040" s="2" t="s">
        <v>8342</v>
      </c>
      <c r="B1040" s="2" t="s">
        <v>1361</v>
      </c>
      <c r="C1040" s="2">
        <v>2006.0</v>
      </c>
      <c r="D1040" s="2" t="s">
        <v>8343</v>
      </c>
      <c r="E1040" s="2" t="s">
        <v>8344</v>
      </c>
      <c r="F1040" s="2" t="s">
        <v>7028</v>
      </c>
      <c r="I1040" s="2" t="s">
        <v>8345</v>
      </c>
      <c r="L1040" s="2" t="s">
        <v>1727</v>
      </c>
      <c r="M1040" s="2" t="s">
        <v>5337</v>
      </c>
      <c r="N1040" s="2" t="s">
        <v>5338</v>
      </c>
      <c r="P1040" s="2" t="s">
        <v>8346</v>
      </c>
      <c r="R1040" s="2" t="s">
        <v>1600</v>
      </c>
      <c r="S1040" s="2">
        <v>16.0</v>
      </c>
      <c r="AN1040" s="2" t="s">
        <v>1368</v>
      </c>
    </row>
    <row r="1041" ht="15.75" customHeight="1">
      <c r="A1041" s="2" t="s">
        <v>8347</v>
      </c>
      <c r="B1041" s="2" t="s">
        <v>1361</v>
      </c>
      <c r="C1041" s="2">
        <v>2007.0</v>
      </c>
      <c r="D1041" s="2" t="s">
        <v>8348</v>
      </c>
      <c r="E1041" s="2" t="s">
        <v>8349</v>
      </c>
      <c r="F1041" s="2" t="s">
        <v>1633</v>
      </c>
      <c r="I1041" s="2" t="s">
        <v>8350</v>
      </c>
      <c r="L1041" s="2" t="s">
        <v>2380</v>
      </c>
      <c r="M1041" s="2" t="s">
        <v>8351</v>
      </c>
      <c r="N1041" s="2" t="s">
        <v>8352</v>
      </c>
      <c r="P1041" s="2" t="s">
        <v>8353</v>
      </c>
      <c r="R1041" s="2" t="s">
        <v>1506</v>
      </c>
      <c r="S1041" s="2">
        <v>83.0</v>
      </c>
      <c r="AN1041" s="2" t="s">
        <v>1368</v>
      </c>
    </row>
    <row r="1042" ht="15.75" customHeight="1">
      <c r="A1042" s="2" t="s">
        <v>8354</v>
      </c>
      <c r="B1042" s="2" t="s">
        <v>1361</v>
      </c>
      <c r="C1042" s="2">
        <v>2018.0</v>
      </c>
      <c r="D1042" s="2" t="s">
        <v>8355</v>
      </c>
      <c r="E1042" s="2" t="s">
        <v>8356</v>
      </c>
      <c r="F1042" s="2" t="s">
        <v>2650</v>
      </c>
      <c r="I1042" s="2" t="s">
        <v>8357</v>
      </c>
      <c r="L1042" s="2" t="s">
        <v>1420</v>
      </c>
      <c r="M1042" s="2" t="s">
        <v>8358</v>
      </c>
      <c r="N1042" s="2" t="s">
        <v>8359</v>
      </c>
      <c r="P1042" s="2" t="s">
        <v>8360</v>
      </c>
      <c r="R1042" s="2" t="s">
        <v>1600</v>
      </c>
      <c r="S1042" s="2">
        <v>8.0</v>
      </c>
      <c r="AN1042" s="2" t="s">
        <v>1368</v>
      </c>
    </row>
    <row r="1043" ht="15.75" customHeight="1">
      <c r="A1043" s="2" t="s">
        <v>8361</v>
      </c>
      <c r="B1043" s="2" t="s">
        <v>1361</v>
      </c>
      <c r="C1043" s="2">
        <v>2012.0</v>
      </c>
      <c r="D1043" s="2" t="s">
        <v>8362</v>
      </c>
      <c r="E1043" s="2" t="s">
        <v>8363</v>
      </c>
      <c r="F1043" s="2" t="s">
        <v>8364</v>
      </c>
      <c r="L1043" s="2" t="s">
        <v>1405</v>
      </c>
      <c r="M1043" s="2" t="s">
        <v>8365</v>
      </c>
      <c r="N1043" s="2" t="s">
        <v>8366</v>
      </c>
      <c r="AN1043" s="2" t="s">
        <v>1368</v>
      </c>
    </row>
    <row r="1044" ht="15.75" customHeight="1">
      <c r="A1044" s="2" t="s">
        <v>8367</v>
      </c>
      <c r="B1044" s="2" t="s">
        <v>1361</v>
      </c>
      <c r="C1044" s="2">
        <v>2011.0</v>
      </c>
      <c r="D1044" s="2" t="s">
        <v>8368</v>
      </c>
      <c r="E1044" s="2" t="s">
        <v>8369</v>
      </c>
      <c r="F1044" s="2" t="s">
        <v>2734</v>
      </c>
      <c r="I1044" s="2" t="s">
        <v>8370</v>
      </c>
      <c r="L1044" s="2" t="s">
        <v>1627</v>
      </c>
      <c r="M1044" s="2" t="s">
        <v>8371</v>
      </c>
      <c r="N1044" s="2" t="s">
        <v>8372</v>
      </c>
      <c r="P1044" s="2" t="s">
        <v>8373</v>
      </c>
      <c r="R1044" s="2" t="s">
        <v>1480</v>
      </c>
      <c r="S1044" s="2">
        <v>40.0</v>
      </c>
      <c r="AN1044" s="2" t="s">
        <v>1368</v>
      </c>
    </row>
    <row r="1045" ht="15.75" customHeight="1">
      <c r="A1045" s="2" t="s">
        <v>8374</v>
      </c>
      <c r="B1045" s="2" t="s">
        <v>1361</v>
      </c>
      <c r="C1045" s="2">
        <v>2016.0</v>
      </c>
      <c r="D1045" s="2" t="s">
        <v>8375</v>
      </c>
      <c r="E1045" s="2" t="s">
        <v>8376</v>
      </c>
      <c r="F1045" s="2" t="s">
        <v>1688</v>
      </c>
      <c r="I1045" s="2" t="s">
        <v>8377</v>
      </c>
      <c r="L1045" s="2" t="s">
        <v>1502</v>
      </c>
      <c r="M1045" s="2" t="s">
        <v>3459</v>
      </c>
      <c r="N1045" s="2" t="s">
        <v>3460</v>
      </c>
      <c r="P1045" s="2" t="s">
        <v>8378</v>
      </c>
      <c r="R1045" s="2" t="s">
        <v>4806</v>
      </c>
      <c r="S1045" s="2">
        <v>113.0</v>
      </c>
      <c r="AN1045" s="2" t="s">
        <v>1368</v>
      </c>
    </row>
    <row r="1046" ht="15.75" customHeight="1">
      <c r="A1046" s="2" t="s">
        <v>8379</v>
      </c>
      <c r="B1046" s="2" t="s">
        <v>1361</v>
      </c>
      <c r="C1046" s="2">
        <v>2008.0</v>
      </c>
      <c r="D1046" s="2" t="s">
        <v>8380</v>
      </c>
      <c r="E1046" s="2" t="s">
        <v>8381</v>
      </c>
      <c r="F1046" s="2" t="s">
        <v>4205</v>
      </c>
      <c r="I1046" s="2" t="s">
        <v>8382</v>
      </c>
      <c r="L1046" s="2" t="s">
        <v>1458</v>
      </c>
      <c r="M1046" s="2" t="s">
        <v>8383</v>
      </c>
      <c r="N1046" s="2" t="s">
        <v>8384</v>
      </c>
      <c r="P1046" s="2" t="s">
        <v>8385</v>
      </c>
      <c r="R1046" s="2" t="s">
        <v>1600</v>
      </c>
      <c r="S1046" s="2">
        <v>87.0</v>
      </c>
      <c r="AN1046" s="2" t="s">
        <v>1368</v>
      </c>
    </row>
    <row r="1047" ht="15.75" customHeight="1">
      <c r="A1047" s="2" t="s">
        <v>8386</v>
      </c>
      <c r="B1047" s="2" t="s">
        <v>1361</v>
      </c>
      <c r="C1047" s="2">
        <v>2014.0</v>
      </c>
      <c r="D1047" s="2" t="s">
        <v>8387</v>
      </c>
      <c r="E1047" s="2" t="s">
        <v>8388</v>
      </c>
      <c r="F1047" s="2" t="s">
        <v>8389</v>
      </c>
      <c r="I1047" s="2" t="s">
        <v>8390</v>
      </c>
      <c r="L1047" s="2" t="s">
        <v>1476</v>
      </c>
      <c r="M1047" s="2" t="s">
        <v>8391</v>
      </c>
      <c r="N1047" s="2" t="s">
        <v>8392</v>
      </c>
      <c r="P1047" s="2" t="s">
        <v>8393</v>
      </c>
      <c r="S1047" s="2">
        <v>84.0</v>
      </c>
      <c r="AN1047" s="2" t="s">
        <v>1368</v>
      </c>
    </row>
    <row r="1048" ht="15.75" customHeight="1">
      <c r="A1048" s="2" t="s">
        <v>8394</v>
      </c>
      <c r="B1048" s="2" t="s">
        <v>1361</v>
      </c>
      <c r="C1048" s="2">
        <v>2000.0</v>
      </c>
      <c r="D1048" s="2" t="s">
        <v>8395</v>
      </c>
      <c r="E1048" s="2" t="s">
        <v>8396</v>
      </c>
      <c r="F1048" s="2" t="s">
        <v>8397</v>
      </c>
      <c r="L1048" s="2" t="s">
        <v>2429</v>
      </c>
      <c r="M1048" s="2" t="s">
        <v>8398</v>
      </c>
      <c r="N1048" s="2" t="s">
        <v>8399</v>
      </c>
      <c r="P1048" s="2" t="s">
        <v>8400</v>
      </c>
      <c r="R1048" s="2" t="s">
        <v>1453</v>
      </c>
      <c r="S1048" s="2">
        <v>28.0</v>
      </c>
      <c r="AN1048" s="2" t="s">
        <v>1368</v>
      </c>
    </row>
    <row r="1049" ht="15.75" customHeight="1">
      <c r="A1049" s="2" t="s">
        <v>8401</v>
      </c>
      <c r="B1049" s="2" t="s">
        <v>1361</v>
      </c>
      <c r="C1049" s="2">
        <v>2000.0</v>
      </c>
      <c r="D1049" s="2" t="s">
        <v>8402</v>
      </c>
      <c r="E1049" s="2" t="s">
        <v>8403</v>
      </c>
      <c r="F1049" s="2" t="s">
        <v>8404</v>
      </c>
      <c r="H1049" s="2" t="s">
        <v>8405</v>
      </c>
      <c r="I1049" s="2" t="s">
        <v>8406</v>
      </c>
      <c r="J1049" s="2" t="s">
        <v>8407</v>
      </c>
      <c r="L1049" s="2" t="s">
        <v>8408</v>
      </c>
      <c r="M1049" s="2" t="s">
        <v>8409</v>
      </c>
      <c r="N1049" s="2" t="s">
        <v>8410</v>
      </c>
      <c r="O1049" s="2" t="s">
        <v>8411</v>
      </c>
      <c r="P1049" s="2" t="s">
        <v>8412</v>
      </c>
      <c r="R1049" s="2" t="s">
        <v>1600</v>
      </c>
      <c r="S1049" s="2">
        <v>56.0</v>
      </c>
      <c r="U1049" s="2" t="s">
        <v>8413</v>
      </c>
      <c r="V1049" s="2" t="s">
        <v>8414</v>
      </c>
      <c r="AC1049" s="2" t="s">
        <v>1540</v>
      </c>
      <c r="AH1049" s="2" t="s">
        <v>1541</v>
      </c>
      <c r="AN1049" s="2" t="s">
        <v>1872</v>
      </c>
    </row>
    <row r="1050" ht="15.75" customHeight="1">
      <c r="A1050" s="2" t="s">
        <v>8415</v>
      </c>
      <c r="B1050" s="2" t="s">
        <v>1361</v>
      </c>
      <c r="C1050" s="2">
        <v>2017.0</v>
      </c>
      <c r="D1050" s="2" t="s">
        <v>8416</v>
      </c>
      <c r="E1050" s="2" t="s">
        <v>115</v>
      </c>
      <c r="F1050" s="2" t="s">
        <v>2150</v>
      </c>
      <c r="H1050" s="2" t="s">
        <v>2151</v>
      </c>
      <c r="I1050" s="2" t="s">
        <v>117</v>
      </c>
      <c r="J1050" s="2" t="s">
        <v>8417</v>
      </c>
      <c r="K1050" s="2" t="s">
        <v>8418</v>
      </c>
      <c r="L1050" s="2" t="s">
        <v>5202</v>
      </c>
      <c r="M1050" s="2" t="s">
        <v>8419</v>
      </c>
      <c r="N1050" s="2" t="s">
        <v>8420</v>
      </c>
      <c r="O1050" s="2" t="s">
        <v>8421</v>
      </c>
      <c r="P1050" s="2" t="s">
        <v>8422</v>
      </c>
      <c r="R1050" s="2" t="s">
        <v>1462</v>
      </c>
      <c r="S1050" s="2">
        <v>8.0</v>
      </c>
      <c r="U1050" s="2" t="s">
        <v>2158</v>
      </c>
      <c r="AC1050" s="2" t="s">
        <v>1540</v>
      </c>
      <c r="AH1050" s="2" t="s">
        <v>1541</v>
      </c>
      <c r="AN1050" s="2" t="s">
        <v>2137</v>
      </c>
    </row>
    <row r="1051" ht="15.75" customHeight="1">
      <c r="A1051" s="2" t="s">
        <v>8423</v>
      </c>
      <c r="B1051" s="2" t="s">
        <v>1361</v>
      </c>
      <c r="C1051" s="2">
        <v>2017.0</v>
      </c>
      <c r="D1051" s="2" t="s">
        <v>8424</v>
      </c>
      <c r="E1051" s="2" t="s">
        <v>8425</v>
      </c>
      <c r="F1051" s="2" t="s">
        <v>1707</v>
      </c>
      <c r="H1051" s="2" t="s">
        <v>1708</v>
      </c>
      <c r="I1051" s="2" t="s">
        <v>8426</v>
      </c>
      <c r="J1051" s="2" t="s">
        <v>8427</v>
      </c>
      <c r="L1051" s="2" t="s">
        <v>5369</v>
      </c>
      <c r="M1051" s="2" t="s">
        <v>8428</v>
      </c>
      <c r="N1051" s="2" t="s">
        <v>8429</v>
      </c>
      <c r="O1051" s="2" t="s">
        <v>2912</v>
      </c>
      <c r="P1051" s="2" t="s">
        <v>8430</v>
      </c>
      <c r="R1051" s="2" t="s">
        <v>2271</v>
      </c>
      <c r="S1051" s="2">
        <v>1.0</v>
      </c>
      <c r="U1051" s="2" t="s">
        <v>2888</v>
      </c>
      <c r="AC1051" s="2" t="s">
        <v>1540</v>
      </c>
      <c r="AH1051" s="2" t="s">
        <v>1541</v>
      </c>
      <c r="AN1051" s="2" t="s">
        <v>8431</v>
      </c>
    </row>
    <row r="1052" ht="15.75" customHeight="1">
      <c r="A1052" s="2" t="s">
        <v>8432</v>
      </c>
      <c r="B1052" s="2" t="s">
        <v>1361</v>
      </c>
      <c r="C1052" s="2">
        <v>2010.0</v>
      </c>
      <c r="D1052" s="2" t="s">
        <v>8433</v>
      </c>
      <c r="E1052" s="2" t="s">
        <v>8434</v>
      </c>
      <c r="F1052" s="2" t="s">
        <v>6589</v>
      </c>
      <c r="H1052" s="2" t="s">
        <v>8435</v>
      </c>
      <c r="I1052" s="2" t="s">
        <v>8436</v>
      </c>
      <c r="J1052" s="2" t="s">
        <v>8437</v>
      </c>
      <c r="L1052" s="2" t="s">
        <v>3507</v>
      </c>
      <c r="M1052" s="2" t="s">
        <v>8438</v>
      </c>
      <c r="N1052" s="2" t="s">
        <v>8439</v>
      </c>
      <c r="O1052" s="2" t="s">
        <v>8440</v>
      </c>
      <c r="P1052" s="2" t="s">
        <v>8441</v>
      </c>
      <c r="R1052" s="2" t="s">
        <v>1937</v>
      </c>
      <c r="S1052" s="2">
        <v>18.0</v>
      </c>
      <c r="U1052" s="2" t="s">
        <v>6589</v>
      </c>
      <c r="V1052" s="2" t="s">
        <v>8442</v>
      </c>
      <c r="AC1052" s="2" t="s">
        <v>1540</v>
      </c>
      <c r="AH1052" s="2" t="s">
        <v>1541</v>
      </c>
      <c r="AN1052" s="2" t="s">
        <v>1872</v>
      </c>
    </row>
    <row r="1053" ht="15.75" customHeight="1">
      <c r="A1053" s="2" t="s">
        <v>8443</v>
      </c>
      <c r="B1053" s="2" t="s">
        <v>1361</v>
      </c>
      <c r="C1053" s="2">
        <v>2012.0</v>
      </c>
      <c r="D1053" s="2" t="s">
        <v>8444</v>
      </c>
      <c r="E1053" s="2" t="s">
        <v>8445</v>
      </c>
      <c r="F1053" s="2" t="s">
        <v>1760</v>
      </c>
      <c r="H1053" s="2" t="s">
        <v>1761</v>
      </c>
      <c r="I1053" s="2" t="s">
        <v>8446</v>
      </c>
      <c r="J1053" s="2" t="s">
        <v>8447</v>
      </c>
      <c r="L1053" s="2" t="s">
        <v>8448</v>
      </c>
      <c r="M1053" s="2" t="s">
        <v>8449</v>
      </c>
      <c r="N1053" s="2" t="s">
        <v>8450</v>
      </c>
      <c r="O1053" s="2" t="s">
        <v>8451</v>
      </c>
      <c r="P1053" s="2" t="s">
        <v>8452</v>
      </c>
      <c r="S1053" s="2">
        <v>83.0</v>
      </c>
      <c r="U1053" s="2" t="s">
        <v>1760</v>
      </c>
      <c r="V1053" s="2" t="s">
        <v>8453</v>
      </c>
      <c r="AC1053" s="2" t="s">
        <v>1540</v>
      </c>
      <c r="AH1053" s="2" t="s">
        <v>1541</v>
      </c>
      <c r="AN1053" s="2" t="s">
        <v>1872</v>
      </c>
    </row>
    <row r="1054" ht="15.75" customHeight="1">
      <c r="A1054" s="2" t="s">
        <v>8454</v>
      </c>
      <c r="B1054" s="2" t="s">
        <v>1361</v>
      </c>
      <c r="C1054" s="2">
        <v>2016.0</v>
      </c>
      <c r="D1054" s="2" t="s">
        <v>8455</v>
      </c>
      <c r="E1054" s="2" t="s">
        <v>189</v>
      </c>
      <c r="F1054" s="2" t="s">
        <v>6589</v>
      </c>
      <c r="H1054" s="2" t="s">
        <v>8435</v>
      </c>
      <c r="I1054" s="2" t="s">
        <v>192</v>
      </c>
      <c r="J1054" s="2" t="s">
        <v>8456</v>
      </c>
      <c r="L1054" s="2" t="s">
        <v>5488</v>
      </c>
      <c r="M1054" s="2" t="s">
        <v>8457</v>
      </c>
      <c r="N1054" s="2" t="s">
        <v>8458</v>
      </c>
      <c r="O1054" s="2" t="s">
        <v>8440</v>
      </c>
      <c r="P1054" s="2" t="s">
        <v>8459</v>
      </c>
      <c r="S1054" s="2">
        <v>132.0</v>
      </c>
      <c r="U1054" s="2" t="s">
        <v>6589</v>
      </c>
      <c r="V1054" s="2" t="s">
        <v>8460</v>
      </c>
      <c r="AC1054" s="2" t="s">
        <v>1540</v>
      </c>
      <c r="AH1054" s="2" t="s">
        <v>1541</v>
      </c>
      <c r="AN1054" s="2" t="s">
        <v>2889</v>
      </c>
    </row>
    <row r="1055" ht="15.75" customHeight="1">
      <c r="A1055" s="2" t="s">
        <v>8461</v>
      </c>
      <c r="B1055" s="2" t="s">
        <v>1361</v>
      </c>
      <c r="C1055" s="2">
        <v>2013.0</v>
      </c>
      <c r="D1055" s="2" t="s">
        <v>8462</v>
      </c>
      <c r="E1055" s="2" t="s">
        <v>8463</v>
      </c>
      <c r="F1055" s="2" t="s">
        <v>6864</v>
      </c>
      <c r="H1055" s="2" t="s">
        <v>2509</v>
      </c>
      <c r="I1055" s="2" t="s">
        <v>628</v>
      </c>
      <c r="K1055" s="2" t="s">
        <v>8464</v>
      </c>
      <c r="L1055" s="2" t="s">
        <v>1429</v>
      </c>
      <c r="M1055" s="2" t="s">
        <v>1385</v>
      </c>
      <c r="N1055" s="2" t="s">
        <v>1386</v>
      </c>
      <c r="P1055" s="2" t="s">
        <v>8465</v>
      </c>
      <c r="R1055" s="2" t="s">
        <v>1462</v>
      </c>
      <c r="S1055" s="2">
        <v>28.0</v>
      </c>
      <c r="AN1055" s="2" t="s">
        <v>2169</v>
      </c>
    </row>
    <row r="1056" ht="15.75" customHeight="1">
      <c r="A1056" s="2" t="s">
        <v>8466</v>
      </c>
      <c r="B1056" s="2" t="s">
        <v>1766</v>
      </c>
      <c r="C1056" s="2">
        <v>2007.0</v>
      </c>
      <c r="D1056" s="2" t="s">
        <v>8467</v>
      </c>
      <c r="E1056" s="2" t="s">
        <v>8468</v>
      </c>
      <c r="F1056" s="2" t="s">
        <v>8469</v>
      </c>
      <c r="G1056" s="2" t="s">
        <v>8470</v>
      </c>
      <c r="J1056" s="2" t="s">
        <v>8471</v>
      </c>
      <c r="K1056" s="2" t="s">
        <v>8472</v>
      </c>
      <c r="L1056" s="2" t="s">
        <v>2380</v>
      </c>
      <c r="M1056" s="2" t="s">
        <v>1385</v>
      </c>
      <c r="N1056" s="2" t="s">
        <v>1386</v>
      </c>
      <c r="AA1056" s="2" t="s">
        <v>8473</v>
      </c>
      <c r="AJ1056" s="2" t="s">
        <v>8474</v>
      </c>
      <c r="AN1056" s="2" t="s">
        <v>1368</v>
      </c>
    </row>
    <row r="1057" ht="15.75" customHeight="1">
      <c r="A1057" s="2" t="s">
        <v>8475</v>
      </c>
      <c r="B1057" s="2" t="s">
        <v>1361</v>
      </c>
      <c r="C1057" s="2">
        <v>2011.0</v>
      </c>
      <c r="D1057" s="2" t="s">
        <v>8476</v>
      </c>
      <c r="E1057" s="2" t="s">
        <v>8477</v>
      </c>
      <c r="F1057" s="2" t="s">
        <v>1876</v>
      </c>
      <c r="H1057" s="2" t="s">
        <v>1877</v>
      </c>
      <c r="I1057" s="2" t="s">
        <v>8478</v>
      </c>
      <c r="J1057" s="2" t="s">
        <v>8479</v>
      </c>
      <c r="K1057" s="2" t="s">
        <v>8480</v>
      </c>
      <c r="L1057" s="2" t="s">
        <v>8481</v>
      </c>
      <c r="M1057" s="2" t="s">
        <v>1385</v>
      </c>
      <c r="N1057" s="2" t="s">
        <v>1386</v>
      </c>
      <c r="P1057" s="2" t="s">
        <v>8482</v>
      </c>
      <c r="R1057" s="2" t="s">
        <v>2646</v>
      </c>
      <c r="S1057" s="2">
        <v>6.0</v>
      </c>
      <c r="AN1057" s="2" t="s">
        <v>3548</v>
      </c>
    </row>
    <row r="1058" ht="15.75" customHeight="1">
      <c r="A1058" s="2" t="s">
        <v>8483</v>
      </c>
      <c r="B1058" s="2" t="s">
        <v>1361</v>
      </c>
      <c r="C1058" s="2">
        <v>2015.0</v>
      </c>
      <c r="D1058" s="2" t="s">
        <v>8484</v>
      </c>
      <c r="E1058" s="2" t="s">
        <v>369</v>
      </c>
      <c r="F1058" s="2" t="s">
        <v>1688</v>
      </c>
      <c r="H1058" s="2" t="s">
        <v>2892</v>
      </c>
      <c r="I1058" s="2" t="s">
        <v>371</v>
      </c>
      <c r="J1058" s="2" t="s">
        <v>8485</v>
      </c>
      <c r="K1058" s="2" t="s">
        <v>8486</v>
      </c>
      <c r="L1058" s="2" t="s">
        <v>8487</v>
      </c>
      <c r="M1058" s="2" t="s">
        <v>1385</v>
      </c>
      <c r="N1058" s="2" t="s">
        <v>1386</v>
      </c>
      <c r="O1058" s="2" t="s">
        <v>8488</v>
      </c>
      <c r="P1058" s="2" t="s">
        <v>8489</v>
      </c>
      <c r="R1058" s="2" t="s">
        <v>2672</v>
      </c>
      <c r="S1058" s="2">
        <v>112.0</v>
      </c>
      <c r="U1058" s="2" t="s">
        <v>2901</v>
      </c>
      <c r="AC1058" s="2" t="s">
        <v>1540</v>
      </c>
      <c r="AH1058" s="2" t="s">
        <v>1541</v>
      </c>
      <c r="AN1058" s="2" t="s">
        <v>1885</v>
      </c>
    </row>
    <row r="1059" ht="15.75" customHeight="1">
      <c r="A1059" s="2" t="s">
        <v>8490</v>
      </c>
      <c r="B1059" s="2" t="s">
        <v>1361</v>
      </c>
      <c r="C1059" s="2">
        <v>2012.0</v>
      </c>
      <c r="D1059" s="2" t="s">
        <v>8491</v>
      </c>
      <c r="E1059" s="2" t="s">
        <v>8492</v>
      </c>
      <c r="F1059" s="2" t="s">
        <v>3247</v>
      </c>
      <c r="H1059" s="2" t="s">
        <v>3248</v>
      </c>
      <c r="I1059" s="2" t="s">
        <v>8493</v>
      </c>
      <c r="K1059" s="2" t="s">
        <v>8494</v>
      </c>
      <c r="L1059" s="2" t="s">
        <v>1405</v>
      </c>
      <c r="M1059" s="2" t="s">
        <v>1385</v>
      </c>
      <c r="N1059" s="2" t="s">
        <v>1386</v>
      </c>
      <c r="P1059" s="2" t="s">
        <v>8495</v>
      </c>
      <c r="R1059" s="2" t="s">
        <v>2799</v>
      </c>
      <c r="S1059" s="2">
        <v>109.0</v>
      </c>
      <c r="AN1059" s="2" t="s">
        <v>2967</v>
      </c>
    </row>
    <row r="1060" ht="15.75" customHeight="1">
      <c r="A1060" s="2" t="s">
        <v>8496</v>
      </c>
      <c r="B1060" s="2" t="s">
        <v>1766</v>
      </c>
      <c r="C1060" s="2">
        <v>2013.0</v>
      </c>
      <c r="D1060" s="2" t="s">
        <v>8497</v>
      </c>
      <c r="E1060" s="2" t="s">
        <v>8498</v>
      </c>
      <c r="F1060" s="2" t="s">
        <v>8499</v>
      </c>
      <c r="L1060" s="2" t="s">
        <v>1429</v>
      </c>
      <c r="M1060" s="2" t="s">
        <v>1385</v>
      </c>
      <c r="N1060" s="2" t="s">
        <v>1386</v>
      </c>
      <c r="P1060" s="2" t="s">
        <v>8500</v>
      </c>
      <c r="AA1060" s="2" t="s">
        <v>7770</v>
      </c>
      <c r="AB1060" s="2" t="s">
        <v>8501</v>
      </c>
      <c r="AN1060" s="2" t="s">
        <v>2169</v>
      </c>
    </row>
    <row r="1061" ht="15.75" customHeight="1">
      <c r="A1061" s="2" t="s">
        <v>8502</v>
      </c>
      <c r="B1061" s="2" t="s">
        <v>1396</v>
      </c>
      <c r="C1061" s="2">
        <v>2013.0</v>
      </c>
      <c r="D1061" s="2" t="s">
        <v>8503</v>
      </c>
      <c r="E1061" s="2" t="s">
        <v>8504</v>
      </c>
      <c r="G1061" s="2" t="s">
        <v>8505</v>
      </c>
      <c r="K1061" s="2" t="s">
        <v>8506</v>
      </c>
      <c r="L1061" s="2" t="s">
        <v>1429</v>
      </c>
      <c r="M1061" s="2" t="s">
        <v>1385</v>
      </c>
      <c r="N1061" s="2" t="s">
        <v>1386</v>
      </c>
      <c r="Q1061" s="2">
        <v>523.0</v>
      </c>
      <c r="AN1061" s="2" t="s">
        <v>1621</v>
      </c>
    </row>
    <row r="1062" ht="15.75" customHeight="1">
      <c r="A1062" s="2" t="s">
        <v>8507</v>
      </c>
      <c r="B1062" s="2" t="s">
        <v>1361</v>
      </c>
      <c r="C1062" s="2">
        <v>2018.0</v>
      </c>
      <c r="D1062" s="2" t="s">
        <v>8508</v>
      </c>
      <c r="E1062" s="2" t="s">
        <v>33</v>
      </c>
      <c r="F1062" s="2" t="s">
        <v>1688</v>
      </c>
      <c r="H1062" s="2" t="s">
        <v>1689</v>
      </c>
      <c r="I1062" s="2" t="s">
        <v>37</v>
      </c>
      <c r="J1062" s="2" t="s">
        <v>8509</v>
      </c>
      <c r="K1062" s="2" t="s">
        <v>8510</v>
      </c>
      <c r="L1062" s="2" t="s">
        <v>1420</v>
      </c>
      <c r="M1062" s="2" t="s">
        <v>1385</v>
      </c>
      <c r="N1062" s="2" t="s">
        <v>1386</v>
      </c>
      <c r="P1062" s="2" t="s">
        <v>8511</v>
      </c>
      <c r="AN1062" s="2" t="s">
        <v>1368</v>
      </c>
    </row>
    <row r="1063" ht="15.75" customHeight="1">
      <c r="A1063" s="2" t="s">
        <v>8512</v>
      </c>
      <c r="B1063" s="2" t="s">
        <v>1361</v>
      </c>
      <c r="C1063" s="2">
        <v>2001.0</v>
      </c>
      <c r="D1063" s="2" t="s">
        <v>8513</v>
      </c>
      <c r="E1063" s="2" t="s">
        <v>1212</v>
      </c>
      <c r="F1063" s="2" t="s">
        <v>1796</v>
      </c>
      <c r="H1063" s="2" t="s">
        <v>8514</v>
      </c>
      <c r="I1063" s="2" t="s">
        <v>1214</v>
      </c>
      <c r="K1063" s="2" t="s">
        <v>1213</v>
      </c>
      <c r="L1063" s="2" t="s">
        <v>1414</v>
      </c>
      <c r="M1063" s="2" t="s">
        <v>1385</v>
      </c>
      <c r="N1063" s="2" t="s">
        <v>1386</v>
      </c>
      <c r="AN1063" s="2" t="s">
        <v>1368</v>
      </c>
    </row>
    <row r="1064" ht="15.75" customHeight="1">
      <c r="A1064" s="2" t="s">
        <v>8515</v>
      </c>
      <c r="B1064" s="2" t="s">
        <v>1623</v>
      </c>
      <c r="C1064" s="2">
        <v>2011.0</v>
      </c>
      <c r="D1064" s="2" t="s">
        <v>8516</v>
      </c>
      <c r="E1064" s="2" t="s">
        <v>8517</v>
      </c>
      <c r="J1064" s="2" t="s">
        <v>8518</v>
      </c>
      <c r="L1064" s="2" t="s">
        <v>1627</v>
      </c>
      <c r="M1064" s="2" t="s">
        <v>1385</v>
      </c>
      <c r="N1064" s="2" t="s">
        <v>1386</v>
      </c>
      <c r="AN1064" s="2" t="s">
        <v>1368</v>
      </c>
    </row>
    <row r="1065" ht="15.75" customHeight="1">
      <c r="A1065" s="2" t="s">
        <v>8519</v>
      </c>
      <c r="B1065" s="2" t="s">
        <v>1623</v>
      </c>
      <c r="C1065" s="2">
        <v>2013.0</v>
      </c>
      <c r="D1065" s="2" t="s">
        <v>8520</v>
      </c>
      <c r="E1065" s="2" t="s">
        <v>8521</v>
      </c>
      <c r="K1065" s="2" t="s">
        <v>8522</v>
      </c>
      <c r="L1065" s="2" t="s">
        <v>1429</v>
      </c>
      <c r="M1065" s="2" t="s">
        <v>1385</v>
      </c>
      <c r="N1065" s="2" t="s">
        <v>1386</v>
      </c>
      <c r="AA1065" s="2" t="s">
        <v>8523</v>
      </c>
      <c r="AN1065" s="2" t="s">
        <v>1368</v>
      </c>
    </row>
    <row r="1066" ht="15.75" customHeight="1">
      <c r="A1066" s="2" t="s">
        <v>8524</v>
      </c>
      <c r="B1066" s="2" t="s">
        <v>1361</v>
      </c>
      <c r="C1066" s="2">
        <v>2011.0</v>
      </c>
      <c r="D1066" s="2" t="s">
        <v>8525</v>
      </c>
      <c r="E1066" s="2" t="s">
        <v>8526</v>
      </c>
      <c r="F1066" s="2" t="s">
        <v>8527</v>
      </c>
      <c r="I1066" s="2" t="s">
        <v>8528</v>
      </c>
      <c r="K1066" s="2" t="s">
        <v>8529</v>
      </c>
      <c r="L1066" s="2" t="s">
        <v>1627</v>
      </c>
      <c r="M1066" s="2" t="s">
        <v>1385</v>
      </c>
      <c r="N1066" s="2" t="s">
        <v>1386</v>
      </c>
      <c r="P1066" s="2" t="s">
        <v>8530</v>
      </c>
      <c r="R1066" s="2" t="s">
        <v>1462</v>
      </c>
      <c r="S1066" s="2">
        <v>42.0</v>
      </c>
      <c r="AN1066" s="2" t="s">
        <v>1368</v>
      </c>
    </row>
    <row r="1067" ht="15.75" customHeight="1">
      <c r="A1067" s="2" t="s">
        <v>8531</v>
      </c>
      <c r="B1067" s="2" t="s">
        <v>1361</v>
      </c>
      <c r="C1067" s="2">
        <v>2015.0</v>
      </c>
      <c r="D1067" s="2" t="s">
        <v>8532</v>
      </c>
      <c r="E1067" s="2" t="s">
        <v>8533</v>
      </c>
      <c r="F1067" s="2" t="s">
        <v>1510</v>
      </c>
      <c r="H1067" s="2" t="s">
        <v>1511</v>
      </c>
      <c r="I1067" s="2" t="s">
        <v>8534</v>
      </c>
      <c r="L1067" s="2" t="s">
        <v>1373</v>
      </c>
      <c r="M1067" s="2" t="s">
        <v>1385</v>
      </c>
      <c r="N1067" s="2" t="s">
        <v>1386</v>
      </c>
      <c r="P1067" s="2" t="s">
        <v>8535</v>
      </c>
      <c r="R1067" s="2" t="s">
        <v>8536</v>
      </c>
      <c r="S1067" s="2">
        <v>348.0</v>
      </c>
      <c r="AN1067" s="2" t="s">
        <v>1368</v>
      </c>
    </row>
    <row r="1068" ht="15.75" customHeight="1">
      <c r="A1068" s="2" t="s">
        <v>8537</v>
      </c>
      <c r="B1068" s="2" t="s">
        <v>1361</v>
      </c>
      <c r="C1068" s="2">
        <v>2004.0</v>
      </c>
      <c r="D1068" s="2" t="s">
        <v>8538</v>
      </c>
      <c r="E1068" s="2" t="s">
        <v>8539</v>
      </c>
      <c r="F1068" s="2" t="s">
        <v>8540</v>
      </c>
      <c r="H1068" s="2" t="s">
        <v>8541</v>
      </c>
      <c r="I1068" s="2" t="s">
        <v>8542</v>
      </c>
      <c r="J1068" s="2" t="s">
        <v>8543</v>
      </c>
      <c r="L1068" s="2" t="s">
        <v>8544</v>
      </c>
      <c r="M1068" s="2" t="s">
        <v>1385</v>
      </c>
      <c r="N1068" s="2" t="s">
        <v>1386</v>
      </c>
      <c r="P1068" s="2" t="s">
        <v>8545</v>
      </c>
      <c r="R1068" s="2" t="s">
        <v>5851</v>
      </c>
      <c r="S1068" s="2">
        <v>19.0</v>
      </c>
      <c r="AN1068" s="2" t="s">
        <v>1368</v>
      </c>
    </row>
    <row r="1069" ht="15.75" customHeight="1">
      <c r="A1069" s="2" t="s">
        <v>8546</v>
      </c>
      <c r="B1069" s="2" t="s">
        <v>1623</v>
      </c>
      <c r="C1069" s="2">
        <v>2004.0</v>
      </c>
      <c r="D1069" s="2" t="s">
        <v>8547</v>
      </c>
      <c r="E1069" s="2" t="s">
        <v>8548</v>
      </c>
      <c r="J1069" s="2" t="s">
        <v>8549</v>
      </c>
      <c r="L1069" s="2" t="s">
        <v>2373</v>
      </c>
      <c r="M1069" s="2" t="s">
        <v>1385</v>
      </c>
      <c r="N1069" s="2" t="s">
        <v>1386</v>
      </c>
      <c r="AA1069" s="2" t="s">
        <v>8550</v>
      </c>
      <c r="AN1069" s="2" t="s">
        <v>1368</v>
      </c>
    </row>
    <row r="1070" ht="15.75" customHeight="1">
      <c r="A1070" s="2" t="s">
        <v>8551</v>
      </c>
      <c r="B1070" s="2" t="s">
        <v>1361</v>
      </c>
      <c r="C1070" s="2">
        <v>2008.0</v>
      </c>
      <c r="D1070" s="2" t="s">
        <v>8552</v>
      </c>
      <c r="E1070" s="2" t="s">
        <v>8553</v>
      </c>
      <c r="F1070" s="2" t="s">
        <v>8554</v>
      </c>
      <c r="H1070" s="2" t="s">
        <v>8555</v>
      </c>
      <c r="I1070" s="2" t="s">
        <v>8556</v>
      </c>
      <c r="J1070" s="2" t="s">
        <v>8557</v>
      </c>
      <c r="K1070" s="2" t="s">
        <v>8558</v>
      </c>
      <c r="L1070" s="2" t="s">
        <v>8559</v>
      </c>
      <c r="M1070" s="2" t="s">
        <v>1385</v>
      </c>
      <c r="N1070" s="2" t="s">
        <v>1386</v>
      </c>
      <c r="P1070" s="2" t="s">
        <v>8560</v>
      </c>
      <c r="R1070" s="2" t="s">
        <v>1453</v>
      </c>
      <c r="S1070" s="2">
        <v>110.0</v>
      </c>
      <c r="AC1070" s="2" t="s">
        <v>1540</v>
      </c>
      <c r="AN1070" s="2" t="s">
        <v>1368</v>
      </c>
    </row>
    <row r="1071" ht="15.75" customHeight="1">
      <c r="A1071" s="2" t="s">
        <v>8561</v>
      </c>
      <c r="B1071" s="2" t="s">
        <v>1766</v>
      </c>
      <c r="C1071" s="2">
        <v>2009.0</v>
      </c>
      <c r="D1071" s="2" t="s">
        <v>8562</v>
      </c>
      <c r="E1071" s="2" t="s">
        <v>8563</v>
      </c>
      <c r="F1071" s="2" t="s">
        <v>8564</v>
      </c>
      <c r="L1071" s="2" t="s">
        <v>1364</v>
      </c>
      <c r="M1071" s="2" t="s">
        <v>1385</v>
      </c>
      <c r="N1071" s="2" t="s">
        <v>1386</v>
      </c>
      <c r="P1071" s="2" t="s">
        <v>8565</v>
      </c>
      <c r="AN1071" s="2" t="s">
        <v>1368</v>
      </c>
      <c r="AP1071" s="2" t="s">
        <v>8566</v>
      </c>
    </row>
    <row r="1072" ht="15.75" customHeight="1">
      <c r="A1072" s="2" t="s">
        <v>8567</v>
      </c>
      <c r="B1072" s="2" t="s">
        <v>1781</v>
      </c>
      <c r="C1072" s="2">
        <v>2006.0</v>
      </c>
      <c r="D1072" s="2" t="s">
        <v>8568</v>
      </c>
      <c r="E1072" s="2" t="s">
        <v>8569</v>
      </c>
      <c r="J1072" s="2" t="s">
        <v>8570</v>
      </c>
      <c r="K1072" s="2" t="s">
        <v>8571</v>
      </c>
      <c r="L1072" s="2" t="s">
        <v>1727</v>
      </c>
      <c r="M1072" s="2" t="s">
        <v>1385</v>
      </c>
      <c r="N1072" s="2" t="s">
        <v>1386</v>
      </c>
      <c r="AN1072" s="2" t="s">
        <v>1368</v>
      </c>
    </row>
    <row r="1073" ht="15.75" customHeight="1">
      <c r="A1073" s="2" t="s">
        <v>8572</v>
      </c>
      <c r="B1073" s="2" t="s">
        <v>1396</v>
      </c>
      <c r="C1073" s="2">
        <v>2002.0</v>
      </c>
      <c r="E1073" s="2" t="s">
        <v>8573</v>
      </c>
      <c r="G1073" s="2" t="s">
        <v>8574</v>
      </c>
      <c r="L1073" s="2" t="s">
        <v>1493</v>
      </c>
      <c r="M1073" s="2" t="s">
        <v>1385</v>
      </c>
      <c r="N1073" s="2" t="s">
        <v>1386</v>
      </c>
      <c r="Q1073" s="2">
        <v>456.0</v>
      </c>
      <c r="AA1073" s="2" t="s">
        <v>6967</v>
      </c>
      <c r="AB1073" s="2" t="s">
        <v>2146</v>
      </c>
      <c r="AN1073" s="2" t="s">
        <v>1368</v>
      </c>
      <c r="AP1073" s="2" t="s">
        <v>8575</v>
      </c>
    </row>
    <row r="1074" ht="15.75" customHeight="1">
      <c r="A1074" s="2" t="s">
        <v>8576</v>
      </c>
      <c r="B1074" s="2" t="s">
        <v>1361</v>
      </c>
      <c r="C1074" s="2">
        <v>2010.0</v>
      </c>
      <c r="D1074" s="2" t="s">
        <v>8577</v>
      </c>
      <c r="E1074" s="2" t="s">
        <v>8578</v>
      </c>
      <c r="F1074" s="2" t="s">
        <v>1510</v>
      </c>
      <c r="H1074" s="2" t="s">
        <v>1511</v>
      </c>
      <c r="I1074" s="2" t="s">
        <v>8579</v>
      </c>
      <c r="J1074" s="2" t="s">
        <v>8580</v>
      </c>
      <c r="K1074" s="2" t="s">
        <v>8581</v>
      </c>
      <c r="L1074" s="2" t="s">
        <v>1449</v>
      </c>
      <c r="M1074" s="2" t="s">
        <v>1385</v>
      </c>
      <c r="N1074" s="2" t="s">
        <v>1386</v>
      </c>
      <c r="P1074" s="2" t="s">
        <v>8582</v>
      </c>
      <c r="R1074" s="2" t="s">
        <v>8583</v>
      </c>
      <c r="S1074" s="2">
        <v>327.0</v>
      </c>
      <c r="AN1074" s="2" t="s">
        <v>1368</v>
      </c>
    </row>
    <row r="1075" ht="15.75" customHeight="1">
      <c r="A1075" s="2" t="s">
        <v>8584</v>
      </c>
      <c r="B1075" s="2" t="s">
        <v>1361</v>
      </c>
      <c r="C1075" s="2">
        <v>1999.0</v>
      </c>
      <c r="D1075" s="2" t="s">
        <v>8585</v>
      </c>
      <c r="E1075" s="2" t="s">
        <v>1242</v>
      </c>
      <c r="F1075" s="2" t="s">
        <v>1380</v>
      </c>
      <c r="H1075" s="2" t="s">
        <v>1381</v>
      </c>
      <c r="I1075" s="2" t="s">
        <v>1244</v>
      </c>
      <c r="K1075" s="2" t="s">
        <v>8586</v>
      </c>
      <c r="L1075" s="2" t="s">
        <v>1434</v>
      </c>
      <c r="M1075" s="2" t="s">
        <v>1385</v>
      </c>
      <c r="N1075" s="2" t="s">
        <v>1386</v>
      </c>
      <c r="AN1075" s="2" t="s">
        <v>1368</v>
      </c>
    </row>
    <row r="1076" ht="15.75" customHeight="1">
      <c r="A1076" s="2" t="s">
        <v>8587</v>
      </c>
      <c r="B1076" s="2" t="s">
        <v>1361</v>
      </c>
      <c r="C1076" s="2">
        <v>2013.0</v>
      </c>
      <c r="D1076" s="2" t="s">
        <v>8588</v>
      </c>
      <c r="E1076" s="2" t="s">
        <v>8589</v>
      </c>
      <c r="F1076" s="2" t="s">
        <v>3247</v>
      </c>
      <c r="H1076" s="2" t="s">
        <v>3248</v>
      </c>
      <c r="I1076" s="2" t="s">
        <v>8590</v>
      </c>
      <c r="K1076" s="2" t="s">
        <v>8591</v>
      </c>
      <c r="L1076" s="2" t="s">
        <v>2209</v>
      </c>
      <c r="M1076" s="2" t="s">
        <v>1385</v>
      </c>
      <c r="N1076" s="2" t="s">
        <v>1386</v>
      </c>
      <c r="P1076" s="2" t="s">
        <v>8592</v>
      </c>
      <c r="R1076" s="2" t="s">
        <v>2840</v>
      </c>
      <c r="S1076" s="2">
        <v>110.0</v>
      </c>
      <c r="AN1076" s="2" t="s">
        <v>1368</v>
      </c>
    </row>
    <row r="1077" ht="15.75" customHeight="1">
      <c r="A1077" s="2" t="s">
        <v>8593</v>
      </c>
      <c r="B1077" s="2" t="s">
        <v>1361</v>
      </c>
      <c r="C1077" s="2">
        <v>2008.0</v>
      </c>
      <c r="D1077" s="2" t="s">
        <v>8594</v>
      </c>
      <c r="E1077" s="2" t="s">
        <v>8595</v>
      </c>
      <c r="F1077" s="2" t="s">
        <v>2205</v>
      </c>
      <c r="H1077" s="2" t="s">
        <v>2206</v>
      </c>
      <c r="I1077" s="2" t="s">
        <v>8596</v>
      </c>
      <c r="K1077" s="2" t="s">
        <v>8597</v>
      </c>
      <c r="L1077" s="2" t="s">
        <v>1458</v>
      </c>
      <c r="M1077" s="2" t="s">
        <v>1385</v>
      </c>
      <c r="N1077" s="2" t="s">
        <v>1386</v>
      </c>
      <c r="P1077" s="2" t="s">
        <v>8598</v>
      </c>
      <c r="R1077" s="2" t="s">
        <v>1462</v>
      </c>
      <c r="S1077" s="2">
        <v>32.0</v>
      </c>
      <c r="AN1077" s="2" t="s">
        <v>1368</v>
      </c>
    </row>
    <row r="1078" ht="15.75" customHeight="1">
      <c r="A1078" s="2" t="s">
        <v>8599</v>
      </c>
      <c r="B1078" s="2" t="s">
        <v>1361</v>
      </c>
      <c r="C1078" s="2">
        <v>2009.0</v>
      </c>
      <c r="D1078" s="2" t="s">
        <v>8600</v>
      </c>
      <c r="E1078" s="2" t="s">
        <v>8601</v>
      </c>
      <c r="F1078" s="2" t="s">
        <v>6894</v>
      </c>
      <c r="I1078" s="2" t="s">
        <v>8602</v>
      </c>
      <c r="K1078" s="2" t="s">
        <v>8603</v>
      </c>
      <c r="L1078" s="2" t="s">
        <v>6148</v>
      </c>
      <c r="M1078" s="2" t="s">
        <v>1385</v>
      </c>
      <c r="N1078" s="2" t="s">
        <v>1386</v>
      </c>
      <c r="P1078" s="2" t="s">
        <v>8604</v>
      </c>
      <c r="R1078" s="2" t="s">
        <v>4806</v>
      </c>
      <c r="S1078" s="2">
        <v>43.0</v>
      </c>
      <c r="AN1078" s="2" t="s">
        <v>1368</v>
      </c>
    </row>
    <row r="1079" ht="15.75" customHeight="1">
      <c r="A1079" s="2" t="s">
        <v>8605</v>
      </c>
      <c r="B1079" s="2" t="s">
        <v>1361</v>
      </c>
      <c r="C1079" s="2">
        <v>2001.0</v>
      </c>
      <c r="D1079" s="2" t="s">
        <v>8606</v>
      </c>
      <c r="E1079" s="2" t="s">
        <v>8607</v>
      </c>
      <c r="F1079" s="2" t="s">
        <v>8608</v>
      </c>
      <c r="H1079" s="2" t="s">
        <v>8609</v>
      </c>
      <c r="I1079" s="2" t="s">
        <v>8610</v>
      </c>
      <c r="K1079" s="2" t="s">
        <v>8611</v>
      </c>
      <c r="L1079" s="2" t="s">
        <v>1414</v>
      </c>
      <c r="M1079" s="2" t="s">
        <v>1385</v>
      </c>
      <c r="N1079" s="2" t="s">
        <v>1386</v>
      </c>
      <c r="P1079" s="2" t="s">
        <v>8612</v>
      </c>
      <c r="R1079" s="2" t="s">
        <v>1462</v>
      </c>
      <c r="S1079" s="2">
        <v>53.0</v>
      </c>
      <c r="AN1079" s="2" t="s">
        <v>1368</v>
      </c>
    </row>
    <row r="1080" ht="15.75" customHeight="1">
      <c r="A1080" s="2" t="s">
        <v>8613</v>
      </c>
      <c r="B1080" s="2" t="s">
        <v>1361</v>
      </c>
      <c r="C1080" s="2">
        <v>2016.0</v>
      </c>
      <c r="D1080" s="2" t="s">
        <v>8614</v>
      </c>
      <c r="E1080" s="2" t="s">
        <v>8615</v>
      </c>
      <c r="F1080" s="2" t="s">
        <v>5470</v>
      </c>
      <c r="I1080" s="2" t="s">
        <v>8616</v>
      </c>
      <c r="L1080" s="2" t="s">
        <v>1502</v>
      </c>
      <c r="M1080" s="2" t="s">
        <v>1385</v>
      </c>
      <c r="N1080" s="2" t="s">
        <v>1386</v>
      </c>
      <c r="P1080" s="2" t="s">
        <v>8617</v>
      </c>
      <c r="R1080" s="2" t="s">
        <v>1600</v>
      </c>
      <c r="S1080" s="2">
        <v>83.0</v>
      </c>
      <c r="AN1080" s="2" t="s">
        <v>1368</v>
      </c>
    </row>
    <row r="1081" ht="15.75" customHeight="1">
      <c r="A1081" s="2" t="s">
        <v>8618</v>
      </c>
      <c r="B1081" s="2" t="s">
        <v>1361</v>
      </c>
      <c r="C1081" s="2">
        <v>2014.0</v>
      </c>
      <c r="D1081" s="2" t="s">
        <v>8619</v>
      </c>
      <c r="E1081" s="2" t="s">
        <v>8620</v>
      </c>
      <c r="F1081" s="2" t="s">
        <v>1789</v>
      </c>
      <c r="H1081" s="2" t="s">
        <v>1790</v>
      </c>
      <c r="I1081" s="2" t="s">
        <v>8621</v>
      </c>
      <c r="K1081" s="2" t="s">
        <v>8622</v>
      </c>
      <c r="L1081" s="2" t="s">
        <v>1476</v>
      </c>
      <c r="M1081" s="2" t="s">
        <v>1385</v>
      </c>
      <c r="N1081" s="2" t="s">
        <v>1386</v>
      </c>
      <c r="AN1081" s="2" t="s">
        <v>1368</v>
      </c>
    </row>
    <row r="1082" ht="15.75" customHeight="1">
      <c r="A1082" s="2" t="s">
        <v>8623</v>
      </c>
      <c r="B1082" s="2" t="s">
        <v>1361</v>
      </c>
      <c r="C1082" s="2">
        <v>2016.0</v>
      </c>
      <c r="D1082" s="2" t="s">
        <v>8624</v>
      </c>
      <c r="E1082" s="2" t="s">
        <v>8625</v>
      </c>
      <c r="F1082" s="2" t="s">
        <v>1760</v>
      </c>
      <c r="H1082" s="2" t="s">
        <v>1761</v>
      </c>
      <c r="I1082" s="2" t="s">
        <v>8626</v>
      </c>
      <c r="K1082" s="2" t="s">
        <v>8627</v>
      </c>
      <c r="L1082" s="2" t="s">
        <v>1502</v>
      </c>
      <c r="M1082" s="2" t="s">
        <v>1385</v>
      </c>
      <c r="N1082" s="2" t="s">
        <v>1386</v>
      </c>
      <c r="AN1082" s="2" t="s">
        <v>1368</v>
      </c>
    </row>
    <row r="1083" ht="15.75" customHeight="1">
      <c r="A1083" s="2" t="s">
        <v>8628</v>
      </c>
      <c r="B1083" s="2" t="s">
        <v>1361</v>
      </c>
      <c r="C1083" s="2">
        <v>2006.0</v>
      </c>
      <c r="D1083" s="2" t="s">
        <v>8629</v>
      </c>
      <c r="E1083" s="2" t="s">
        <v>8630</v>
      </c>
      <c r="F1083" s="2" t="s">
        <v>8631</v>
      </c>
      <c r="H1083" s="2" t="s">
        <v>8632</v>
      </c>
      <c r="I1083" s="2" t="s">
        <v>1063</v>
      </c>
      <c r="K1083" s="2" t="s">
        <v>8633</v>
      </c>
      <c r="L1083" s="2" t="s">
        <v>1727</v>
      </c>
      <c r="M1083" s="2" t="s">
        <v>1385</v>
      </c>
      <c r="N1083" s="2" t="s">
        <v>1386</v>
      </c>
      <c r="AN1083" s="2" t="s">
        <v>1368</v>
      </c>
    </row>
    <row r="1084" ht="15.75" customHeight="1">
      <c r="A1084" s="2" t="s">
        <v>8634</v>
      </c>
      <c r="B1084" s="2" t="s">
        <v>1361</v>
      </c>
      <c r="C1084" s="2">
        <v>2004.0</v>
      </c>
      <c r="D1084" s="2" t="s">
        <v>8635</v>
      </c>
      <c r="E1084" s="2" t="s">
        <v>1133</v>
      </c>
      <c r="F1084" s="2" t="s">
        <v>1789</v>
      </c>
      <c r="H1084" s="2" t="s">
        <v>7029</v>
      </c>
      <c r="I1084" s="2" t="s">
        <v>1135</v>
      </c>
      <c r="L1084" s="2" t="s">
        <v>2373</v>
      </c>
      <c r="M1084" s="2" t="s">
        <v>1385</v>
      </c>
      <c r="N1084" s="2" t="s">
        <v>1386</v>
      </c>
      <c r="P1084" s="2" t="s">
        <v>8636</v>
      </c>
      <c r="R1084" s="2" t="s">
        <v>1600</v>
      </c>
      <c r="S1084" s="2">
        <v>14.0</v>
      </c>
      <c r="AN1084" s="2" t="s">
        <v>1368</v>
      </c>
    </row>
    <row r="1085" ht="15.75" customHeight="1">
      <c r="A1085" s="2" t="s">
        <v>8637</v>
      </c>
      <c r="B1085" s="2" t="s">
        <v>1361</v>
      </c>
      <c r="C1085" s="2">
        <v>2012.0</v>
      </c>
      <c r="D1085" s="2" t="s">
        <v>8638</v>
      </c>
      <c r="E1085" s="2" t="s">
        <v>8639</v>
      </c>
      <c r="F1085" s="2" t="s">
        <v>1789</v>
      </c>
      <c r="H1085" s="2" t="s">
        <v>1790</v>
      </c>
      <c r="I1085" s="2" t="s">
        <v>8640</v>
      </c>
      <c r="K1085" s="2" t="s">
        <v>8641</v>
      </c>
      <c r="L1085" s="2" t="s">
        <v>1405</v>
      </c>
      <c r="M1085" s="2" t="s">
        <v>1385</v>
      </c>
      <c r="N1085" s="2" t="s">
        <v>1386</v>
      </c>
      <c r="AN1085" s="2" t="s">
        <v>1368</v>
      </c>
    </row>
    <row r="1086" ht="15.75" customHeight="1">
      <c r="A1086" s="2" t="s">
        <v>8642</v>
      </c>
      <c r="B1086" s="2" t="s">
        <v>1361</v>
      </c>
      <c r="C1086" s="2">
        <v>2003.0</v>
      </c>
      <c r="D1086" s="2" t="s">
        <v>8643</v>
      </c>
      <c r="E1086" s="2" t="s">
        <v>8644</v>
      </c>
      <c r="F1086" s="2" t="s">
        <v>8645</v>
      </c>
      <c r="H1086" s="2" t="s">
        <v>2509</v>
      </c>
      <c r="I1086" s="2" t="s">
        <v>8646</v>
      </c>
      <c r="L1086" s="2" t="s">
        <v>1606</v>
      </c>
      <c r="M1086" s="2" t="s">
        <v>1385</v>
      </c>
      <c r="N1086" s="2" t="s">
        <v>1386</v>
      </c>
      <c r="P1086" s="2" t="s">
        <v>8647</v>
      </c>
      <c r="R1086" s="2" t="s">
        <v>2271</v>
      </c>
      <c r="S1086" s="2">
        <v>18.0</v>
      </c>
      <c r="AN1086" s="2" t="s">
        <v>1368</v>
      </c>
    </row>
    <row r="1087" ht="15.75" customHeight="1">
      <c r="A1087" s="2" t="s">
        <v>8648</v>
      </c>
      <c r="B1087" s="2" t="s">
        <v>1361</v>
      </c>
      <c r="C1087" s="2">
        <v>1998.0</v>
      </c>
      <c r="D1087" s="2" t="s">
        <v>8649</v>
      </c>
      <c r="E1087" s="2" t="s">
        <v>8650</v>
      </c>
      <c r="F1087" s="2" t="s">
        <v>1760</v>
      </c>
      <c r="H1087" s="2" t="s">
        <v>1761</v>
      </c>
      <c r="I1087" s="2" t="s">
        <v>8651</v>
      </c>
      <c r="K1087" s="2" t="s">
        <v>8652</v>
      </c>
      <c r="L1087" s="2" t="s">
        <v>1958</v>
      </c>
      <c r="M1087" s="2" t="s">
        <v>1385</v>
      </c>
      <c r="N1087" s="2" t="s">
        <v>1386</v>
      </c>
      <c r="AN1087" s="2" t="s">
        <v>1368</v>
      </c>
    </row>
    <row r="1088" ht="15.75" customHeight="1">
      <c r="A1088" s="2" t="s">
        <v>8653</v>
      </c>
      <c r="B1088" s="2" t="s">
        <v>1396</v>
      </c>
      <c r="C1088" s="2">
        <v>2009.0</v>
      </c>
      <c r="D1088" s="2" t="s">
        <v>8654</v>
      </c>
      <c r="E1088" s="2" t="s">
        <v>8655</v>
      </c>
      <c r="L1088" s="2" t="s">
        <v>1364</v>
      </c>
      <c r="M1088" s="2" t="s">
        <v>1385</v>
      </c>
      <c r="N1088" s="2" t="s">
        <v>1386</v>
      </c>
      <c r="AA1088" s="2" t="s">
        <v>3653</v>
      </c>
      <c r="AN1088" s="2" t="s">
        <v>1368</v>
      </c>
    </row>
    <row r="1089" ht="15.75" customHeight="1">
      <c r="A1089" s="2" t="s">
        <v>8656</v>
      </c>
      <c r="B1089" s="2" t="s">
        <v>1361</v>
      </c>
      <c r="C1089" s="2">
        <v>2015.0</v>
      </c>
      <c r="D1089" s="2" t="s">
        <v>8657</v>
      </c>
      <c r="E1089" s="2" t="s">
        <v>8658</v>
      </c>
      <c r="F1089" s="2" t="s">
        <v>1876</v>
      </c>
      <c r="H1089" s="2" t="s">
        <v>6702</v>
      </c>
      <c r="I1089" s="2" t="s">
        <v>8659</v>
      </c>
      <c r="K1089" s="2" t="s">
        <v>8660</v>
      </c>
      <c r="L1089" s="2" t="s">
        <v>1373</v>
      </c>
      <c r="M1089" s="2" t="s">
        <v>1385</v>
      </c>
      <c r="N1089" s="2" t="s">
        <v>1386</v>
      </c>
      <c r="AN1089" s="2" t="s">
        <v>1368</v>
      </c>
    </row>
    <row r="1090" ht="15.75" customHeight="1">
      <c r="A1090" s="2" t="s">
        <v>8661</v>
      </c>
      <c r="B1090" s="2" t="s">
        <v>1766</v>
      </c>
      <c r="C1090" s="2">
        <v>1977.0</v>
      </c>
      <c r="D1090" s="2" t="s">
        <v>8662</v>
      </c>
      <c r="E1090" s="2" t="s">
        <v>8663</v>
      </c>
      <c r="G1090" s="2" t="s">
        <v>8664</v>
      </c>
      <c r="L1090" s="2" t="s">
        <v>8665</v>
      </c>
      <c r="M1090" s="2" t="s">
        <v>1385</v>
      </c>
      <c r="N1090" s="2" t="s">
        <v>1386</v>
      </c>
      <c r="P1090" s="2" t="s">
        <v>8666</v>
      </c>
      <c r="S1090" s="2">
        <v>10.0</v>
      </c>
      <c r="AA1090" s="2" t="s">
        <v>7553</v>
      </c>
      <c r="AN1090" s="2" t="s">
        <v>1368</v>
      </c>
      <c r="AP1090" s="2" t="s">
        <v>8667</v>
      </c>
    </row>
    <row r="1091" ht="15.75" customHeight="1">
      <c r="A1091" s="2" t="s">
        <v>8668</v>
      </c>
      <c r="B1091" s="2" t="s">
        <v>1396</v>
      </c>
      <c r="C1091" s="2">
        <v>2004.0</v>
      </c>
      <c r="D1091" s="2" t="s">
        <v>8669</v>
      </c>
      <c r="E1091" s="2" t="s">
        <v>8670</v>
      </c>
      <c r="L1091" s="2" t="s">
        <v>2373</v>
      </c>
      <c r="M1091" s="2" t="s">
        <v>1385</v>
      </c>
      <c r="N1091" s="2" t="s">
        <v>1386</v>
      </c>
      <c r="Q1091" s="2">
        <v>575.0</v>
      </c>
      <c r="AA1091" s="2" t="s">
        <v>2430</v>
      </c>
      <c r="AN1091" s="2" t="s">
        <v>1368</v>
      </c>
    </row>
    <row r="1092" ht="15.75" customHeight="1">
      <c r="A1092" s="2" t="s">
        <v>8671</v>
      </c>
      <c r="B1092" s="2" t="s">
        <v>1361</v>
      </c>
      <c r="C1092" s="2">
        <v>2018.0</v>
      </c>
      <c r="D1092" s="2" t="s">
        <v>8672</v>
      </c>
      <c r="E1092" s="2" t="s">
        <v>8673</v>
      </c>
      <c r="F1092" s="2" t="s">
        <v>7793</v>
      </c>
      <c r="H1092" s="2" t="s">
        <v>8674</v>
      </c>
      <c r="I1092" s="2" t="s">
        <v>8675</v>
      </c>
      <c r="J1092" s="2" t="s">
        <v>8676</v>
      </c>
      <c r="L1092" s="2" t="s">
        <v>2883</v>
      </c>
      <c r="M1092" s="2" t="s">
        <v>1385</v>
      </c>
      <c r="N1092" s="2" t="s">
        <v>1386</v>
      </c>
      <c r="P1092" s="2" t="s">
        <v>8677</v>
      </c>
      <c r="R1092" s="2" t="s">
        <v>1480</v>
      </c>
      <c r="S1092" s="2">
        <v>108.0</v>
      </c>
      <c r="AN1092" s="2" t="s">
        <v>1368</v>
      </c>
    </row>
    <row r="1093" ht="15.75" customHeight="1">
      <c r="A1093" s="2" t="s">
        <v>8678</v>
      </c>
      <c r="B1093" s="2" t="s">
        <v>1396</v>
      </c>
      <c r="C1093" s="2">
        <v>2000.0</v>
      </c>
      <c r="D1093" s="2" t="s">
        <v>8679</v>
      </c>
      <c r="E1093" s="2" t="s">
        <v>8680</v>
      </c>
      <c r="L1093" s="2" t="s">
        <v>2429</v>
      </c>
      <c r="M1093" s="2" t="s">
        <v>1385</v>
      </c>
      <c r="N1093" s="2" t="s">
        <v>1386</v>
      </c>
      <c r="AA1093" s="2" t="s">
        <v>8681</v>
      </c>
      <c r="AN1093" s="2" t="s">
        <v>1368</v>
      </c>
    </row>
    <row r="1094" ht="15.75" customHeight="1">
      <c r="A1094" s="2" t="s">
        <v>8682</v>
      </c>
      <c r="B1094" s="2" t="s">
        <v>1361</v>
      </c>
      <c r="C1094" s="2">
        <v>2016.0</v>
      </c>
      <c r="D1094" s="2" t="s">
        <v>8683</v>
      </c>
      <c r="E1094" s="2" t="s">
        <v>180</v>
      </c>
      <c r="F1094" s="2" t="s">
        <v>8684</v>
      </c>
      <c r="H1094" s="2" t="s">
        <v>8685</v>
      </c>
      <c r="I1094" s="2" t="s">
        <v>183</v>
      </c>
      <c r="K1094" s="2" t="s">
        <v>8686</v>
      </c>
      <c r="L1094" s="2" t="s">
        <v>1502</v>
      </c>
      <c r="M1094" s="2" t="s">
        <v>1385</v>
      </c>
      <c r="N1094" s="2" t="s">
        <v>1386</v>
      </c>
      <c r="P1094" s="2" t="s">
        <v>8687</v>
      </c>
      <c r="R1094" s="2" t="s">
        <v>1506</v>
      </c>
      <c r="S1094" s="2">
        <v>91.0</v>
      </c>
      <c r="AN1094" s="2" t="s">
        <v>1368</v>
      </c>
    </row>
    <row r="1095" ht="15.75" customHeight="1">
      <c r="A1095" s="2" t="s">
        <v>8688</v>
      </c>
      <c r="B1095" s="2" t="s">
        <v>1361</v>
      </c>
      <c r="C1095" s="2">
        <v>2016.0</v>
      </c>
      <c r="D1095" s="2" t="s">
        <v>8689</v>
      </c>
      <c r="E1095" s="2" t="s">
        <v>8690</v>
      </c>
      <c r="F1095" s="2" t="s">
        <v>5645</v>
      </c>
      <c r="H1095" s="2" t="s">
        <v>8691</v>
      </c>
      <c r="I1095" s="2" t="s">
        <v>8692</v>
      </c>
      <c r="L1095" s="2" t="s">
        <v>1502</v>
      </c>
      <c r="M1095" s="2" t="s">
        <v>1385</v>
      </c>
      <c r="N1095" s="2" t="s">
        <v>1386</v>
      </c>
      <c r="P1095" s="2" t="s">
        <v>2671</v>
      </c>
      <c r="AN1095" s="2" t="s">
        <v>1368</v>
      </c>
    </row>
    <row r="1096" ht="15.75" customHeight="1">
      <c r="A1096" s="2" t="s">
        <v>8693</v>
      </c>
      <c r="B1096" s="2" t="s">
        <v>1361</v>
      </c>
      <c r="C1096" s="2">
        <v>1988.0</v>
      </c>
      <c r="D1096" s="2" t="s">
        <v>8694</v>
      </c>
      <c r="E1096" s="2" t="s">
        <v>8695</v>
      </c>
      <c r="F1096" s="2" t="s">
        <v>1425</v>
      </c>
      <c r="H1096" s="2" t="s">
        <v>1738</v>
      </c>
      <c r="I1096" s="2" t="s">
        <v>8696</v>
      </c>
      <c r="K1096" s="2" t="s">
        <v>8697</v>
      </c>
      <c r="L1096" s="2" t="s">
        <v>4055</v>
      </c>
      <c r="M1096" s="2" t="s">
        <v>1385</v>
      </c>
      <c r="N1096" s="2" t="s">
        <v>1386</v>
      </c>
      <c r="P1096" s="2" t="s">
        <v>4212</v>
      </c>
      <c r="R1096" s="2" t="s">
        <v>1462</v>
      </c>
      <c r="S1096" s="2">
        <v>15.0</v>
      </c>
      <c r="AN1096" s="2" t="s">
        <v>1368</v>
      </c>
    </row>
    <row r="1097" ht="15.75" customHeight="1">
      <c r="A1097" s="2" t="s">
        <v>8698</v>
      </c>
      <c r="B1097" s="2" t="s">
        <v>1396</v>
      </c>
      <c r="C1097" s="2">
        <v>1993.0</v>
      </c>
      <c r="D1097" s="2" t="s">
        <v>8699</v>
      </c>
      <c r="E1097" s="2" t="s">
        <v>8700</v>
      </c>
      <c r="L1097" s="2" t="s">
        <v>2735</v>
      </c>
      <c r="M1097" s="2" t="s">
        <v>1385</v>
      </c>
      <c r="N1097" s="2" t="s">
        <v>1386</v>
      </c>
      <c r="AA1097" s="2" t="s">
        <v>8701</v>
      </c>
      <c r="AN1097" s="2" t="s">
        <v>1368</v>
      </c>
    </row>
    <row r="1098" ht="15.75" customHeight="1">
      <c r="A1098" s="2" t="s">
        <v>8702</v>
      </c>
      <c r="B1098" s="2" t="s">
        <v>1396</v>
      </c>
      <c r="C1098" s="2">
        <v>1992.0</v>
      </c>
      <c r="D1098" s="2" t="s">
        <v>8703</v>
      </c>
      <c r="E1098" s="2" t="s">
        <v>8704</v>
      </c>
      <c r="L1098" s="2" t="s">
        <v>3458</v>
      </c>
      <c r="M1098" s="2" t="s">
        <v>1385</v>
      </c>
      <c r="N1098" s="2" t="s">
        <v>1386</v>
      </c>
      <c r="S1098" s="2">
        <v>904.0</v>
      </c>
      <c r="AA1098" s="2" t="s">
        <v>1406</v>
      </c>
      <c r="AN1098" s="2" t="s">
        <v>1368</v>
      </c>
    </row>
    <row r="1099" ht="15.75" customHeight="1">
      <c r="A1099" s="2" t="s">
        <v>8705</v>
      </c>
      <c r="B1099" s="2" t="s">
        <v>1361</v>
      </c>
      <c r="C1099" s="2">
        <v>2013.0</v>
      </c>
      <c r="D1099" s="2" t="s">
        <v>8706</v>
      </c>
      <c r="E1099" s="2" t="s">
        <v>8707</v>
      </c>
      <c r="F1099" s="2" t="s">
        <v>4205</v>
      </c>
      <c r="H1099" s="2" t="s">
        <v>4206</v>
      </c>
      <c r="I1099" s="2" t="s">
        <v>8708</v>
      </c>
      <c r="K1099" s="2" t="s">
        <v>8709</v>
      </c>
      <c r="L1099" s="2" t="s">
        <v>1429</v>
      </c>
      <c r="M1099" s="2" t="s">
        <v>1385</v>
      </c>
      <c r="N1099" s="2" t="s">
        <v>1386</v>
      </c>
      <c r="AN1099" s="2" t="s">
        <v>1368</v>
      </c>
    </row>
    <row r="1100" ht="15.75" customHeight="1">
      <c r="A1100" s="2" t="s">
        <v>8710</v>
      </c>
      <c r="B1100" s="2" t="s">
        <v>1361</v>
      </c>
      <c r="C1100" s="2">
        <v>2013.0</v>
      </c>
      <c r="D1100" s="2" t="s">
        <v>8711</v>
      </c>
      <c r="E1100" s="2" t="s">
        <v>558</v>
      </c>
      <c r="F1100" s="2" t="s">
        <v>2650</v>
      </c>
      <c r="H1100" s="2" t="s">
        <v>4293</v>
      </c>
      <c r="I1100" s="2" t="s">
        <v>8712</v>
      </c>
      <c r="K1100" s="2" t="s">
        <v>8713</v>
      </c>
      <c r="L1100" s="2" t="s">
        <v>1429</v>
      </c>
      <c r="M1100" s="2" t="s">
        <v>1385</v>
      </c>
      <c r="N1100" s="2" t="s">
        <v>1386</v>
      </c>
      <c r="AN1100" s="2" t="s">
        <v>1368</v>
      </c>
    </row>
    <row r="1101" ht="15.75" customHeight="1">
      <c r="A1101" s="2" t="s">
        <v>8714</v>
      </c>
      <c r="B1101" s="2" t="s">
        <v>1396</v>
      </c>
      <c r="C1101" s="2">
        <v>1975.0</v>
      </c>
      <c r="D1101" s="2" t="s">
        <v>8715</v>
      </c>
      <c r="E1101" s="2" t="s">
        <v>8716</v>
      </c>
      <c r="G1101" s="2" t="s">
        <v>8717</v>
      </c>
      <c r="L1101" s="2" t="s">
        <v>8718</v>
      </c>
      <c r="M1101" s="2" t="s">
        <v>1385</v>
      </c>
      <c r="N1101" s="2" t="s">
        <v>1386</v>
      </c>
      <c r="Q1101" s="2">
        <v>301.0</v>
      </c>
      <c r="AA1101" s="2" t="s">
        <v>8719</v>
      </c>
      <c r="AN1101" s="2" t="s">
        <v>1368</v>
      </c>
    </row>
    <row r="1102" ht="15.75" customHeight="1">
      <c r="A1102" s="2" t="s">
        <v>8720</v>
      </c>
      <c r="B1102" s="2" t="s">
        <v>1396</v>
      </c>
      <c r="C1102" s="2">
        <v>1987.0</v>
      </c>
      <c r="D1102" s="2" t="s">
        <v>8721</v>
      </c>
      <c r="E1102" s="2" t="s">
        <v>8722</v>
      </c>
      <c r="G1102" s="2" t="s">
        <v>8723</v>
      </c>
      <c r="L1102" s="2" t="s">
        <v>8724</v>
      </c>
      <c r="M1102" s="2" t="s">
        <v>1385</v>
      </c>
      <c r="N1102" s="2" t="s">
        <v>1386</v>
      </c>
      <c r="W1102" s="2" t="s">
        <v>8725</v>
      </c>
      <c r="AA1102" s="2" t="s">
        <v>3197</v>
      </c>
      <c r="AN1102" s="2" t="s">
        <v>1368</v>
      </c>
    </row>
    <row r="1103" ht="15.75" customHeight="1">
      <c r="A1103" s="2" t="s">
        <v>8726</v>
      </c>
      <c r="B1103" s="2" t="s">
        <v>1623</v>
      </c>
      <c r="C1103" s="2">
        <v>2015.0</v>
      </c>
      <c r="D1103" s="2" t="s">
        <v>8727</v>
      </c>
      <c r="E1103" s="2" t="s">
        <v>8728</v>
      </c>
      <c r="L1103" s="2" t="s">
        <v>1373</v>
      </c>
      <c r="M1103" s="2" t="s">
        <v>1385</v>
      </c>
      <c r="N1103" s="2" t="s">
        <v>1386</v>
      </c>
      <c r="AA1103" s="2" t="s">
        <v>1653</v>
      </c>
      <c r="AN1103" s="2" t="s">
        <v>1368</v>
      </c>
    </row>
    <row r="1104" ht="15.75" customHeight="1">
      <c r="A1104" s="2" t="s">
        <v>8729</v>
      </c>
      <c r="B1104" s="2" t="s">
        <v>1361</v>
      </c>
      <c r="C1104" s="2">
        <v>2010.0</v>
      </c>
      <c r="D1104" s="2" t="s">
        <v>8730</v>
      </c>
      <c r="E1104" s="2" t="s">
        <v>8731</v>
      </c>
      <c r="F1104" s="2" t="s">
        <v>5645</v>
      </c>
      <c r="H1104" s="2" t="s">
        <v>8732</v>
      </c>
      <c r="I1104" s="2" t="s">
        <v>8733</v>
      </c>
      <c r="K1104" s="2" t="s">
        <v>8734</v>
      </c>
      <c r="L1104" s="2" t="s">
        <v>1449</v>
      </c>
      <c r="M1104" s="2" t="s">
        <v>1385</v>
      </c>
      <c r="N1104" s="2" t="s">
        <v>1386</v>
      </c>
      <c r="AN1104" s="2" t="s">
        <v>1368</v>
      </c>
    </row>
    <row r="1105" ht="15.75" customHeight="1">
      <c r="A1105" s="2" t="s">
        <v>8735</v>
      </c>
      <c r="B1105" s="2" t="s">
        <v>1361</v>
      </c>
      <c r="C1105" s="2">
        <v>2017.0</v>
      </c>
      <c r="D1105" s="2" t="s">
        <v>8736</v>
      </c>
      <c r="E1105" s="2" t="s">
        <v>8737</v>
      </c>
      <c r="F1105" s="2" t="s">
        <v>1789</v>
      </c>
      <c r="H1105" s="2" t="s">
        <v>7029</v>
      </c>
      <c r="I1105" s="2" t="s">
        <v>8738</v>
      </c>
      <c r="K1105" s="2" t="s">
        <v>8739</v>
      </c>
      <c r="L1105" s="2" t="s">
        <v>1658</v>
      </c>
      <c r="M1105" s="2" t="s">
        <v>1385</v>
      </c>
      <c r="N1105" s="2" t="s">
        <v>1386</v>
      </c>
      <c r="P1105" s="2" t="s">
        <v>8740</v>
      </c>
      <c r="S1105" s="2">
        <v>43.0</v>
      </c>
      <c r="AN1105" s="2" t="s">
        <v>1368</v>
      </c>
    </row>
    <row r="1106" ht="15.75" customHeight="1">
      <c r="A1106" s="2" t="s">
        <v>8741</v>
      </c>
      <c r="B1106" s="2" t="s">
        <v>1361</v>
      </c>
      <c r="C1106" s="2">
        <v>2010.0</v>
      </c>
      <c r="D1106" s="2" t="s">
        <v>8742</v>
      </c>
      <c r="E1106" s="2" t="s">
        <v>8743</v>
      </c>
      <c r="F1106" s="2" t="s">
        <v>1587</v>
      </c>
      <c r="H1106" s="2" t="s">
        <v>8744</v>
      </c>
      <c r="I1106" s="2" t="s">
        <v>8745</v>
      </c>
      <c r="K1106" s="2" t="s">
        <v>8746</v>
      </c>
      <c r="L1106" s="2" t="s">
        <v>1449</v>
      </c>
      <c r="M1106" s="2" t="s">
        <v>1385</v>
      </c>
      <c r="N1106" s="2" t="s">
        <v>1386</v>
      </c>
      <c r="P1106" s="2" t="s">
        <v>8747</v>
      </c>
      <c r="R1106" s="2" t="s">
        <v>1937</v>
      </c>
      <c r="S1106" s="2">
        <v>24.0</v>
      </c>
      <c r="AN1106" s="2" t="s">
        <v>1368</v>
      </c>
    </row>
    <row r="1107" ht="15.75" customHeight="1">
      <c r="A1107" s="2" t="s">
        <v>8748</v>
      </c>
      <c r="B1107" s="2" t="s">
        <v>1361</v>
      </c>
      <c r="C1107" s="2">
        <v>2007.0</v>
      </c>
      <c r="D1107" s="2" t="s">
        <v>8749</v>
      </c>
      <c r="E1107" s="2" t="s">
        <v>8750</v>
      </c>
      <c r="F1107" s="2" t="s">
        <v>8751</v>
      </c>
      <c r="I1107" s="2" t="s">
        <v>8752</v>
      </c>
      <c r="K1107" s="2" t="s">
        <v>8753</v>
      </c>
      <c r="L1107" s="2" t="s">
        <v>2380</v>
      </c>
      <c r="M1107" s="2" t="s">
        <v>1385</v>
      </c>
      <c r="N1107" s="2" t="s">
        <v>1386</v>
      </c>
      <c r="P1107" s="2" t="s">
        <v>8754</v>
      </c>
      <c r="R1107" s="2" t="s">
        <v>1506</v>
      </c>
      <c r="S1107" s="2">
        <v>48.0</v>
      </c>
      <c r="AN1107" s="2" t="s">
        <v>1368</v>
      </c>
    </row>
    <row r="1108" ht="15.75" customHeight="1">
      <c r="A1108" s="2" t="s">
        <v>8755</v>
      </c>
      <c r="B1108" s="2" t="s">
        <v>1361</v>
      </c>
      <c r="C1108" s="2">
        <v>2017.0</v>
      </c>
      <c r="D1108" s="2" t="s">
        <v>8756</v>
      </c>
      <c r="E1108" s="2" t="s">
        <v>8757</v>
      </c>
      <c r="F1108" s="2" t="s">
        <v>1688</v>
      </c>
      <c r="H1108" s="2" t="s">
        <v>1689</v>
      </c>
      <c r="I1108" s="2" t="s">
        <v>8758</v>
      </c>
      <c r="K1108" s="2" t="s">
        <v>8759</v>
      </c>
      <c r="L1108" s="2" t="s">
        <v>1658</v>
      </c>
      <c r="M1108" s="2" t="s">
        <v>1385</v>
      </c>
      <c r="N1108" s="2" t="s">
        <v>1386</v>
      </c>
      <c r="AN1108" s="2" t="s">
        <v>1368</v>
      </c>
    </row>
    <row r="1109" ht="15.75" customHeight="1">
      <c r="A1109" s="2" t="s">
        <v>8760</v>
      </c>
      <c r="B1109" s="2" t="s">
        <v>1396</v>
      </c>
      <c r="C1109" s="2">
        <v>1996.0</v>
      </c>
      <c r="D1109" s="2" t="s">
        <v>8761</v>
      </c>
      <c r="E1109" s="2" t="s">
        <v>8762</v>
      </c>
      <c r="L1109" s="2" t="s">
        <v>2492</v>
      </c>
      <c r="M1109" s="2" t="s">
        <v>1385</v>
      </c>
      <c r="N1109" s="2" t="s">
        <v>1386</v>
      </c>
      <c r="AA1109" s="2" t="s">
        <v>8763</v>
      </c>
      <c r="AN1109" s="2" t="s">
        <v>1368</v>
      </c>
    </row>
    <row r="1110" ht="15.75" customHeight="1">
      <c r="A1110" s="2" t="s">
        <v>8764</v>
      </c>
      <c r="B1110" s="2" t="s">
        <v>1766</v>
      </c>
      <c r="C1110" s="2">
        <v>2001.0</v>
      </c>
      <c r="D1110" s="2" t="s">
        <v>8765</v>
      </c>
      <c r="E1110" s="2" t="s">
        <v>8766</v>
      </c>
      <c r="F1110" s="2" t="s">
        <v>8767</v>
      </c>
      <c r="L1110" s="2" t="s">
        <v>1414</v>
      </c>
      <c r="M1110" s="2" t="s">
        <v>1385</v>
      </c>
      <c r="N1110" s="2" t="s">
        <v>1386</v>
      </c>
      <c r="P1110" s="2" t="s">
        <v>8768</v>
      </c>
      <c r="AA1110" s="2" t="s">
        <v>2187</v>
      </c>
      <c r="AB1110" s="2" t="s">
        <v>7184</v>
      </c>
      <c r="AN1110" s="2" t="s">
        <v>1368</v>
      </c>
      <c r="AP1110" s="2" t="s">
        <v>8769</v>
      </c>
    </row>
    <row r="1111" ht="15.75" customHeight="1">
      <c r="A1111" s="2" t="s">
        <v>8770</v>
      </c>
      <c r="B1111" s="2" t="s">
        <v>1766</v>
      </c>
      <c r="C1111" s="2">
        <v>2003.0</v>
      </c>
      <c r="D1111" s="2" t="s">
        <v>8771</v>
      </c>
      <c r="E1111" s="2" t="s">
        <v>8772</v>
      </c>
      <c r="F1111" s="2" t="s">
        <v>8773</v>
      </c>
      <c r="L1111" s="2" t="s">
        <v>1606</v>
      </c>
      <c r="M1111" s="2" t="s">
        <v>1385</v>
      </c>
      <c r="N1111" s="2" t="s">
        <v>1386</v>
      </c>
      <c r="S1111" s="2">
        <v>1.0</v>
      </c>
      <c r="AA1111" s="2" t="s">
        <v>8774</v>
      </c>
      <c r="AN1111" s="2" t="s">
        <v>1368</v>
      </c>
      <c r="AP1111" s="2" t="s">
        <v>8775</v>
      </c>
    </row>
    <row r="1112" ht="15.75" customHeight="1">
      <c r="A1112" s="2" t="s">
        <v>8776</v>
      </c>
      <c r="B1112" s="2" t="s">
        <v>1361</v>
      </c>
      <c r="C1112" s="2">
        <v>2012.0</v>
      </c>
      <c r="D1112" s="2" t="s">
        <v>8777</v>
      </c>
      <c r="E1112" s="2" t="s">
        <v>699</v>
      </c>
      <c r="F1112" s="2" t="s">
        <v>2350</v>
      </c>
      <c r="H1112" s="2" t="s">
        <v>3132</v>
      </c>
      <c r="I1112" s="2" t="s">
        <v>702</v>
      </c>
      <c r="K1112" s="2" t="s">
        <v>8778</v>
      </c>
      <c r="L1112" s="2" t="s">
        <v>1405</v>
      </c>
      <c r="M1112" s="2" t="s">
        <v>1385</v>
      </c>
      <c r="N1112" s="2" t="s">
        <v>1386</v>
      </c>
      <c r="AN1112" s="2" t="s">
        <v>1368</v>
      </c>
    </row>
    <row r="1113" ht="15.75" customHeight="1">
      <c r="A1113" s="2" t="s">
        <v>8779</v>
      </c>
      <c r="B1113" s="2" t="s">
        <v>1361</v>
      </c>
      <c r="C1113" s="2">
        <v>2004.0</v>
      </c>
      <c r="D1113" s="2" t="s">
        <v>8780</v>
      </c>
      <c r="E1113" s="2" t="s">
        <v>8781</v>
      </c>
      <c r="F1113" s="2" t="s">
        <v>1425</v>
      </c>
      <c r="H1113" s="2" t="s">
        <v>1426</v>
      </c>
      <c r="I1113" s="2" t="s">
        <v>8782</v>
      </c>
      <c r="K1113" s="2" t="s">
        <v>8783</v>
      </c>
      <c r="L1113" s="2" t="s">
        <v>2373</v>
      </c>
      <c r="M1113" s="2" t="s">
        <v>1385</v>
      </c>
      <c r="N1113" s="2" t="s">
        <v>1386</v>
      </c>
      <c r="P1113" s="2" t="s">
        <v>8784</v>
      </c>
      <c r="R1113" s="2" t="s">
        <v>1453</v>
      </c>
      <c r="S1113" s="2">
        <v>48.0</v>
      </c>
      <c r="AN1113" s="2" t="s">
        <v>1368</v>
      </c>
    </row>
    <row r="1114" ht="15.75" customHeight="1">
      <c r="A1114" s="2" t="s">
        <v>8785</v>
      </c>
      <c r="B1114" s="2" t="s">
        <v>1361</v>
      </c>
      <c r="C1114" s="2">
        <v>2012.0</v>
      </c>
      <c r="D1114" s="2" t="s">
        <v>8786</v>
      </c>
      <c r="E1114" s="2" t="s">
        <v>8787</v>
      </c>
      <c r="F1114" s="2" t="s">
        <v>1863</v>
      </c>
      <c r="H1114" s="2" t="s">
        <v>1864</v>
      </c>
      <c r="I1114" s="2" t="s">
        <v>8788</v>
      </c>
      <c r="K1114" s="2" t="s">
        <v>8789</v>
      </c>
      <c r="L1114" s="2" t="s">
        <v>1405</v>
      </c>
      <c r="M1114" s="2" t="s">
        <v>1385</v>
      </c>
      <c r="N1114" s="2" t="s">
        <v>1386</v>
      </c>
      <c r="AN1114" s="2" t="s">
        <v>1368</v>
      </c>
    </row>
    <row r="1115" ht="15.75" customHeight="1">
      <c r="A1115" s="2" t="s">
        <v>8790</v>
      </c>
      <c r="B1115" s="2" t="s">
        <v>1766</v>
      </c>
      <c r="C1115" s="2">
        <v>2009.0</v>
      </c>
      <c r="D1115" s="2" t="s">
        <v>8791</v>
      </c>
      <c r="E1115" s="2" t="s">
        <v>8792</v>
      </c>
      <c r="F1115" s="2" t="s">
        <v>8793</v>
      </c>
      <c r="G1115" s="2" t="s">
        <v>8794</v>
      </c>
      <c r="L1115" s="2" t="s">
        <v>1364</v>
      </c>
      <c r="M1115" s="2" t="s">
        <v>1385</v>
      </c>
      <c r="N1115" s="2" t="s">
        <v>1386</v>
      </c>
      <c r="AA1115" s="2" t="s">
        <v>8795</v>
      </c>
      <c r="AN1115" s="2" t="s">
        <v>1368</v>
      </c>
      <c r="AP1115" s="2" t="s">
        <v>8796</v>
      </c>
    </row>
    <row r="1116" ht="15.75" customHeight="1">
      <c r="A1116" s="2" t="s">
        <v>8797</v>
      </c>
      <c r="B1116" s="2" t="s">
        <v>1361</v>
      </c>
      <c r="C1116" s="2">
        <v>2002.0</v>
      </c>
      <c r="D1116" s="2" t="s">
        <v>8780</v>
      </c>
      <c r="E1116" s="2" t="s">
        <v>8798</v>
      </c>
      <c r="F1116" s="2" t="s">
        <v>2676</v>
      </c>
      <c r="H1116" s="2" t="s">
        <v>8799</v>
      </c>
      <c r="I1116" s="2" t="s">
        <v>8800</v>
      </c>
      <c r="K1116" s="2" t="s">
        <v>8801</v>
      </c>
      <c r="L1116" s="2" t="s">
        <v>1493</v>
      </c>
      <c r="M1116" s="2" t="s">
        <v>1385</v>
      </c>
      <c r="N1116" s="2" t="s">
        <v>1386</v>
      </c>
      <c r="P1116" s="2" t="s">
        <v>8802</v>
      </c>
      <c r="R1116" s="2" t="s">
        <v>1600</v>
      </c>
      <c r="S1116" s="2">
        <v>84.0</v>
      </c>
      <c r="AN1116" s="2" t="s">
        <v>1368</v>
      </c>
    </row>
    <row r="1117" ht="15.75" customHeight="1">
      <c r="A1117" s="2" t="s">
        <v>8803</v>
      </c>
      <c r="B1117" s="2" t="s">
        <v>1361</v>
      </c>
      <c r="C1117" s="2">
        <v>2002.0</v>
      </c>
      <c r="D1117" s="2" t="s">
        <v>8804</v>
      </c>
      <c r="E1117" s="2" t="s">
        <v>8805</v>
      </c>
      <c r="F1117" s="2" t="s">
        <v>8806</v>
      </c>
      <c r="H1117" s="2" t="s">
        <v>8807</v>
      </c>
      <c r="I1117" s="2" t="s">
        <v>8808</v>
      </c>
      <c r="K1117" s="2" t="s">
        <v>8809</v>
      </c>
      <c r="L1117" s="2" t="s">
        <v>8810</v>
      </c>
      <c r="M1117" s="2" t="s">
        <v>1385</v>
      </c>
      <c r="N1117" s="2" t="s">
        <v>1386</v>
      </c>
      <c r="P1117" s="2" t="s">
        <v>8811</v>
      </c>
      <c r="R1117" s="2" t="s">
        <v>1480</v>
      </c>
      <c r="S1117" s="2">
        <v>34.0</v>
      </c>
      <c r="AN1117" s="2" t="s">
        <v>1368</v>
      </c>
    </row>
    <row r="1118" ht="15.75" customHeight="1">
      <c r="A1118" s="2" t="s">
        <v>8812</v>
      </c>
      <c r="B1118" s="2" t="s">
        <v>2615</v>
      </c>
      <c r="C1118" s="2">
        <v>2017.0</v>
      </c>
      <c r="D1118" s="2" t="s">
        <v>8813</v>
      </c>
      <c r="E1118" s="2" t="s">
        <v>8814</v>
      </c>
      <c r="L1118" s="2" t="s">
        <v>1658</v>
      </c>
      <c r="M1118" s="2" t="s">
        <v>1385</v>
      </c>
      <c r="N1118" s="2" t="s">
        <v>1386</v>
      </c>
      <c r="AA1118" s="2" t="s">
        <v>8815</v>
      </c>
      <c r="AN1118" s="2" t="s">
        <v>1368</v>
      </c>
      <c r="AP1118" s="2" t="s">
        <v>8816</v>
      </c>
    </row>
    <row r="1119" ht="15.75" customHeight="1">
      <c r="A1119" s="2" t="s">
        <v>8817</v>
      </c>
      <c r="B1119" s="2" t="s">
        <v>1361</v>
      </c>
      <c r="C1119" s="2">
        <v>2008.0</v>
      </c>
      <c r="D1119" s="2" t="s">
        <v>8818</v>
      </c>
      <c r="E1119" s="2" t="s">
        <v>8819</v>
      </c>
      <c r="F1119" s="2" t="s">
        <v>1510</v>
      </c>
      <c r="I1119" s="2" t="s">
        <v>8820</v>
      </c>
      <c r="L1119" s="2" t="s">
        <v>1458</v>
      </c>
      <c r="M1119" s="2" t="s">
        <v>8821</v>
      </c>
      <c r="N1119" s="2" t="s">
        <v>8822</v>
      </c>
      <c r="P1119" s="2" t="s">
        <v>8823</v>
      </c>
      <c r="R1119" s="2">
        <v>5864.0</v>
      </c>
      <c r="S1119" s="2">
        <v>319.0</v>
      </c>
      <c r="AN1119" s="2" t="s">
        <v>1368</v>
      </c>
    </row>
    <row r="1120" ht="15.75" customHeight="1">
      <c r="A1120" s="2" t="s">
        <v>8824</v>
      </c>
      <c r="B1120" s="2" t="s">
        <v>1361</v>
      </c>
      <c r="C1120" s="2">
        <v>1988.0</v>
      </c>
      <c r="D1120" s="2" t="s">
        <v>8825</v>
      </c>
      <c r="E1120" s="2" t="s">
        <v>8826</v>
      </c>
      <c r="F1120" s="2" t="s">
        <v>8827</v>
      </c>
      <c r="L1120" s="2" t="s">
        <v>4055</v>
      </c>
      <c r="M1120" s="2" t="s">
        <v>2081</v>
      </c>
      <c r="N1120" s="2" t="s">
        <v>2082</v>
      </c>
      <c r="P1120" s="2" t="s">
        <v>8828</v>
      </c>
      <c r="R1120" s="2">
        <v>4.0</v>
      </c>
      <c r="S1120" s="2">
        <v>2.0</v>
      </c>
      <c r="AN1120" s="2" t="s">
        <v>1368</v>
      </c>
    </row>
    <row r="1121" ht="15.75" customHeight="1">
      <c r="A1121" s="2" t="s">
        <v>8829</v>
      </c>
      <c r="B1121" s="2" t="s">
        <v>1361</v>
      </c>
      <c r="C1121" s="2">
        <v>2010.0</v>
      </c>
      <c r="D1121" s="2" t="s">
        <v>8830</v>
      </c>
      <c r="E1121" s="2" t="s">
        <v>8831</v>
      </c>
      <c r="F1121" s="2" t="s">
        <v>8832</v>
      </c>
      <c r="I1121" s="2" t="s">
        <v>8833</v>
      </c>
      <c r="L1121" s="2" t="s">
        <v>1449</v>
      </c>
      <c r="M1121" s="2" t="s">
        <v>8834</v>
      </c>
      <c r="N1121" s="2" t="s">
        <v>8835</v>
      </c>
      <c r="P1121" s="2" t="s">
        <v>8836</v>
      </c>
      <c r="R1121" s="2">
        <v>1684.0</v>
      </c>
      <c r="S1121" s="2">
        <v>277.0</v>
      </c>
      <c r="AN1121" s="2" t="s">
        <v>1368</v>
      </c>
    </row>
    <row r="1122" ht="15.75" customHeight="1">
      <c r="A1122" s="2" t="s">
        <v>8837</v>
      </c>
      <c r="B1122" s="2" t="s">
        <v>8838</v>
      </c>
      <c r="C1122" s="2">
        <v>2016.0</v>
      </c>
      <c r="D1122" s="2" t="s">
        <v>8839</v>
      </c>
      <c r="E1122" s="2" t="s">
        <v>8840</v>
      </c>
      <c r="J1122" s="2" t="s">
        <v>8841</v>
      </c>
      <c r="L1122" s="2" t="s">
        <v>5488</v>
      </c>
      <c r="M1122" s="2" t="s">
        <v>1385</v>
      </c>
      <c r="N1122" s="2" t="s">
        <v>1386</v>
      </c>
      <c r="AB1122" s="2" t="s">
        <v>5295</v>
      </c>
      <c r="AN1122" s="2" t="s">
        <v>1368</v>
      </c>
    </row>
    <row r="1123" ht="15.75" customHeight="1">
      <c r="A1123" s="2" t="s">
        <v>8842</v>
      </c>
      <c r="B1123" s="2" t="s">
        <v>1396</v>
      </c>
      <c r="C1123" s="2">
        <v>2010.0</v>
      </c>
      <c r="D1123" s="2" t="s">
        <v>8843</v>
      </c>
      <c r="E1123" s="2" t="s">
        <v>8844</v>
      </c>
      <c r="L1123" s="2" t="s">
        <v>1449</v>
      </c>
      <c r="M1123" s="2" t="s">
        <v>1385</v>
      </c>
      <c r="N1123" s="2" t="s">
        <v>1386</v>
      </c>
      <c r="AA1123" s="2" t="s">
        <v>8845</v>
      </c>
      <c r="AB1123" s="2" t="s">
        <v>8846</v>
      </c>
      <c r="AN1123" s="2" t="s">
        <v>1368</v>
      </c>
    </row>
    <row r="1124" ht="15.75" customHeight="1">
      <c r="A1124" s="2" t="s">
        <v>8847</v>
      </c>
      <c r="B1124" s="2" t="s">
        <v>1396</v>
      </c>
      <c r="C1124" s="2">
        <v>2013.0</v>
      </c>
      <c r="D1124" s="2" t="s">
        <v>8848</v>
      </c>
      <c r="E1124" s="2" t="s">
        <v>8849</v>
      </c>
      <c r="G1124" s="2" t="s">
        <v>8850</v>
      </c>
      <c r="L1124" s="2" t="s">
        <v>1429</v>
      </c>
      <c r="M1124" s="2" t="s">
        <v>1385</v>
      </c>
      <c r="N1124" s="2" t="s">
        <v>1386</v>
      </c>
      <c r="AA1124" s="2" t="s">
        <v>8851</v>
      </c>
      <c r="AB1124" s="2" t="s">
        <v>8852</v>
      </c>
      <c r="AN1124" s="2" t="s">
        <v>1368</v>
      </c>
    </row>
    <row r="1125" ht="15.75" customHeight="1">
      <c r="A1125" s="2" t="s">
        <v>8853</v>
      </c>
      <c r="B1125" s="2" t="s">
        <v>1766</v>
      </c>
      <c r="C1125" s="2">
        <v>2018.0</v>
      </c>
      <c r="D1125" s="2" t="s">
        <v>8854</v>
      </c>
      <c r="E1125" s="2" t="s">
        <v>8855</v>
      </c>
      <c r="L1125" s="2" t="s">
        <v>1420</v>
      </c>
      <c r="M1125" s="2" t="s">
        <v>1385</v>
      </c>
      <c r="N1125" s="2" t="s">
        <v>1386</v>
      </c>
      <c r="P1125" s="2" t="s">
        <v>8856</v>
      </c>
      <c r="AN1125" s="2" t="s">
        <v>1368</v>
      </c>
    </row>
    <row r="1126" ht="15.75" customHeight="1">
      <c r="A1126" s="2" t="s">
        <v>8857</v>
      </c>
      <c r="B1126" s="2" t="s">
        <v>1361</v>
      </c>
      <c r="C1126" s="2">
        <v>2004.0</v>
      </c>
      <c r="D1126" s="2" t="s">
        <v>8858</v>
      </c>
      <c r="E1126" s="2" t="s">
        <v>8859</v>
      </c>
      <c r="F1126" s="2" t="s">
        <v>8860</v>
      </c>
      <c r="H1126" s="2" t="s">
        <v>8861</v>
      </c>
      <c r="I1126" s="2" t="s">
        <v>8862</v>
      </c>
      <c r="L1126" s="2" t="s">
        <v>2373</v>
      </c>
      <c r="M1126" s="2" t="s">
        <v>1385</v>
      </c>
      <c r="N1126" s="2" t="s">
        <v>1386</v>
      </c>
      <c r="P1126" s="2" t="s">
        <v>8863</v>
      </c>
      <c r="R1126" s="2">
        <v>4.0</v>
      </c>
      <c r="S1126" s="2">
        <v>5.0</v>
      </c>
      <c r="AN1126" s="2" t="s">
        <v>1368</v>
      </c>
    </row>
    <row r="1127" ht="15.75" customHeight="1">
      <c r="A1127" s="2" t="s">
        <v>8864</v>
      </c>
      <c r="B1127" s="2" t="s">
        <v>1396</v>
      </c>
      <c r="C1127" s="2">
        <v>2004.0</v>
      </c>
      <c r="D1127" s="2" t="s">
        <v>8865</v>
      </c>
      <c r="E1127" s="2" t="s">
        <v>8866</v>
      </c>
      <c r="L1127" s="2" t="s">
        <v>2373</v>
      </c>
      <c r="M1127" s="2" t="s">
        <v>1385</v>
      </c>
      <c r="N1127" s="2" t="s">
        <v>1386</v>
      </c>
      <c r="AA1127" s="2" t="s">
        <v>8867</v>
      </c>
      <c r="AN1127" s="2" t="s">
        <v>1368</v>
      </c>
    </row>
    <row r="1128" ht="15.75" customHeight="1">
      <c r="A1128" s="2" t="s">
        <v>8868</v>
      </c>
      <c r="B1128" s="2" t="s">
        <v>1361</v>
      </c>
      <c r="C1128" s="2">
        <v>2018.0</v>
      </c>
      <c r="D1128" s="2" t="s">
        <v>8869</v>
      </c>
      <c r="E1128" s="2" t="s">
        <v>8870</v>
      </c>
      <c r="F1128" s="2" t="s">
        <v>8871</v>
      </c>
      <c r="H1128" s="2" t="s">
        <v>8872</v>
      </c>
      <c r="I1128" s="2" t="s">
        <v>8873</v>
      </c>
      <c r="J1128" s="2" t="s">
        <v>8874</v>
      </c>
      <c r="L1128" s="2" t="s">
        <v>8875</v>
      </c>
      <c r="M1128" s="2" t="s">
        <v>1385</v>
      </c>
      <c r="N1128" s="2" t="s">
        <v>1386</v>
      </c>
      <c r="P1128" s="2" t="s">
        <v>8876</v>
      </c>
      <c r="R1128" s="2">
        <v>5.0</v>
      </c>
      <c r="S1128" s="2">
        <v>48.0</v>
      </c>
      <c r="AN1128" s="2" t="s">
        <v>1368</v>
      </c>
    </row>
    <row r="1129" ht="15.75" customHeight="1">
      <c r="A1129" s="2" t="s">
        <v>8877</v>
      </c>
      <c r="B1129" s="2" t="s">
        <v>1361</v>
      </c>
      <c r="C1129" s="2">
        <v>2016.0</v>
      </c>
      <c r="D1129" s="2" t="s">
        <v>8878</v>
      </c>
      <c r="E1129" s="2" t="s">
        <v>8879</v>
      </c>
      <c r="F1129" s="2" t="s">
        <v>8880</v>
      </c>
      <c r="I1129" s="2" t="s">
        <v>8881</v>
      </c>
      <c r="L1129" s="2">
        <v>2016.0</v>
      </c>
      <c r="M1129" s="2" t="s">
        <v>8882</v>
      </c>
      <c r="N1129" s="2" t="s">
        <v>8883</v>
      </c>
      <c r="P1129" s="2" t="s">
        <v>8884</v>
      </c>
      <c r="R1129" s="2">
        <v>2.0</v>
      </c>
      <c r="S1129" s="2">
        <v>13.0</v>
      </c>
      <c r="AN1129" s="2" t="s">
        <v>1368</v>
      </c>
    </row>
    <row r="1130" ht="15.75" customHeight="1">
      <c r="A1130" s="2" t="s">
        <v>8885</v>
      </c>
      <c r="B1130" s="2" t="s">
        <v>1361</v>
      </c>
      <c r="C1130" s="2">
        <v>2003.0</v>
      </c>
      <c r="D1130" s="2" t="s">
        <v>8886</v>
      </c>
      <c r="E1130" s="2" t="s">
        <v>8887</v>
      </c>
      <c r="F1130" s="2" t="s">
        <v>8888</v>
      </c>
      <c r="I1130" s="2" t="s">
        <v>8889</v>
      </c>
      <c r="L1130" s="2">
        <v>2003.0</v>
      </c>
      <c r="M1130" s="2" t="s">
        <v>8890</v>
      </c>
      <c r="N1130" s="2" t="s">
        <v>8891</v>
      </c>
      <c r="P1130" s="2" t="s">
        <v>8892</v>
      </c>
      <c r="R1130" s="2">
        <v>2.0</v>
      </c>
      <c r="S1130" s="2">
        <v>12.0</v>
      </c>
      <c r="AN1130" s="2" t="s">
        <v>1368</v>
      </c>
    </row>
    <row r="1131" ht="15.75" customHeight="1">
      <c r="A1131" s="2" t="s">
        <v>8893</v>
      </c>
      <c r="B1131" s="2" t="s">
        <v>1361</v>
      </c>
      <c r="C1131" s="2">
        <v>2017.0</v>
      </c>
      <c r="D1131" s="2" t="s">
        <v>8894</v>
      </c>
      <c r="E1131" s="2" t="s">
        <v>8895</v>
      </c>
      <c r="F1131" s="2" t="s">
        <v>1500</v>
      </c>
      <c r="I1131" s="2" t="s">
        <v>8896</v>
      </c>
      <c r="L1131" s="2">
        <v>2017.0</v>
      </c>
      <c r="M1131" s="2" t="s">
        <v>8897</v>
      </c>
      <c r="N1131" s="2" t="s">
        <v>8898</v>
      </c>
      <c r="P1131" s="2" t="s">
        <v>8899</v>
      </c>
      <c r="R1131" s="2">
        <v>3.0</v>
      </c>
      <c r="S1131" s="2">
        <v>68.0</v>
      </c>
      <c r="AN1131" s="2" t="s">
        <v>1368</v>
      </c>
    </row>
    <row r="1132" ht="15.75" customHeight="1">
      <c r="A1132" s="2" t="s">
        <v>8900</v>
      </c>
      <c r="B1132" s="2" t="s">
        <v>1361</v>
      </c>
      <c r="C1132" s="2">
        <v>2014.0</v>
      </c>
      <c r="D1132" s="2" t="s">
        <v>8901</v>
      </c>
      <c r="E1132" s="2" t="s">
        <v>8902</v>
      </c>
      <c r="F1132" s="2" t="s">
        <v>8903</v>
      </c>
      <c r="L1132" s="2">
        <v>2014.0</v>
      </c>
      <c r="M1132" s="2" t="s">
        <v>8904</v>
      </c>
      <c r="N1132" s="2" t="s">
        <v>8905</v>
      </c>
      <c r="P1132" s="2" t="s">
        <v>8906</v>
      </c>
      <c r="R1132" s="2">
        <v>44.0</v>
      </c>
      <c r="S1132" s="2">
        <v>22.0</v>
      </c>
      <c r="AN1132" s="2" t="s">
        <v>1368</v>
      </c>
    </row>
    <row r="1133" ht="15.75" customHeight="1">
      <c r="A1133" s="2" t="s">
        <v>8907</v>
      </c>
      <c r="B1133" s="2" t="s">
        <v>1361</v>
      </c>
      <c r="C1133" s="2">
        <v>2018.0</v>
      </c>
      <c r="D1133" s="2" t="s">
        <v>8908</v>
      </c>
      <c r="E1133" s="2" t="s">
        <v>8909</v>
      </c>
      <c r="F1133" s="2" t="s">
        <v>1789</v>
      </c>
      <c r="I1133" s="2" t="s">
        <v>8910</v>
      </c>
      <c r="L1133" s="2">
        <v>2018.0</v>
      </c>
      <c r="M1133" s="2" t="s">
        <v>8911</v>
      </c>
      <c r="N1133" s="2" t="s">
        <v>8912</v>
      </c>
      <c r="P1133" s="2" t="s">
        <v>8913</v>
      </c>
      <c r="S1133" s="2">
        <v>52.0</v>
      </c>
      <c r="AN1133" s="2" t="s">
        <v>1368</v>
      </c>
    </row>
    <row r="1134" ht="15.75" customHeight="1">
      <c r="A1134" s="2" t="s">
        <v>8914</v>
      </c>
      <c r="B1134" s="2" t="s">
        <v>1396</v>
      </c>
      <c r="C1134" s="2">
        <v>2015.0</v>
      </c>
      <c r="D1134" s="2" t="s">
        <v>8915</v>
      </c>
      <c r="E1134" s="2" t="s">
        <v>8916</v>
      </c>
      <c r="J1134" s="2" t="s">
        <v>8917</v>
      </c>
      <c r="K1134" s="2" t="s">
        <v>8918</v>
      </c>
      <c r="L1134" s="2">
        <v>2015.0</v>
      </c>
      <c r="M1134" s="2" t="s">
        <v>1385</v>
      </c>
      <c r="N1134" s="2" t="s">
        <v>1386</v>
      </c>
      <c r="Q1134" s="2" t="s">
        <v>8919</v>
      </c>
      <c r="AA1134" s="2" t="s">
        <v>5287</v>
      </c>
      <c r="AN1134" s="2" t="s">
        <v>1368</v>
      </c>
    </row>
    <row r="1135" ht="15.75" customHeight="1">
      <c r="A1135" s="2" t="s">
        <v>8920</v>
      </c>
      <c r="B1135" s="2" t="s">
        <v>1396</v>
      </c>
      <c r="C1135" s="2">
        <v>2016.0</v>
      </c>
      <c r="D1135" s="2" t="s">
        <v>8921</v>
      </c>
      <c r="E1135" s="2" t="s">
        <v>8922</v>
      </c>
      <c r="G1135" s="2" t="s">
        <v>8923</v>
      </c>
      <c r="L1135" s="2">
        <v>2016.0</v>
      </c>
      <c r="M1135" s="2" t="s">
        <v>1385</v>
      </c>
      <c r="N1135" s="2" t="s">
        <v>1386</v>
      </c>
      <c r="AA1135" s="2" t="s">
        <v>8924</v>
      </c>
      <c r="AN1135" s="2" t="s">
        <v>1368</v>
      </c>
    </row>
    <row r="1136" ht="15.75" customHeight="1">
      <c r="A1136" s="2" t="s">
        <v>8925</v>
      </c>
      <c r="B1136" s="2" t="s">
        <v>1396</v>
      </c>
      <c r="C1136" s="2">
        <v>2007.0</v>
      </c>
      <c r="D1136" s="2" t="s">
        <v>8926</v>
      </c>
      <c r="E1136" s="2" t="s">
        <v>8927</v>
      </c>
      <c r="L1136" s="2">
        <v>2007.0</v>
      </c>
      <c r="M1136" s="2" t="s">
        <v>1385</v>
      </c>
      <c r="N1136" s="2" t="s">
        <v>1386</v>
      </c>
      <c r="AA1136" s="2" t="s">
        <v>2187</v>
      </c>
      <c r="AN1136" s="2" t="s">
        <v>1368</v>
      </c>
    </row>
    <row r="1137" ht="15.75" customHeight="1">
      <c r="A1137" s="2" t="s">
        <v>8928</v>
      </c>
      <c r="B1137" s="2" t="s">
        <v>1396</v>
      </c>
      <c r="C1137" s="2">
        <v>2015.0</v>
      </c>
      <c r="D1137" s="2" t="s">
        <v>8929</v>
      </c>
      <c r="E1137" s="2" t="s">
        <v>8930</v>
      </c>
      <c r="L1137" s="2">
        <v>2015.0</v>
      </c>
      <c r="M1137" s="2" t="s">
        <v>1385</v>
      </c>
      <c r="N1137" s="2" t="s">
        <v>1386</v>
      </c>
      <c r="AA1137" s="2" t="s">
        <v>2145</v>
      </c>
      <c r="AN1137" s="2" t="s">
        <v>1368</v>
      </c>
    </row>
    <row r="1138" ht="15.75" customHeight="1">
      <c r="A1138" s="2" t="s">
        <v>8931</v>
      </c>
      <c r="B1138" s="2" t="s">
        <v>1396</v>
      </c>
      <c r="C1138" s="2">
        <v>2007.0</v>
      </c>
      <c r="D1138" s="2" t="s">
        <v>7245</v>
      </c>
      <c r="E1138" s="2" t="s">
        <v>8932</v>
      </c>
      <c r="G1138" s="2" t="s">
        <v>8933</v>
      </c>
      <c r="K1138" s="2" t="s">
        <v>8934</v>
      </c>
      <c r="L1138" s="2">
        <v>2007.0</v>
      </c>
      <c r="M1138" s="2" t="s">
        <v>1385</v>
      </c>
      <c r="N1138" s="2" t="s">
        <v>1386</v>
      </c>
      <c r="Q1138" s="2" t="s">
        <v>6830</v>
      </c>
      <c r="AA1138" s="2" t="s">
        <v>8935</v>
      </c>
      <c r="AN1138" s="2" t="s">
        <v>1368</v>
      </c>
    </row>
    <row r="1139" ht="15.75" customHeight="1">
      <c r="A1139" s="2" t="s">
        <v>8936</v>
      </c>
      <c r="B1139" s="2" t="s">
        <v>1361</v>
      </c>
      <c r="C1139" s="2">
        <v>2017.0</v>
      </c>
      <c r="D1139" s="2" t="s">
        <v>8937</v>
      </c>
      <c r="E1139" s="2" t="s">
        <v>8938</v>
      </c>
      <c r="F1139" s="2" t="s">
        <v>3247</v>
      </c>
      <c r="H1139" s="2" t="s">
        <v>2892</v>
      </c>
      <c r="I1139" s="2" t="s">
        <v>110</v>
      </c>
      <c r="J1139" s="2" t="s">
        <v>8939</v>
      </c>
      <c r="K1139" s="2" t="s">
        <v>8940</v>
      </c>
      <c r="L1139" s="2" t="s">
        <v>1658</v>
      </c>
      <c r="M1139" s="2" t="s">
        <v>8941</v>
      </c>
      <c r="N1139" s="2" t="s">
        <v>8942</v>
      </c>
      <c r="P1139" s="2" t="s">
        <v>8943</v>
      </c>
      <c r="R1139" s="2">
        <v>14.0</v>
      </c>
      <c r="S1139" s="2">
        <v>114.0</v>
      </c>
      <c r="U1139" s="2" t="s">
        <v>2901</v>
      </c>
      <c r="AC1139" s="2" t="s">
        <v>1540</v>
      </c>
      <c r="AH1139" s="2" t="s">
        <v>1541</v>
      </c>
      <c r="AN1139" s="2" t="s">
        <v>1556</v>
      </c>
    </row>
    <row r="1140" ht="15.75" customHeight="1">
      <c r="A1140" s="2" t="s">
        <v>8944</v>
      </c>
      <c r="B1140" s="2" t="s">
        <v>1361</v>
      </c>
      <c r="C1140" s="2">
        <v>2015.0</v>
      </c>
      <c r="D1140" s="2" t="s">
        <v>8945</v>
      </c>
      <c r="E1140" s="2" t="s">
        <v>8946</v>
      </c>
      <c r="F1140" s="2" t="s">
        <v>2641</v>
      </c>
      <c r="H1140" s="2" t="s">
        <v>5876</v>
      </c>
      <c r="I1140" s="2" t="s">
        <v>8947</v>
      </c>
      <c r="J1140" s="2" t="s">
        <v>8948</v>
      </c>
      <c r="K1140" s="2" t="s">
        <v>8949</v>
      </c>
      <c r="L1140" s="2" t="s">
        <v>5974</v>
      </c>
      <c r="M1140" s="2" t="s">
        <v>1385</v>
      </c>
      <c r="N1140" s="2" t="s">
        <v>1386</v>
      </c>
      <c r="O1140" s="2" t="s">
        <v>8950</v>
      </c>
      <c r="P1140" s="2" t="s">
        <v>8951</v>
      </c>
      <c r="R1140" s="2">
        <v>1.0</v>
      </c>
      <c r="S1140" s="2">
        <v>10.0</v>
      </c>
      <c r="U1140" s="2" t="s">
        <v>5884</v>
      </c>
      <c r="AC1140" s="2" t="s">
        <v>1540</v>
      </c>
      <c r="AH1140" s="2" t="s">
        <v>8952</v>
      </c>
      <c r="AN1140" s="2" t="s">
        <v>1368</v>
      </c>
    </row>
    <row r="1141" ht="15.75" customHeight="1">
      <c r="A1141" s="2" t="s">
        <v>8953</v>
      </c>
      <c r="B1141" s="2" t="s">
        <v>1361</v>
      </c>
      <c r="C1141" s="2">
        <v>2012.0</v>
      </c>
      <c r="D1141" s="2" t="s">
        <v>8954</v>
      </c>
      <c r="E1141" s="2" t="s">
        <v>8955</v>
      </c>
      <c r="F1141" s="2" t="s">
        <v>219</v>
      </c>
      <c r="I1141" s="2" t="s">
        <v>685</v>
      </c>
      <c r="L1141" s="2" t="s">
        <v>1405</v>
      </c>
      <c r="M1141" s="2" t="s">
        <v>1385</v>
      </c>
      <c r="N1141" s="2" t="s">
        <v>1386</v>
      </c>
      <c r="P1141" s="2" t="s">
        <v>8956</v>
      </c>
      <c r="R1141" s="2">
        <v>3.0</v>
      </c>
      <c r="S1141" s="2">
        <v>25.0</v>
      </c>
      <c r="AN1141" s="2" t="s">
        <v>1368</v>
      </c>
    </row>
    <row r="1142" ht="15.75" customHeight="1">
      <c r="A1142" s="2" t="s">
        <v>8957</v>
      </c>
      <c r="B1142" s="2" t="s">
        <v>1361</v>
      </c>
      <c r="C1142" s="2">
        <v>2018.0</v>
      </c>
      <c r="D1142" s="2" t="s">
        <v>8958</v>
      </c>
      <c r="E1142" s="2" t="s">
        <v>8959</v>
      </c>
      <c r="L1142" s="2" t="s">
        <v>1420</v>
      </c>
      <c r="M1142" s="2" t="s">
        <v>1385</v>
      </c>
      <c r="N1142" s="2" t="s">
        <v>1386</v>
      </c>
      <c r="AN1142" s="2" t="s">
        <v>1368</v>
      </c>
    </row>
    <row r="1143" ht="15.75" customHeight="1">
      <c r="A1143" s="2" t="s">
        <v>8960</v>
      </c>
      <c r="B1143" s="2" t="s">
        <v>1396</v>
      </c>
      <c r="C1143" s="2">
        <v>2012.0</v>
      </c>
      <c r="D1143" s="2" t="s">
        <v>8958</v>
      </c>
      <c r="E1143" s="2" t="s">
        <v>8961</v>
      </c>
      <c r="L1143" s="2" t="s">
        <v>1405</v>
      </c>
      <c r="M1143" s="2" t="s">
        <v>1385</v>
      </c>
      <c r="N1143" s="2" t="s">
        <v>1386</v>
      </c>
      <c r="AA1143" s="2" t="s">
        <v>8962</v>
      </c>
      <c r="AN1143" s="2" t="s">
        <v>1368</v>
      </c>
    </row>
    <row r="1144" ht="15.75" customHeight="1">
      <c r="A1144" s="2" t="s">
        <v>8963</v>
      </c>
      <c r="B1144" s="2" t="s">
        <v>1396</v>
      </c>
      <c r="C1144" s="2">
        <v>2012.0</v>
      </c>
      <c r="D1144" s="2" t="s">
        <v>8964</v>
      </c>
      <c r="E1144" s="2" t="s">
        <v>8965</v>
      </c>
      <c r="G1144" s="2" t="s">
        <v>8966</v>
      </c>
      <c r="K1144" s="2" t="s">
        <v>8967</v>
      </c>
      <c r="L1144" s="2" t="s">
        <v>1405</v>
      </c>
      <c r="M1144" s="2" t="s">
        <v>1385</v>
      </c>
      <c r="N1144" s="2" t="s">
        <v>1386</v>
      </c>
      <c r="AN1144" s="2" t="s">
        <v>1368</v>
      </c>
    </row>
    <row r="1145" ht="15.75" customHeight="1">
      <c r="A1145" s="2" t="s">
        <v>8968</v>
      </c>
      <c r="B1145" s="2" t="s">
        <v>1396</v>
      </c>
      <c r="C1145" s="2">
        <v>1995.0</v>
      </c>
      <c r="D1145" s="2" t="s">
        <v>8969</v>
      </c>
      <c r="E1145" s="2" t="s">
        <v>8970</v>
      </c>
      <c r="L1145" s="2" t="s">
        <v>2089</v>
      </c>
      <c r="M1145" s="2" t="s">
        <v>1385</v>
      </c>
      <c r="N1145" s="2" t="s">
        <v>1386</v>
      </c>
      <c r="AA1145" s="2" t="s">
        <v>7249</v>
      </c>
      <c r="AB1145" s="2" t="s">
        <v>7321</v>
      </c>
      <c r="AN1145" s="2" t="s">
        <v>1368</v>
      </c>
    </row>
    <row r="1146" ht="15.75" customHeight="1">
      <c r="A1146" s="2" t="s">
        <v>8971</v>
      </c>
      <c r="B1146" s="2" t="s">
        <v>1766</v>
      </c>
      <c r="C1146" s="2">
        <v>2016.0</v>
      </c>
      <c r="D1146" s="2" t="s">
        <v>8972</v>
      </c>
      <c r="E1146" s="2" t="s">
        <v>8973</v>
      </c>
      <c r="G1146" s="2" t="s">
        <v>8974</v>
      </c>
      <c r="J1146" s="2" t="s">
        <v>8975</v>
      </c>
      <c r="K1146" s="2" t="s">
        <v>8976</v>
      </c>
      <c r="L1146" s="2" t="s">
        <v>1502</v>
      </c>
      <c r="M1146" s="2" t="s">
        <v>1385</v>
      </c>
      <c r="N1146" s="2" t="s">
        <v>1386</v>
      </c>
      <c r="P1146" s="2" t="s">
        <v>8977</v>
      </c>
      <c r="AA1146" s="2" t="s">
        <v>4506</v>
      </c>
      <c r="AB1146" s="2" t="s">
        <v>2146</v>
      </c>
      <c r="AN1146" s="2" t="s">
        <v>1368</v>
      </c>
      <c r="AP1146" s="2" t="s">
        <v>8978</v>
      </c>
    </row>
    <row r="1147" ht="15.75" customHeight="1">
      <c r="A1147" s="2" t="s">
        <v>8979</v>
      </c>
      <c r="B1147" s="2" t="s">
        <v>1361</v>
      </c>
      <c r="C1147" s="2">
        <v>2004.0</v>
      </c>
      <c r="D1147" s="2" t="s">
        <v>8980</v>
      </c>
      <c r="E1147" s="2" t="s">
        <v>8981</v>
      </c>
      <c r="F1147" s="2" t="s">
        <v>1500</v>
      </c>
      <c r="H1147" s="2" t="s">
        <v>8982</v>
      </c>
      <c r="I1147" s="2" t="s">
        <v>8983</v>
      </c>
      <c r="K1147" s="2" t="s">
        <v>8984</v>
      </c>
      <c r="L1147" s="2" t="s">
        <v>2373</v>
      </c>
      <c r="M1147" s="2" t="s">
        <v>1385</v>
      </c>
      <c r="N1147" s="2" t="s">
        <v>1386</v>
      </c>
      <c r="P1147" s="2" t="s">
        <v>8985</v>
      </c>
      <c r="R1147" s="2">
        <v>2.0</v>
      </c>
      <c r="S1147" s="2">
        <v>29.0</v>
      </c>
      <c r="AN1147" s="2" t="s">
        <v>1368</v>
      </c>
    </row>
    <row r="1148" ht="15.75" customHeight="1">
      <c r="A1148" s="2" t="s">
        <v>8986</v>
      </c>
      <c r="B1148" s="2" t="s">
        <v>1361</v>
      </c>
      <c r="C1148" s="2">
        <v>2007.0</v>
      </c>
      <c r="D1148" s="2" t="s">
        <v>8987</v>
      </c>
      <c r="E1148" s="2" t="s">
        <v>8988</v>
      </c>
      <c r="F1148" s="2" t="s">
        <v>1760</v>
      </c>
      <c r="I1148" s="2" t="s">
        <v>8989</v>
      </c>
      <c r="L1148" s="2" t="s">
        <v>2380</v>
      </c>
      <c r="M1148" s="2" t="s">
        <v>1385</v>
      </c>
      <c r="N1148" s="2" t="s">
        <v>1386</v>
      </c>
      <c r="P1148" s="2" t="s">
        <v>8990</v>
      </c>
      <c r="S1148" s="2">
        <v>60.0</v>
      </c>
      <c r="AN1148" s="2" t="s">
        <v>1368</v>
      </c>
    </row>
    <row r="1149" ht="15.75" customHeight="1">
      <c r="A1149" s="2" t="s">
        <v>8991</v>
      </c>
      <c r="B1149" s="2" t="s">
        <v>1361</v>
      </c>
      <c r="C1149" s="2">
        <v>2016.0</v>
      </c>
      <c r="D1149" s="2" t="s">
        <v>8992</v>
      </c>
      <c r="E1149" s="2" t="s">
        <v>8993</v>
      </c>
      <c r="F1149" s="2" t="s">
        <v>1688</v>
      </c>
      <c r="I1149" s="2" t="s">
        <v>8994</v>
      </c>
      <c r="L1149" s="2" t="s">
        <v>1502</v>
      </c>
      <c r="M1149" s="2" t="s">
        <v>8995</v>
      </c>
      <c r="N1149" s="2" t="s">
        <v>8996</v>
      </c>
      <c r="P1149" s="2" t="s">
        <v>8997</v>
      </c>
      <c r="R1149" s="2" t="s">
        <v>3628</v>
      </c>
      <c r="S1149" s="2">
        <v>113.0</v>
      </c>
      <c r="AN1149" s="2" t="s">
        <v>1368</v>
      </c>
    </row>
    <row r="1150" ht="15.75" customHeight="1">
      <c r="A1150" s="2" t="s">
        <v>8998</v>
      </c>
      <c r="B1150" s="2" t="s">
        <v>2615</v>
      </c>
      <c r="C1150" s="2">
        <v>1999.0</v>
      </c>
      <c r="D1150" s="2" t="s">
        <v>8999</v>
      </c>
      <c r="E1150" s="2" t="s">
        <v>9000</v>
      </c>
      <c r="J1150" s="2" t="s">
        <v>9001</v>
      </c>
      <c r="K1150" s="2" t="s">
        <v>9002</v>
      </c>
      <c r="L1150" s="2" t="s">
        <v>1434</v>
      </c>
      <c r="M1150" s="2" t="s">
        <v>9003</v>
      </c>
      <c r="N1150" s="2" t="s">
        <v>9004</v>
      </c>
      <c r="W1150" s="2" t="s">
        <v>9005</v>
      </c>
      <c r="AN1150" s="2" t="s">
        <v>1368</v>
      </c>
    </row>
    <row r="1151" ht="15.75" customHeight="1">
      <c r="A1151" s="2" t="s">
        <v>9006</v>
      </c>
      <c r="B1151" s="2" t="s">
        <v>1361</v>
      </c>
      <c r="C1151" s="2">
        <v>2014.0</v>
      </c>
      <c r="D1151" s="2" t="s">
        <v>9007</v>
      </c>
      <c r="E1151" s="2" t="s">
        <v>9008</v>
      </c>
      <c r="F1151" s="2" t="s">
        <v>9009</v>
      </c>
      <c r="I1151" s="2" t="s">
        <v>9010</v>
      </c>
      <c r="L1151" s="2" t="s">
        <v>1476</v>
      </c>
      <c r="M1151" s="2" t="s">
        <v>9011</v>
      </c>
      <c r="N1151" s="2" t="s">
        <v>9012</v>
      </c>
      <c r="P1151" s="2" t="s">
        <v>9013</v>
      </c>
      <c r="AN1151" s="2" t="s">
        <v>1368</v>
      </c>
    </row>
    <row r="1152" ht="15.75" customHeight="1">
      <c r="A1152" s="2" t="s">
        <v>9014</v>
      </c>
      <c r="B1152" s="2" t="s">
        <v>1361</v>
      </c>
      <c r="C1152" s="2">
        <v>2010.0</v>
      </c>
      <c r="D1152" s="2" t="s">
        <v>9015</v>
      </c>
      <c r="E1152" s="2" t="s">
        <v>9016</v>
      </c>
      <c r="F1152" s="2" t="s">
        <v>1760</v>
      </c>
      <c r="I1152" s="2" t="s">
        <v>9017</v>
      </c>
      <c r="L1152" s="2" t="s">
        <v>1449</v>
      </c>
      <c r="M1152" s="2" t="s">
        <v>9018</v>
      </c>
      <c r="N1152" s="2" t="s">
        <v>9019</v>
      </c>
      <c r="P1152" s="2" t="s">
        <v>9020</v>
      </c>
      <c r="R1152" s="2" t="s">
        <v>2271</v>
      </c>
      <c r="S1152" s="2">
        <v>69.0</v>
      </c>
      <c r="AN1152" s="2" t="s">
        <v>1368</v>
      </c>
    </row>
    <row r="1153" ht="15.75" customHeight="1">
      <c r="A1153" s="2" t="s">
        <v>9021</v>
      </c>
      <c r="B1153" s="2" t="s">
        <v>1361</v>
      </c>
      <c r="C1153" s="2">
        <v>2007.0</v>
      </c>
      <c r="D1153" s="2" t="s">
        <v>9022</v>
      </c>
      <c r="E1153" s="2" t="s">
        <v>9023</v>
      </c>
      <c r="F1153" s="2" t="s">
        <v>6488</v>
      </c>
      <c r="I1153" s="2" t="s">
        <v>9024</v>
      </c>
      <c r="L1153" s="2" t="s">
        <v>2380</v>
      </c>
      <c r="M1153" s="2" t="s">
        <v>7359</v>
      </c>
      <c r="N1153" s="2" t="s">
        <v>7360</v>
      </c>
      <c r="P1153" s="2" t="s">
        <v>9025</v>
      </c>
      <c r="R1153" s="2" t="s">
        <v>1462</v>
      </c>
      <c r="S1153" s="2">
        <v>9.0</v>
      </c>
      <c r="AN1153" s="2" t="s">
        <v>1368</v>
      </c>
    </row>
    <row r="1154" ht="15.75" customHeight="1">
      <c r="A1154" s="2" t="s">
        <v>9026</v>
      </c>
      <c r="B1154" s="2" t="s">
        <v>1361</v>
      </c>
      <c r="C1154" s="2">
        <v>1996.0</v>
      </c>
      <c r="D1154" s="2" t="s">
        <v>9027</v>
      </c>
      <c r="E1154" s="2" t="s">
        <v>9028</v>
      </c>
      <c r="F1154" s="2" t="s">
        <v>9029</v>
      </c>
      <c r="L1154" s="2" t="s">
        <v>2492</v>
      </c>
      <c r="M1154" s="2" t="s">
        <v>9030</v>
      </c>
      <c r="N1154" s="2" t="s">
        <v>9031</v>
      </c>
      <c r="P1154" s="2" t="s">
        <v>9032</v>
      </c>
      <c r="R1154" s="2" t="s">
        <v>1462</v>
      </c>
      <c r="S1154" s="2">
        <v>34.0</v>
      </c>
      <c r="AN1154" s="2" t="s">
        <v>1368</v>
      </c>
    </row>
    <row r="1155" ht="15.75" customHeight="1">
      <c r="A1155" s="2" t="s">
        <v>9033</v>
      </c>
      <c r="B1155" s="2" t="s">
        <v>1361</v>
      </c>
      <c r="C1155" s="2">
        <v>1982.0</v>
      </c>
      <c r="D1155" s="2" t="s">
        <v>9034</v>
      </c>
      <c r="E1155" s="2" t="s">
        <v>9035</v>
      </c>
      <c r="F1155" s="2" t="s">
        <v>9036</v>
      </c>
      <c r="I1155" s="2" t="s">
        <v>9037</v>
      </c>
      <c r="L1155" s="2" t="s">
        <v>9038</v>
      </c>
      <c r="M1155" s="2" t="s">
        <v>9039</v>
      </c>
      <c r="N1155" s="2" t="s">
        <v>9040</v>
      </c>
      <c r="P1155" s="2" t="s">
        <v>9041</v>
      </c>
      <c r="R1155" s="2" t="s">
        <v>1453</v>
      </c>
      <c r="S1155" s="2">
        <v>6.0</v>
      </c>
      <c r="AN1155" s="2" t="s">
        <v>1368</v>
      </c>
    </row>
    <row r="1156" ht="15.75" customHeight="1">
      <c r="A1156" s="2" t="s">
        <v>9042</v>
      </c>
      <c r="B1156" s="2" t="s">
        <v>1361</v>
      </c>
      <c r="C1156" s="2">
        <v>1972.0</v>
      </c>
      <c r="D1156" s="2" t="s">
        <v>9043</v>
      </c>
      <c r="E1156" s="2" t="s">
        <v>9044</v>
      </c>
      <c r="F1156" s="2" t="s">
        <v>5295</v>
      </c>
      <c r="L1156" s="2" t="s">
        <v>6522</v>
      </c>
      <c r="M1156" s="2" t="s">
        <v>9045</v>
      </c>
      <c r="N1156" s="2" t="s">
        <v>9046</v>
      </c>
      <c r="P1156" s="2" t="s">
        <v>9047</v>
      </c>
      <c r="S1156" s="2">
        <v>102.0</v>
      </c>
      <c r="AN1156" s="2" t="s">
        <v>1368</v>
      </c>
    </row>
    <row r="1157" ht="15.75" customHeight="1">
      <c r="A1157" s="2" t="s">
        <v>9048</v>
      </c>
      <c r="B1157" s="2" t="s">
        <v>1361</v>
      </c>
      <c r="C1157" s="2">
        <v>2009.0</v>
      </c>
      <c r="D1157" s="2" t="s">
        <v>9049</v>
      </c>
      <c r="E1157" s="2" t="s">
        <v>9050</v>
      </c>
      <c r="F1157" s="2" t="s">
        <v>9051</v>
      </c>
      <c r="L1157" s="2" t="s">
        <v>1364</v>
      </c>
      <c r="M1157" s="2" t="s">
        <v>9052</v>
      </c>
      <c r="N1157" s="2" t="s">
        <v>9053</v>
      </c>
      <c r="AN1157" s="2" t="s">
        <v>1368</v>
      </c>
    </row>
    <row r="1158" ht="15.75" customHeight="1">
      <c r="A1158" s="2" t="s">
        <v>9054</v>
      </c>
      <c r="B1158" s="2" t="s">
        <v>1361</v>
      </c>
      <c r="C1158" s="2">
        <v>2008.0</v>
      </c>
      <c r="D1158" s="2" t="s">
        <v>9055</v>
      </c>
      <c r="E1158" s="2" t="s">
        <v>9056</v>
      </c>
      <c r="F1158" s="2" t="s">
        <v>2036</v>
      </c>
      <c r="I1158" s="2" t="s">
        <v>9057</v>
      </c>
      <c r="L1158" s="2" t="s">
        <v>1458</v>
      </c>
      <c r="M1158" s="2" t="s">
        <v>9058</v>
      </c>
      <c r="N1158" s="2" t="s">
        <v>9059</v>
      </c>
      <c r="P1158" s="2" t="s">
        <v>9060</v>
      </c>
      <c r="R1158" s="2" t="s">
        <v>1537</v>
      </c>
      <c r="S1158" s="2">
        <v>58.0</v>
      </c>
      <c r="AN1158" s="2" t="s">
        <v>1368</v>
      </c>
    </row>
    <row r="1159" ht="15.75" customHeight="1">
      <c r="A1159" s="2" t="s">
        <v>9061</v>
      </c>
      <c r="B1159" s="2" t="s">
        <v>1361</v>
      </c>
      <c r="C1159" s="2">
        <v>2003.0</v>
      </c>
      <c r="D1159" s="2" t="s">
        <v>9062</v>
      </c>
      <c r="E1159" s="2" t="s">
        <v>9063</v>
      </c>
      <c r="F1159" s="2" t="s">
        <v>9064</v>
      </c>
      <c r="L1159" s="2" t="s">
        <v>1606</v>
      </c>
      <c r="M1159" s="2" t="s">
        <v>9065</v>
      </c>
      <c r="N1159" s="2" t="s">
        <v>9066</v>
      </c>
      <c r="P1159" s="2" t="s">
        <v>9067</v>
      </c>
      <c r="R1159" s="2" t="s">
        <v>1453</v>
      </c>
      <c r="S1159" s="2">
        <v>6.0</v>
      </c>
      <c r="AN1159" s="2" t="s">
        <v>1368</v>
      </c>
    </row>
    <row r="1160" ht="15.75" customHeight="1">
      <c r="A1160" s="2" t="s">
        <v>9068</v>
      </c>
      <c r="B1160" s="2" t="s">
        <v>1361</v>
      </c>
      <c r="C1160" s="2">
        <v>2015.0</v>
      </c>
      <c r="D1160" s="2" t="s">
        <v>9069</v>
      </c>
      <c r="E1160" s="2" t="s">
        <v>9070</v>
      </c>
      <c r="F1160" s="2" t="s">
        <v>6436</v>
      </c>
      <c r="I1160" s="2" t="s">
        <v>9071</v>
      </c>
      <c r="L1160" s="2" t="s">
        <v>1373</v>
      </c>
      <c r="M1160" s="2" t="s">
        <v>9072</v>
      </c>
      <c r="N1160" s="2" t="s">
        <v>9073</v>
      </c>
      <c r="P1160" s="2" t="s">
        <v>9074</v>
      </c>
      <c r="R1160" s="2" t="s">
        <v>1506</v>
      </c>
      <c r="S1160" s="2">
        <v>23.0</v>
      </c>
      <c r="AN1160" s="2" t="s">
        <v>1368</v>
      </c>
    </row>
    <row r="1161" ht="15.75" customHeight="1">
      <c r="A1161" s="2" t="s">
        <v>9075</v>
      </c>
      <c r="B1161" s="2" t="s">
        <v>1361</v>
      </c>
      <c r="C1161" s="2">
        <v>2012.0</v>
      </c>
      <c r="D1161" s="2" t="s">
        <v>9076</v>
      </c>
      <c r="E1161" s="2" t="s">
        <v>9077</v>
      </c>
      <c r="F1161" s="2" t="s">
        <v>1980</v>
      </c>
      <c r="I1161" s="2" t="s">
        <v>9078</v>
      </c>
      <c r="L1161" s="2" t="s">
        <v>1405</v>
      </c>
      <c r="M1161" s="2" t="s">
        <v>9079</v>
      </c>
      <c r="N1161" s="2" t="s">
        <v>9080</v>
      </c>
      <c r="P1161" s="2" t="s">
        <v>9081</v>
      </c>
      <c r="R1161" s="2" t="s">
        <v>1600</v>
      </c>
      <c r="S1161" s="2">
        <v>43.0</v>
      </c>
      <c r="AN1161" s="2" t="s">
        <v>1368</v>
      </c>
    </row>
    <row r="1162" ht="15.75" customHeight="1">
      <c r="A1162" s="2" t="s">
        <v>9082</v>
      </c>
      <c r="B1162" s="2" t="s">
        <v>1361</v>
      </c>
      <c r="C1162" s="2">
        <v>2000.0</v>
      </c>
      <c r="D1162" s="2" t="s">
        <v>9083</v>
      </c>
      <c r="E1162" s="2" t="s">
        <v>9084</v>
      </c>
      <c r="F1162" s="2" t="s">
        <v>9085</v>
      </c>
      <c r="L1162" s="2" t="s">
        <v>2429</v>
      </c>
      <c r="M1162" s="2" t="s">
        <v>9086</v>
      </c>
      <c r="N1162" s="2" t="s">
        <v>9087</v>
      </c>
      <c r="P1162" s="2" t="s">
        <v>9088</v>
      </c>
      <c r="R1162" s="2" t="s">
        <v>2237</v>
      </c>
      <c r="S1162" s="2">
        <v>78.0</v>
      </c>
      <c r="AN1162" s="2" t="s">
        <v>1368</v>
      </c>
    </row>
    <row r="1163" ht="15.75" customHeight="1">
      <c r="A1163" s="2" t="s">
        <v>9089</v>
      </c>
      <c r="B1163" s="2" t="s">
        <v>1361</v>
      </c>
      <c r="C1163" s="2">
        <v>2007.0</v>
      </c>
      <c r="D1163" s="2" t="s">
        <v>9090</v>
      </c>
      <c r="E1163" s="2" t="s">
        <v>9091</v>
      </c>
      <c r="F1163" s="2" t="s">
        <v>9092</v>
      </c>
      <c r="I1163" s="2" t="s">
        <v>9093</v>
      </c>
      <c r="L1163" s="2" t="s">
        <v>2380</v>
      </c>
      <c r="M1163" s="2" t="s">
        <v>9094</v>
      </c>
      <c r="N1163" s="2" t="s">
        <v>9095</v>
      </c>
      <c r="P1163" s="2" t="s">
        <v>9096</v>
      </c>
      <c r="R1163" s="2" t="s">
        <v>1462</v>
      </c>
      <c r="S1163" s="2">
        <v>19.0</v>
      </c>
      <c r="AN1163" s="2" t="s">
        <v>1368</v>
      </c>
    </row>
    <row r="1164" ht="15.75" customHeight="1">
      <c r="A1164" s="2" t="s">
        <v>9097</v>
      </c>
      <c r="B1164" s="2" t="s">
        <v>1361</v>
      </c>
      <c r="C1164" s="2">
        <v>1999.0</v>
      </c>
      <c r="D1164" s="2" t="s">
        <v>9098</v>
      </c>
      <c r="E1164" s="2" t="s">
        <v>9099</v>
      </c>
      <c r="F1164" s="2" t="s">
        <v>2020</v>
      </c>
      <c r="I1164" s="2" t="s">
        <v>9100</v>
      </c>
      <c r="L1164" s="2" t="s">
        <v>1434</v>
      </c>
      <c r="M1164" s="2" t="s">
        <v>9101</v>
      </c>
      <c r="N1164" s="2" t="s">
        <v>9102</v>
      </c>
      <c r="P1164" s="2" t="s">
        <v>9103</v>
      </c>
      <c r="R1164" s="2" t="s">
        <v>1462</v>
      </c>
      <c r="S1164" s="2">
        <v>15.0</v>
      </c>
      <c r="AN1164" s="2" t="s">
        <v>1368</v>
      </c>
    </row>
    <row r="1165" ht="15.75" customHeight="1">
      <c r="A1165" s="2" t="s">
        <v>9104</v>
      </c>
      <c r="B1165" s="2" t="s">
        <v>1361</v>
      </c>
      <c r="C1165" s="2">
        <v>1998.0</v>
      </c>
      <c r="D1165" s="2" t="s">
        <v>9105</v>
      </c>
      <c r="E1165" s="2" t="s">
        <v>9106</v>
      </c>
      <c r="F1165" s="2" t="s">
        <v>9107</v>
      </c>
      <c r="I1165" s="2" t="s">
        <v>9108</v>
      </c>
      <c r="L1165" s="2" t="s">
        <v>1958</v>
      </c>
      <c r="M1165" s="2" t="s">
        <v>9109</v>
      </c>
      <c r="N1165" s="2" t="s">
        <v>9110</v>
      </c>
      <c r="P1165" s="2" t="s">
        <v>9111</v>
      </c>
      <c r="R1165" s="2" t="s">
        <v>1937</v>
      </c>
      <c r="S1165" s="2">
        <v>18.0</v>
      </c>
      <c r="AN1165" s="2" t="s">
        <v>1368</v>
      </c>
    </row>
    <row r="1166" ht="15.75" customHeight="1">
      <c r="A1166" s="2" t="s">
        <v>9112</v>
      </c>
      <c r="B1166" s="2" t="s">
        <v>1361</v>
      </c>
      <c r="C1166" s="2">
        <v>2010.0</v>
      </c>
      <c r="D1166" s="2" t="s">
        <v>9113</v>
      </c>
      <c r="E1166" s="2" t="s">
        <v>9114</v>
      </c>
      <c r="F1166" s="2" t="s">
        <v>9115</v>
      </c>
      <c r="I1166" s="2" t="s">
        <v>9116</v>
      </c>
      <c r="L1166" s="2" t="s">
        <v>1449</v>
      </c>
      <c r="M1166" s="2" t="s">
        <v>3388</v>
      </c>
      <c r="N1166" s="2" t="s">
        <v>3389</v>
      </c>
      <c r="P1166" s="2" t="s">
        <v>9117</v>
      </c>
      <c r="R1166" s="2" t="s">
        <v>1600</v>
      </c>
      <c r="S1166" s="2">
        <v>12.0</v>
      </c>
      <c r="AN1166" s="2" t="s">
        <v>1368</v>
      </c>
    </row>
    <row r="1167" ht="15.75" customHeight="1">
      <c r="A1167" s="2" t="s">
        <v>9118</v>
      </c>
      <c r="B1167" s="2" t="s">
        <v>1361</v>
      </c>
      <c r="C1167" s="2">
        <v>2017.0</v>
      </c>
      <c r="D1167" s="2" t="s">
        <v>9119</v>
      </c>
      <c r="E1167" s="2" t="s">
        <v>9120</v>
      </c>
      <c r="F1167" s="2" t="s">
        <v>9121</v>
      </c>
      <c r="L1167" s="2" t="s">
        <v>1658</v>
      </c>
      <c r="M1167" s="2" t="s">
        <v>9122</v>
      </c>
      <c r="N1167" s="2" t="s">
        <v>9123</v>
      </c>
      <c r="AN1167" s="2" t="s">
        <v>1368</v>
      </c>
    </row>
    <row r="1168" ht="15.75" customHeight="1">
      <c r="A1168" s="2" t="s">
        <v>9124</v>
      </c>
      <c r="B1168" s="2" t="s">
        <v>1361</v>
      </c>
      <c r="C1168" s="2">
        <v>2001.0</v>
      </c>
      <c r="D1168" s="2" t="s">
        <v>9125</v>
      </c>
      <c r="E1168" s="2" t="s">
        <v>9126</v>
      </c>
      <c r="F1168" s="2" t="s">
        <v>9127</v>
      </c>
      <c r="I1168" s="2" t="s">
        <v>9128</v>
      </c>
      <c r="L1168" s="2" t="s">
        <v>1414</v>
      </c>
      <c r="M1168" s="2" t="s">
        <v>9129</v>
      </c>
      <c r="N1168" s="2" t="s">
        <v>9130</v>
      </c>
      <c r="P1168" s="2" t="s">
        <v>9131</v>
      </c>
      <c r="R1168" s="2" t="s">
        <v>1453</v>
      </c>
      <c r="S1168" s="2">
        <v>53.0</v>
      </c>
      <c r="AN1168" s="2" t="s">
        <v>1368</v>
      </c>
    </row>
    <row r="1169" ht="15.75" customHeight="1">
      <c r="A1169" s="2" t="s">
        <v>9132</v>
      </c>
      <c r="B1169" s="2" t="s">
        <v>1361</v>
      </c>
      <c r="C1169" s="2">
        <v>2001.0</v>
      </c>
      <c r="D1169" s="2" t="s">
        <v>9133</v>
      </c>
      <c r="E1169" s="2" t="s">
        <v>9134</v>
      </c>
      <c r="F1169" s="2" t="s">
        <v>1941</v>
      </c>
      <c r="I1169" s="2" t="s">
        <v>9135</v>
      </c>
      <c r="L1169" s="2" t="s">
        <v>1414</v>
      </c>
      <c r="M1169" s="2" t="s">
        <v>9136</v>
      </c>
      <c r="N1169" s="2" t="s">
        <v>9137</v>
      </c>
      <c r="P1169" s="2" t="s">
        <v>9138</v>
      </c>
      <c r="R1169" s="2" t="s">
        <v>1453</v>
      </c>
      <c r="S1169" s="2">
        <v>35.0</v>
      </c>
      <c r="AN1169" s="2" t="s">
        <v>1368</v>
      </c>
    </row>
    <row r="1170" ht="15.75" customHeight="1">
      <c r="A1170" s="2" t="s">
        <v>9139</v>
      </c>
      <c r="B1170" s="2" t="s">
        <v>1361</v>
      </c>
      <c r="C1170" s="2">
        <v>2017.0</v>
      </c>
      <c r="D1170" s="2" t="s">
        <v>9140</v>
      </c>
      <c r="E1170" s="2" t="s">
        <v>9141</v>
      </c>
      <c r="F1170" s="2" t="s">
        <v>9142</v>
      </c>
      <c r="I1170" s="2" t="s">
        <v>9143</v>
      </c>
      <c r="L1170" s="2" t="s">
        <v>1658</v>
      </c>
      <c r="M1170" s="2" t="s">
        <v>9144</v>
      </c>
      <c r="N1170" s="2" t="s">
        <v>9145</v>
      </c>
      <c r="R1170" s="2" t="s">
        <v>1453</v>
      </c>
      <c r="S1170" s="2">
        <v>11.0</v>
      </c>
      <c r="AN1170" s="2" t="s">
        <v>1368</v>
      </c>
    </row>
    <row r="1171" ht="15.75" customHeight="1">
      <c r="A1171" s="2" t="s">
        <v>9146</v>
      </c>
      <c r="B1171" s="2" t="s">
        <v>1361</v>
      </c>
      <c r="C1171" s="2">
        <v>2011.0</v>
      </c>
      <c r="D1171" s="2" t="s">
        <v>9147</v>
      </c>
      <c r="E1171" s="2" t="s">
        <v>9148</v>
      </c>
      <c r="L1171" s="2" t="s">
        <v>1627</v>
      </c>
      <c r="M1171" s="2" t="s">
        <v>4666</v>
      </c>
      <c r="N1171" s="2" t="s">
        <v>4667</v>
      </c>
      <c r="AN1171" s="2" t="s">
        <v>1368</v>
      </c>
    </row>
    <row r="1172" ht="15.75" customHeight="1">
      <c r="A1172" s="2" t="s">
        <v>9149</v>
      </c>
      <c r="B1172" s="2" t="s">
        <v>1361</v>
      </c>
      <c r="C1172" s="2">
        <v>2015.0</v>
      </c>
      <c r="D1172" s="2" t="s">
        <v>9150</v>
      </c>
      <c r="E1172" s="2" t="s">
        <v>9151</v>
      </c>
      <c r="J1172" s="2" t="s">
        <v>9152</v>
      </c>
      <c r="L1172" s="2" t="s">
        <v>1373</v>
      </c>
      <c r="M1172" s="2" t="s">
        <v>9153</v>
      </c>
      <c r="N1172" s="2" t="s">
        <v>9154</v>
      </c>
      <c r="AN1172" s="2" t="s">
        <v>1368</v>
      </c>
    </row>
    <row r="1173" ht="15.75" customHeight="1">
      <c r="A1173" s="2" t="s">
        <v>9155</v>
      </c>
      <c r="B1173" s="2" t="s">
        <v>1361</v>
      </c>
      <c r="C1173" s="2">
        <v>2000.0</v>
      </c>
      <c r="D1173" s="2" t="s">
        <v>9156</v>
      </c>
      <c r="E1173" s="2" t="s">
        <v>9157</v>
      </c>
      <c r="F1173" s="2" t="s">
        <v>9158</v>
      </c>
      <c r="I1173" s="2" t="s">
        <v>9159</v>
      </c>
      <c r="L1173" s="2" t="s">
        <v>2429</v>
      </c>
      <c r="M1173" s="2" t="s">
        <v>9160</v>
      </c>
      <c r="N1173" s="2" t="s">
        <v>9161</v>
      </c>
      <c r="P1173" s="2" t="s">
        <v>9162</v>
      </c>
      <c r="AN1173" s="2" t="s">
        <v>1368</v>
      </c>
    </row>
    <row r="1174" ht="15.75" customHeight="1">
      <c r="A1174" s="2" t="s">
        <v>9163</v>
      </c>
      <c r="B1174" s="2" t="s">
        <v>1361</v>
      </c>
      <c r="C1174" s="2">
        <v>2004.0</v>
      </c>
      <c r="D1174" s="2" t="s">
        <v>9164</v>
      </c>
      <c r="E1174" s="2" t="s">
        <v>9165</v>
      </c>
      <c r="F1174" s="2" t="s">
        <v>9166</v>
      </c>
      <c r="I1174" s="2" t="s">
        <v>9167</v>
      </c>
      <c r="L1174" s="2" t="s">
        <v>2373</v>
      </c>
      <c r="M1174" s="2" t="s">
        <v>9168</v>
      </c>
      <c r="N1174" s="2" t="s">
        <v>9169</v>
      </c>
      <c r="P1174" s="2" t="s">
        <v>9170</v>
      </c>
      <c r="R1174" s="2" t="s">
        <v>5423</v>
      </c>
      <c r="S1174" s="2">
        <v>120.0</v>
      </c>
      <c r="AN1174" s="2" t="s">
        <v>1368</v>
      </c>
    </row>
    <row r="1175" ht="15.75" customHeight="1">
      <c r="A1175" s="2" t="s">
        <v>9171</v>
      </c>
      <c r="B1175" s="2" t="s">
        <v>1361</v>
      </c>
      <c r="C1175" s="2">
        <v>2009.0</v>
      </c>
      <c r="D1175" s="2" t="s">
        <v>9172</v>
      </c>
      <c r="E1175" s="2" t="s">
        <v>9173</v>
      </c>
      <c r="F1175" s="2" t="s">
        <v>9174</v>
      </c>
      <c r="I1175" s="2" t="s">
        <v>9175</v>
      </c>
      <c r="L1175" s="2" t="s">
        <v>1364</v>
      </c>
      <c r="M1175" s="2" t="s">
        <v>9176</v>
      </c>
      <c r="N1175" s="2" t="s">
        <v>9177</v>
      </c>
      <c r="P1175" s="2" t="s">
        <v>9178</v>
      </c>
      <c r="R1175" s="2" t="s">
        <v>1600</v>
      </c>
      <c r="S1175" s="2">
        <v>58.0</v>
      </c>
      <c r="AN1175" s="2" t="s">
        <v>1368</v>
      </c>
    </row>
    <row r="1176" ht="15.75" customHeight="1">
      <c r="A1176" s="2" t="s">
        <v>9179</v>
      </c>
      <c r="B1176" s="2" t="s">
        <v>1361</v>
      </c>
      <c r="C1176" s="2">
        <v>2002.0</v>
      </c>
      <c r="D1176" s="2" t="s">
        <v>9180</v>
      </c>
      <c r="E1176" s="2" t="s">
        <v>9181</v>
      </c>
      <c r="F1176" s="2" t="s">
        <v>1510</v>
      </c>
      <c r="I1176" s="2" t="s">
        <v>1195</v>
      </c>
      <c r="L1176" s="2" t="s">
        <v>1493</v>
      </c>
      <c r="M1176" s="2" t="s">
        <v>9182</v>
      </c>
      <c r="N1176" s="2" t="s">
        <v>9183</v>
      </c>
      <c r="R1176" s="2" t="s">
        <v>9184</v>
      </c>
      <c r="S1176" s="2">
        <v>296.0</v>
      </c>
      <c r="AN1176" s="2" t="s">
        <v>1368</v>
      </c>
    </row>
    <row r="1177" ht="15.75" customHeight="1">
      <c r="A1177" s="2" t="s">
        <v>9185</v>
      </c>
      <c r="B1177" s="2" t="s">
        <v>1361</v>
      </c>
      <c r="C1177" s="2">
        <v>2004.0</v>
      </c>
      <c r="D1177" s="2" t="s">
        <v>9186</v>
      </c>
      <c r="E1177" s="2" t="s">
        <v>9187</v>
      </c>
      <c r="F1177" s="2" t="s">
        <v>9188</v>
      </c>
      <c r="I1177" s="2" t="s">
        <v>1158</v>
      </c>
      <c r="L1177" s="2" t="s">
        <v>2373</v>
      </c>
      <c r="M1177" s="2" t="s">
        <v>1513</v>
      </c>
      <c r="N1177" s="2" t="s">
        <v>1514</v>
      </c>
      <c r="P1177" s="2" t="s">
        <v>9189</v>
      </c>
      <c r="R1177" s="2" t="s">
        <v>1462</v>
      </c>
      <c r="S1177" s="2">
        <v>31.0</v>
      </c>
      <c r="AN1177" s="2" t="s">
        <v>1368</v>
      </c>
    </row>
    <row r="1178" ht="15.75" customHeight="1">
      <c r="A1178" s="2" t="s">
        <v>9190</v>
      </c>
      <c r="B1178" s="2" t="s">
        <v>1361</v>
      </c>
      <c r="C1178" s="2">
        <v>2008.0</v>
      </c>
      <c r="D1178" s="2" t="s">
        <v>9191</v>
      </c>
      <c r="E1178" s="2" t="s">
        <v>9192</v>
      </c>
      <c r="F1178" s="2" t="s">
        <v>9193</v>
      </c>
      <c r="I1178" s="2" t="s">
        <v>992</v>
      </c>
      <c r="L1178" s="2" t="s">
        <v>1458</v>
      </c>
      <c r="M1178" s="2" t="s">
        <v>9194</v>
      </c>
      <c r="N1178" s="2" t="s">
        <v>9195</v>
      </c>
      <c r="P1178" s="2" t="s">
        <v>9196</v>
      </c>
      <c r="R1178" s="2" t="s">
        <v>1480</v>
      </c>
      <c r="S1178" s="2">
        <v>35.0</v>
      </c>
      <c r="AN1178" s="2" t="s">
        <v>1368</v>
      </c>
    </row>
    <row r="1179" ht="15.75" customHeight="1">
      <c r="A1179" s="2" t="s">
        <v>9197</v>
      </c>
      <c r="B1179" s="2" t="s">
        <v>1361</v>
      </c>
      <c r="C1179" s="2">
        <v>1999.0</v>
      </c>
      <c r="D1179" s="2" t="s">
        <v>9198</v>
      </c>
      <c r="E1179" s="2" t="s">
        <v>9199</v>
      </c>
      <c r="F1179" s="2" t="s">
        <v>9200</v>
      </c>
      <c r="H1179" s="2" t="s">
        <v>9201</v>
      </c>
      <c r="I1179" s="2" t="s">
        <v>9202</v>
      </c>
      <c r="K1179" s="2" t="s">
        <v>9203</v>
      </c>
      <c r="L1179" s="2" t="s">
        <v>1434</v>
      </c>
      <c r="M1179" s="2" t="s">
        <v>9204</v>
      </c>
      <c r="N1179" s="2" t="s">
        <v>9205</v>
      </c>
      <c r="P1179" s="2" t="s">
        <v>9206</v>
      </c>
      <c r="R1179" s="2" t="s">
        <v>1506</v>
      </c>
      <c r="S1179" s="2">
        <v>52.0</v>
      </c>
      <c r="AN1179" s="2" t="s">
        <v>1368</v>
      </c>
    </row>
    <row r="1180" ht="15.75" customHeight="1">
      <c r="A1180" s="2" t="s">
        <v>9207</v>
      </c>
      <c r="B1180" s="2" t="s">
        <v>1361</v>
      </c>
      <c r="C1180" s="2">
        <v>2008.0</v>
      </c>
      <c r="D1180" s="2" t="s">
        <v>9198</v>
      </c>
      <c r="E1180" s="2" t="s">
        <v>9208</v>
      </c>
      <c r="F1180" s="2" t="s">
        <v>3274</v>
      </c>
      <c r="L1180" s="2" t="s">
        <v>1458</v>
      </c>
      <c r="M1180" s="2" t="s">
        <v>9209</v>
      </c>
      <c r="N1180" s="2" t="s">
        <v>9210</v>
      </c>
      <c r="P1180" s="2" t="s">
        <v>9211</v>
      </c>
      <c r="AN1180" s="2" t="s">
        <v>1368</v>
      </c>
    </row>
    <row r="1181" ht="15.75" customHeight="1">
      <c r="A1181" s="2" t="s">
        <v>9212</v>
      </c>
      <c r="B1181" s="2" t="s">
        <v>1361</v>
      </c>
      <c r="C1181" s="2">
        <v>2003.0</v>
      </c>
      <c r="D1181" s="2" t="s">
        <v>9213</v>
      </c>
      <c r="E1181" s="2" t="s">
        <v>9214</v>
      </c>
      <c r="F1181" s="2" t="s">
        <v>9215</v>
      </c>
      <c r="I1181" s="2" t="s">
        <v>9216</v>
      </c>
      <c r="L1181" s="2" t="s">
        <v>1606</v>
      </c>
      <c r="M1181" s="2" t="s">
        <v>9217</v>
      </c>
      <c r="N1181" s="2" t="s">
        <v>9218</v>
      </c>
      <c r="P1181" s="2" t="s">
        <v>9219</v>
      </c>
      <c r="R1181" s="2" t="s">
        <v>1462</v>
      </c>
      <c r="S1181" s="2">
        <v>67.0</v>
      </c>
      <c r="AN1181" s="2" t="s">
        <v>1368</v>
      </c>
    </row>
    <row r="1182" ht="15.75" customHeight="1">
      <c r="A1182" s="2" t="s">
        <v>9220</v>
      </c>
      <c r="B1182" s="2" t="s">
        <v>1361</v>
      </c>
      <c r="C1182" s="2">
        <v>1999.0</v>
      </c>
      <c r="D1182" s="2" t="s">
        <v>9221</v>
      </c>
      <c r="E1182" s="2" t="s">
        <v>9222</v>
      </c>
      <c r="F1182" s="2" t="s">
        <v>950</v>
      </c>
      <c r="L1182" s="2" t="s">
        <v>1434</v>
      </c>
      <c r="M1182" s="2" t="s">
        <v>9223</v>
      </c>
      <c r="N1182" s="2" t="s">
        <v>9224</v>
      </c>
      <c r="P1182" s="2" t="s">
        <v>9225</v>
      </c>
      <c r="AN1182" s="2" t="s">
        <v>1368</v>
      </c>
    </row>
    <row r="1183" ht="15.75" customHeight="1">
      <c r="A1183" s="2" t="s">
        <v>9226</v>
      </c>
      <c r="B1183" s="2" t="s">
        <v>1361</v>
      </c>
      <c r="C1183" s="2">
        <v>2009.0</v>
      </c>
      <c r="D1183" s="2" t="s">
        <v>9227</v>
      </c>
      <c r="E1183" s="2" t="s">
        <v>9228</v>
      </c>
      <c r="F1183" s="2" t="s">
        <v>2525</v>
      </c>
      <c r="I1183" s="2" t="s">
        <v>9229</v>
      </c>
      <c r="L1183" s="2" t="s">
        <v>1364</v>
      </c>
      <c r="M1183" s="2" t="s">
        <v>9230</v>
      </c>
      <c r="N1183" s="2" t="s">
        <v>9231</v>
      </c>
      <c r="P1183" s="2" t="s">
        <v>9232</v>
      </c>
      <c r="R1183" s="2" t="s">
        <v>1462</v>
      </c>
      <c r="S1183" s="2">
        <v>19.0</v>
      </c>
      <c r="AN1183" s="2" t="s">
        <v>1368</v>
      </c>
    </row>
    <row r="1184" ht="15.75" customHeight="1">
      <c r="A1184" s="2" t="s">
        <v>9233</v>
      </c>
      <c r="B1184" s="2" t="s">
        <v>1361</v>
      </c>
      <c r="C1184" s="2">
        <v>2014.0</v>
      </c>
      <c r="D1184" s="2" t="s">
        <v>9234</v>
      </c>
      <c r="E1184" s="2" t="s">
        <v>9235</v>
      </c>
      <c r="F1184" s="2" t="s">
        <v>4137</v>
      </c>
      <c r="I1184" s="2" t="s">
        <v>9236</v>
      </c>
      <c r="L1184" s="2" t="s">
        <v>1476</v>
      </c>
      <c r="M1184" s="2" t="s">
        <v>9237</v>
      </c>
      <c r="N1184" s="2" t="s">
        <v>9238</v>
      </c>
      <c r="P1184" s="2" t="s">
        <v>4248</v>
      </c>
      <c r="S1184" s="2">
        <v>145.0</v>
      </c>
      <c r="AN1184" s="2" t="s">
        <v>1368</v>
      </c>
    </row>
    <row r="1185" ht="15.75" customHeight="1">
      <c r="A1185" s="2" t="s">
        <v>9239</v>
      </c>
      <c r="B1185" s="2" t="s">
        <v>1361</v>
      </c>
      <c r="C1185" s="2">
        <v>2012.0</v>
      </c>
      <c r="D1185" s="2" t="s">
        <v>9240</v>
      </c>
      <c r="E1185" s="2" t="s">
        <v>9241</v>
      </c>
      <c r="F1185" s="2" t="s">
        <v>9242</v>
      </c>
      <c r="H1185" s="2" t="s">
        <v>9243</v>
      </c>
      <c r="L1185" s="2" t="s">
        <v>1405</v>
      </c>
      <c r="M1185" s="2" t="s">
        <v>4754</v>
      </c>
      <c r="N1185" s="2" t="s">
        <v>4755</v>
      </c>
      <c r="P1185" s="2" t="s">
        <v>9244</v>
      </c>
      <c r="S1185" s="2">
        <v>74.0</v>
      </c>
      <c r="AN1185" s="2" t="s">
        <v>1368</v>
      </c>
    </row>
    <row r="1186" ht="15.75" customHeight="1">
      <c r="A1186" s="2" t="s">
        <v>9245</v>
      </c>
      <c r="B1186" s="2" t="s">
        <v>1361</v>
      </c>
      <c r="C1186" s="2">
        <v>2002.0</v>
      </c>
      <c r="D1186" s="2" t="s">
        <v>9246</v>
      </c>
      <c r="E1186" s="2" t="s">
        <v>9247</v>
      </c>
      <c r="F1186" s="2" t="s">
        <v>3632</v>
      </c>
      <c r="H1186" s="2" t="s">
        <v>3633</v>
      </c>
      <c r="L1186" s="2" t="s">
        <v>1493</v>
      </c>
      <c r="M1186" s="2" t="s">
        <v>7996</v>
      </c>
      <c r="N1186" s="2" t="s">
        <v>7997</v>
      </c>
      <c r="P1186" s="2" t="s">
        <v>9248</v>
      </c>
      <c r="R1186" s="2" t="s">
        <v>1506</v>
      </c>
      <c r="S1186" s="2">
        <v>28.0</v>
      </c>
      <c r="AN1186" s="2" t="s">
        <v>1368</v>
      </c>
    </row>
    <row r="1187" ht="15.75" customHeight="1">
      <c r="A1187" s="2" t="s">
        <v>9249</v>
      </c>
      <c r="B1187" s="2" t="s">
        <v>1361</v>
      </c>
      <c r="C1187" s="2">
        <v>2018.0</v>
      </c>
      <c r="D1187" s="2" t="s">
        <v>9250</v>
      </c>
      <c r="E1187" s="2" t="s">
        <v>9251</v>
      </c>
      <c r="F1187" s="2" t="s">
        <v>1707</v>
      </c>
      <c r="H1187" s="2" t="s">
        <v>1708</v>
      </c>
      <c r="I1187" s="2" t="s">
        <v>9252</v>
      </c>
      <c r="J1187" s="2" t="s">
        <v>9253</v>
      </c>
      <c r="L1187" s="2" t="s">
        <v>2909</v>
      </c>
      <c r="M1187" s="2" t="s">
        <v>9254</v>
      </c>
      <c r="N1187" s="2" t="s">
        <v>9255</v>
      </c>
      <c r="O1187" s="2" t="s">
        <v>2862</v>
      </c>
      <c r="P1187" s="2" t="s">
        <v>9256</v>
      </c>
      <c r="R1187" s="2" t="s">
        <v>1443</v>
      </c>
      <c r="S1187" s="2">
        <v>2.0</v>
      </c>
      <c r="U1187" s="2" t="s">
        <v>2888</v>
      </c>
      <c r="AC1187" s="2" t="s">
        <v>1540</v>
      </c>
      <c r="AH1187" s="2" t="s">
        <v>1541</v>
      </c>
      <c r="AN1187" s="2" t="s">
        <v>1885</v>
      </c>
    </row>
    <row r="1188" ht="15.75" customHeight="1">
      <c r="A1188" s="2" t="s">
        <v>9257</v>
      </c>
      <c r="B1188" s="2" t="s">
        <v>1361</v>
      </c>
      <c r="C1188" s="2">
        <v>2005.0</v>
      </c>
      <c r="D1188" s="2" t="s">
        <v>9258</v>
      </c>
      <c r="E1188" s="2" t="s">
        <v>9259</v>
      </c>
      <c r="F1188" s="2" t="s">
        <v>9260</v>
      </c>
      <c r="H1188" s="2" t="s">
        <v>9261</v>
      </c>
      <c r="I1188" s="2" t="s">
        <v>9262</v>
      </c>
      <c r="J1188" s="2" t="s">
        <v>9263</v>
      </c>
      <c r="K1188" s="2" t="s">
        <v>9264</v>
      </c>
      <c r="L1188" s="2" t="s">
        <v>9265</v>
      </c>
      <c r="M1188" s="2" t="s">
        <v>9266</v>
      </c>
      <c r="N1188" s="2" t="s">
        <v>9267</v>
      </c>
      <c r="O1188" s="2" t="s">
        <v>9268</v>
      </c>
      <c r="P1188" s="2" t="s">
        <v>9269</v>
      </c>
      <c r="R1188" s="2" t="s">
        <v>1462</v>
      </c>
      <c r="S1188" s="2">
        <v>34.0</v>
      </c>
      <c r="U1188" s="2" t="s">
        <v>9270</v>
      </c>
      <c r="AC1188" s="2" t="s">
        <v>1540</v>
      </c>
      <c r="AH1188" s="2" t="s">
        <v>1541</v>
      </c>
      <c r="AN1188" s="2" t="s">
        <v>8021</v>
      </c>
    </row>
    <row r="1189" ht="15.75" customHeight="1">
      <c r="A1189" s="2" t="s">
        <v>9271</v>
      </c>
      <c r="B1189" s="2" t="s">
        <v>1361</v>
      </c>
      <c r="C1189" s="2">
        <v>2016.0</v>
      </c>
      <c r="D1189" s="2" t="s">
        <v>9272</v>
      </c>
      <c r="E1189" s="2" t="s">
        <v>9273</v>
      </c>
      <c r="F1189" s="2" t="s">
        <v>7296</v>
      </c>
      <c r="H1189" s="2" t="s">
        <v>9274</v>
      </c>
      <c r="I1189" s="2" t="s">
        <v>9275</v>
      </c>
      <c r="J1189" s="2" t="s">
        <v>9276</v>
      </c>
      <c r="L1189" s="2" t="s">
        <v>9277</v>
      </c>
      <c r="M1189" s="2" t="s">
        <v>9278</v>
      </c>
      <c r="N1189" s="2" t="s">
        <v>9279</v>
      </c>
      <c r="O1189" s="2" t="s">
        <v>5916</v>
      </c>
      <c r="P1189" s="2" t="s">
        <v>9280</v>
      </c>
      <c r="R1189" s="2" t="s">
        <v>1600</v>
      </c>
      <c r="S1189" s="2">
        <v>43.0</v>
      </c>
      <c r="U1189" s="2" t="s">
        <v>7296</v>
      </c>
      <c r="AC1189" s="2" t="s">
        <v>1540</v>
      </c>
      <c r="AH1189" s="2" t="s">
        <v>1541</v>
      </c>
      <c r="AN1189" s="2" t="s">
        <v>8021</v>
      </c>
    </row>
    <row r="1190" ht="15.75" customHeight="1">
      <c r="A1190" s="2" t="s">
        <v>9281</v>
      </c>
      <c r="B1190" s="2" t="s">
        <v>1361</v>
      </c>
      <c r="C1190" s="2">
        <v>2011.0</v>
      </c>
      <c r="D1190" s="2" t="s">
        <v>9282</v>
      </c>
      <c r="E1190" s="2" t="s">
        <v>9283</v>
      </c>
      <c r="F1190" s="2" t="s">
        <v>9284</v>
      </c>
      <c r="H1190" s="2" t="s">
        <v>9285</v>
      </c>
      <c r="I1190" s="2" t="s">
        <v>9286</v>
      </c>
      <c r="J1190" s="2" t="s">
        <v>9287</v>
      </c>
      <c r="K1190" s="2" t="s">
        <v>9288</v>
      </c>
      <c r="L1190" s="2" t="s">
        <v>9289</v>
      </c>
      <c r="M1190" s="2" t="s">
        <v>9290</v>
      </c>
      <c r="N1190" s="2" t="s">
        <v>9291</v>
      </c>
      <c r="O1190" s="2" t="s">
        <v>9292</v>
      </c>
      <c r="P1190" s="2" t="s">
        <v>2899</v>
      </c>
      <c r="R1190" s="2" t="s">
        <v>1462</v>
      </c>
      <c r="S1190" s="2">
        <v>7.0</v>
      </c>
      <c r="U1190" s="2" t="s">
        <v>9293</v>
      </c>
      <c r="V1190" s="2" t="s">
        <v>9294</v>
      </c>
      <c r="AC1190" s="2" t="s">
        <v>1540</v>
      </c>
      <c r="AH1190" s="2" t="s">
        <v>1541</v>
      </c>
      <c r="AN1190" s="2" t="s">
        <v>8021</v>
      </c>
    </row>
    <row r="1191" ht="15.75" customHeight="1">
      <c r="A1191" s="2" t="s">
        <v>9295</v>
      </c>
      <c r="B1191" s="2" t="s">
        <v>1396</v>
      </c>
      <c r="C1191" s="2">
        <v>2002.0</v>
      </c>
      <c r="D1191" s="2" t="s">
        <v>9296</v>
      </c>
      <c r="E1191" s="2" t="s">
        <v>9297</v>
      </c>
      <c r="J1191" s="2" t="s">
        <v>9298</v>
      </c>
      <c r="L1191" s="2" t="s">
        <v>1493</v>
      </c>
      <c r="M1191" s="2" t="s">
        <v>9299</v>
      </c>
      <c r="N1191" s="2" t="s">
        <v>9300</v>
      </c>
      <c r="AA1191" s="2" t="s">
        <v>9301</v>
      </c>
      <c r="AC1191" s="2" t="s">
        <v>1540</v>
      </c>
      <c r="AN1191" s="2" t="s">
        <v>9302</v>
      </c>
    </row>
    <row r="1192" ht="15.75" customHeight="1">
      <c r="A1192" s="2" t="s">
        <v>9303</v>
      </c>
      <c r="B1192" s="2" t="s">
        <v>1623</v>
      </c>
      <c r="C1192" s="2">
        <v>1992.0</v>
      </c>
      <c r="D1192" s="2" t="s">
        <v>9304</v>
      </c>
      <c r="E1192" s="2" t="s">
        <v>9305</v>
      </c>
      <c r="J1192" s="2" t="s">
        <v>9306</v>
      </c>
      <c r="L1192" s="2" t="s">
        <v>3458</v>
      </c>
      <c r="M1192" s="2" t="s">
        <v>9307</v>
      </c>
      <c r="N1192" s="2" t="s">
        <v>9308</v>
      </c>
      <c r="P1192" s="2" t="s">
        <v>9309</v>
      </c>
      <c r="AN1192" s="2" t="s">
        <v>1609</v>
      </c>
    </row>
    <row r="1193" ht="15.75" customHeight="1">
      <c r="A1193" s="2" t="s">
        <v>9310</v>
      </c>
      <c r="B1193" s="2" t="s">
        <v>1361</v>
      </c>
      <c r="C1193" s="2">
        <v>2009.0</v>
      </c>
      <c r="D1193" s="2" t="s">
        <v>9311</v>
      </c>
      <c r="E1193" s="2" t="s">
        <v>938</v>
      </c>
      <c r="F1193" s="2" t="s">
        <v>1380</v>
      </c>
      <c r="H1193" s="2" t="s">
        <v>2961</v>
      </c>
      <c r="I1193" s="2" t="s">
        <v>940</v>
      </c>
      <c r="K1193" s="2" t="s">
        <v>939</v>
      </c>
      <c r="L1193" s="2" t="s">
        <v>1364</v>
      </c>
      <c r="M1193" s="2" t="s">
        <v>9312</v>
      </c>
      <c r="N1193" s="2" t="s">
        <v>9313</v>
      </c>
      <c r="P1193" s="2" t="s">
        <v>9314</v>
      </c>
      <c r="R1193" s="2" t="s">
        <v>9315</v>
      </c>
      <c r="S1193" s="2">
        <v>462.0</v>
      </c>
      <c r="AN1193" s="2" t="s">
        <v>2169</v>
      </c>
    </row>
    <row r="1194" ht="15.75" customHeight="1">
      <c r="A1194" s="2" t="s">
        <v>9316</v>
      </c>
      <c r="B1194" s="2" t="s">
        <v>1361</v>
      </c>
      <c r="C1194" s="2">
        <v>2011.0</v>
      </c>
      <c r="D1194" s="2" t="s">
        <v>9317</v>
      </c>
      <c r="E1194" s="2" t="s">
        <v>9318</v>
      </c>
      <c r="F1194" s="2" t="s">
        <v>9319</v>
      </c>
      <c r="H1194" s="2" t="s">
        <v>9320</v>
      </c>
      <c r="I1194" s="2" t="s">
        <v>9321</v>
      </c>
      <c r="J1194" s="2" t="s">
        <v>9322</v>
      </c>
      <c r="L1194" s="2" t="s">
        <v>9323</v>
      </c>
      <c r="M1194" s="2" t="s">
        <v>9324</v>
      </c>
      <c r="N1194" s="2" t="s">
        <v>9325</v>
      </c>
      <c r="O1194" s="2" t="s">
        <v>9326</v>
      </c>
      <c r="P1194" s="2" t="s">
        <v>9327</v>
      </c>
      <c r="R1194" s="2" t="s">
        <v>1462</v>
      </c>
      <c r="S1194" s="2">
        <v>16.0</v>
      </c>
      <c r="U1194" s="2" t="s">
        <v>9319</v>
      </c>
      <c r="V1194" s="2" t="s">
        <v>9328</v>
      </c>
      <c r="AC1194" s="2" t="s">
        <v>1540</v>
      </c>
      <c r="AH1194" s="2" t="s">
        <v>1541</v>
      </c>
      <c r="AN1194" s="2" t="s">
        <v>1885</v>
      </c>
    </row>
    <row r="1195" ht="15.75" customHeight="1">
      <c r="A1195" s="2" t="s">
        <v>9329</v>
      </c>
      <c r="B1195" s="2" t="s">
        <v>1361</v>
      </c>
      <c r="C1195" s="2">
        <v>2009.0</v>
      </c>
      <c r="D1195" s="2" t="s">
        <v>9330</v>
      </c>
      <c r="E1195" s="2" t="s">
        <v>9331</v>
      </c>
      <c r="F1195" s="2" t="s">
        <v>9332</v>
      </c>
      <c r="H1195" s="2" t="s">
        <v>9333</v>
      </c>
      <c r="I1195" s="2" t="s">
        <v>9334</v>
      </c>
      <c r="K1195" s="2" t="s">
        <v>9335</v>
      </c>
      <c r="L1195" s="2" t="s">
        <v>1364</v>
      </c>
      <c r="M1195" s="2" t="s">
        <v>1385</v>
      </c>
      <c r="N1195" s="2" t="s">
        <v>1386</v>
      </c>
      <c r="P1195" s="2" t="s">
        <v>9336</v>
      </c>
      <c r="R1195" s="2" t="s">
        <v>1480</v>
      </c>
      <c r="S1195" s="2">
        <v>35.0</v>
      </c>
      <c r="AN1195" s="2" t="s">
        <v>1368</v>
      </c>
    </row>
    <row r="1196" ht="15.75" customHeight="1">
      <c r="A1196" s="2" t="s">
        <v>9337</v>
      </c>
      <c r="B1196" s="2" t="s">
        <v>1361</v>
      </c>
      <c r="C1196" s="2">
        <v>2003.0</v>
      </c>
      <c r="D1196" s="2" t="s">
        <v>9338</v>
      </c>
      <c r="E1196" s="2" t="s">
        <v>1171</v>
      </c>
      <c r="F1196" s="2" t="s">
        <v>1380</v>
      </c>
      <c r="H1196" s="2" t="s">
        <v>1381</v>
      </c>
      <c r="I1196" s="2" t="s">
        <v>1173</v>
      </c>
      <c r="J1196" s="2" t="s">
        <v>9339</v>
      </c>
      <c r="K1196" s="2" t="s">
        <v>9340</v>
      </c>
      <c r="L1196" s="2" t="s">
        <v>4209</v>
      </c>
      <c r="M1196" s="2" t="s">
        <v>1385</v>
      </c>
      <c r="N1196" s="2" t="s">
        <v>1386</v>
      </c>
      <c r="P1196" s="2" t="s">
        <v>9341</v>
      </c>
      <c r="R1196" s="2" t="s">
        <v>9342</v>
      </c>
      <c r="S1196" s="2">
        <v>421.0</v>
      </c>
      <c r="V1196" s="2" t="s">
        <v>1380</v>
      </c>
      <c r="AN1196" s="2" t="s">
        <v>1621</v>
      </c>
    </row>
    <row r="1197" ht="15.75" customHeight="1">
      <c r="A1197" s="2" t="s">
        <v>9343</v>
      </c>
      <c r="B1197" s="2" t="s">
        <v>1361</v>
      </c>
      <c r="C1197" s="2">
        <v>2014.0</v>
      </c>
      <c r="D1197" s="2" t="s">
        <v>9344</v>
      </c>
      <c r="E1197" s="2" t="s">
        <v>9345</v>
      </c>
      <c r="F1197" s="2" t="s">
        <v>1789</v>
      </c>
      <c r="H1197" s="2" t="s">
        <v>1790</v>
      </c>
      <c r="I1197" s="2" t="s">
        <v>9346</v>
      </c>
      <c r="K1197" s="2" t="s">
        <v>9347</v>
      </c>
      <c r="L1197" s="2" t="s">
        <v>1476</v>
      </c>
      <c r="M1197" s="2" t="s">
        <v>1385</v>
      </c>
      <c r="N1197" s="2" t="s">
        <v>1386</v>
      </c>
      <c r="AN1197" s="2" t="s">
        <v>1368</v>
      </c>
    </row>
    <row r="1198" ht="15.75" customHeight="1">
      <c r="A1198" s="2" t="s">
        <v>9348</v>
      </c>
      <c r="B1198" s="2" t="s">
        <v>1361</v>
      </c>
      <c r="C1198" s="2">
        <v>2014.0</v>
      </c>
      <c r="D1198" s="2" t="s">
        <v>9349</v>
      </c>
      <c r="E1198" s="2" t="s">
        <v>9350</v>
      </c>
      <c r="F1198" s="2" t="s">
        <v>1510</v>
      </c>
      <c r="H1198" s="2" t="s">
        <v>1546</v>
      </c>
      <c r="I1198" s="2" t="s">
        <v>9351</v>
      </c>
      <c r="J1198" s="2" t="s">
        <v>9352</v>
      </c>
      <c r="K1198" s="2" t="s">
        <v>9353</v>
      </c>
      <c r="L1198" s="2" t="s">
        <v>9354</v>
      </c>
      <c r="M1198" s="2" t="s">
        <v>1385</v>
      </c>
      <c r="N1198" s="2" t="s">
        <v>1386</v>
      </c>
      <c r="O1198" s="2" t="s">
        <v>2134</v>
      </c>
      <c r="P1198" s="2" t="s">
        <v>9355</v>
      </c>
      <c r="R1198" s="2" t="s">
        <v>9356</v>
      </c>
      <c r="S1198" s="2">
        <v>345.0</v>
      </c>
      <c r="U1198" s="2" t="s">
        <v>1510</v>
      </c>
      <c r="AC1198" s="2" t="s">
        <v>1540</v>
      </c>
      <c r="AH1198" s="2" t="s">
        <v>1541</v>
      </c>
      <c r="AN1198" s="2" t="s">
        <v>1542</v>
      </c>
    </row>
    <row r="1199" ht="15.75" customHeight="1">
      <c r="A1199" s="2" t="s">
        <v>9357</v>
      </c>
      <c r="B1199" s="2" t="s">
        <v>1361</v>
      </c>
      <c r="C1199" s="2">
        <v>2016.0</v>
      </c>
      <c r="D1199" s="2" t="s">
        <v>9358</v>
      </c>
      <c r="E1199" s="2" t="s">
        <v>9359</v>
      </c>
      <c r="F1199" s="2" t="s">
        <v>9360</v>
      </c>
      <c r="H1199" s="2" t="s">
        <v>9361</v>
      </c>
      <c r="I1199" s="2" t="s">
        <v>9362</v>
      </c>
      <c r="K1199" s="2" t="s">
        <v>9363</v>
      </c>
      <c r="L1199" s="2" t="s">
        <v>1502</v>
      </c>
      <c r="M1199" s="2" t="s">
        <v>1385</v>
      </c>
      <c r="N1199" s="2" t="s">
        <v>1386</v>
      </c>
      <c r="P1199" s="2" t="s">
        <v>2354</v>
      </c>
      <c r="R1199" s="2" t="s">
        <v>1453</v>
      </c>
      <c r="S1199" s="2">
        <v>24.0</v>
      </c>
      <c r="AN1199" s="2" t="s">
        <v>3748</v>
      </c>
    </row>
    <row r="1200" ht="15.75" customHeight="1">
      <c r="A1200" s="2" t="s">
        <v>9364</v>
      </c>
      <c r="B1200" s="2" t="s">
        <v>1361</v>
      </c>
      <c r="C1200" s="2">
        <v>2016.0</v>
      </c>
      <c r="D1200" s="2" t="s">
        <v>9365</v>
      </c>
      <c r="E1200" s="2" t="s">
        <v>9366</v>
      </c>
      <c r="F1200" s="2" t="s">
        <v>2053</v>
      </c>
      <c r="H1200" s="2" t="s">
        <v>8028</v>
      </c>
      <c r="I1200" s="2" t="s">
        <v>9367</v>
      </c>
      <c r="K1200" s="2" t="s">
        <v>9368</v>
      </c>
      <c r="L1200" s="2" t="s">
        <v>1502</v>
      </c>
      <c r="M1200" s="2" t="s">
        <v>1385</v>
      </c>
      <c r="N1200" s="2" t="s">
        <v>1386</v>
      </c>
      <c r="P1200" s="2" t="s">
        <v>9369</v>
      </c>
      <c r="R1200" s="2" t="s">
        <v>1462</v>
      </c>
      <c r="S1200" s="2">
        <v>14.0</v>
      </c>
      <c r="AN1200" s="2" t="s">
        <v>1621</v>
      </c>
    </row>
    <row r="1201" ht="15.75" customHeight="1">
      <c r="A1201" s="2" t="s">
        <v>9370</v>
      </c>
      <c r="B1201" s="2" t="s">
        <v>1361</v>
      </c>
      <c r="C1201" s="2">
        <v>2017.0</v>
      </c>
      <c r="D1201" s="2" t="s">
        <v>9371</v>
      </c>
      <c r="E1201" s="2" t="s">
        <v>9372</v>
      </c>
      <c r="F1201" s="2" t="s">
        <v>1789</v>
      </c>
      <c r="H1201" s="2" t="s">
        <v>1790</v>
      </c>
      <c r="I1201" s="2" t="s">
        <v>9373</v>
      </c>
      <c r="K1201" s="2" t="s">
        <v>9374</v>
      </c>
      <c r="L1201" s="2" t="s">
        <v>1658</v>
      </c>
      <c r="M1201" s="2" t="s">
        <v>1385</v>
      </c>
      <c r="N1201" s="2" t="s">
        <v>1386</v>
      </c>
      <c r="P1201" s="2" t="s">
        <v>9375</v>
      </c>
      <c r="R1201" s="2" t="s">
        <v>5633</v>
      </c>
      <c r="S1201" s="2">
        <v>47.0</v>
      </c>
      <c r="AN1201" s="2" t="s">
        <v>1368</v>
      </c>
    </row>
    <row r="1202" ht="15.75" customHeight="1">
      <c r="A1202" s="2" t="s">
        <v>9376</v>
      </c>
      <c r="B1202" s="2" t="s">
        <v>2986</v>
      </c>
      <c r="C1202" s="2">
        <v>2006.0</v>
      </c>
      <c r="D1202" s="2" t="s">
        <v>9377</v>
      </c>
      <c r="E1202" s="2" t="s">
        <v>9378</v>
      </c>
      <c r="F1202" s="2" t="s">
        <v>9379</v>
      </c>
      <c r="J1202" s="2" t="s">
        <v>9380</v>
      </c>
      <c r="L1202" s="2" t="s">
        <v>1727</v>
      </c>
      <c r="M1202" s="2" t="s">
        <v>1385</v>
      </c>
      <c r="N1202" s="2" t="s">
        <v>1386</v>
      </c>
      <c r="AN1202" s="2" t="s">
        <v>1368</v>
      </c>
    </row>
    <row r="1203" ht="15.75" customHeight="1">
      <c r="A1203" s="2" t="s">
        <v>9381</v>
      </c>
      <c r="B1203" s="2" t="s">
        <v>1396</v>
      </c>
      <c r="C1203" s="2">
        <v>1986.0</v>
      </c>
      <c r="D1203" s="2" t="s">
        <v>9382</v>
      </c>
      <c r="E1203" s="2" t="s">
        <v>9383</v>
      </c>
      <c r="L1203" s="2" t="s">
        <v>3288</v>
      </c>
      <c r="M1203" s="2" t="s">
        <v>1385</v>
      </c>
      <c r="N1203" s="2" t="s">
        <v>1386</v>
      </c>
      <c r="AA1203" s="2" t="s">
        <v>9384</v>
      </c>
      <c r="AN1203" s="2" t="s">
        <v>1368</v>
      </c>
    </row>
    <row r="1204" ht="15.75" customHeight="1">
      <c r="A1204" s="2" t="s">
        <v>9385</v>
      </c>
      <c r="B1204" s="2" t="s">
        <v>1623</v>
      </c>
      <c r="C1204" s="2">
        <v>2006.0</v>
      </c>
      <c r="D1204" s="2" t="s">
        <v>9386</v>
      </c>
      <c r="E1204" s="2" t="s">
        <v>9387</v>
      </c>
      <c r="L1204" s="2" t="s">
        <v>1727</v>
      </c>
      <c r="M1204" s="2" t="s">
        <v>1385</v>
      </c>
      <c r="N1204" s="2" t="s">
        <v>1386</v>
      </c>
      <c r="AA1204" s="2" t="s">
        <v>9388</v>
      </c>
      <c r="AB1204" s="2" t="s">
        <v>7543</v>
      </c>
      <c r="AN1204" s="2" t="s">
        <v>1368</v>
      </c>
    </row>
    <row r="1205" ht="15.75" customHeight="1">
      <c r="A1205" s="2" t="s">
        <v>9389</v>
      </c>
      <c r="B1205" s="2" t="s">
        <v>1766</v>
      </c>
      <c r="C1205" s="2">
        <v>2005.0</v>
      </c>
      <c r="D1205" s="2" t="s">
        <v>9390</v>
      </c>
      <c r="E1205" s="2" t="s">
        <v>9391</v>
      </c>
      <c r="F1205" s="2" t="s">
        <v>9392</v>
      </c>
      <c r="L1205" s="2" t="s">
        <v>1394</v>
      </c>
      <c r="M1205" s="2" t="s">
        <v>1385</v>
      </c>
      <c r="N1205" s="2" t="s">
        <v>1386</v>
      </c>
      <c r="P1205" s="2" t="s">
        <v>9393</v>
      </c>
      <c r="AA1205" s="2" t="s">
        <v>2430</v>
      </c>
      <c r="AB1205" s="2" t="s">
        <v>9394</v>
      </c>
      <c r="AN1205" s="2" t="s">
        <v>1368</v>
      </c>
      <c r="AP1205" s="2" t="s">
        <v>9395</v>
      </c>
    </row>
    <row r="1206" ht="15.75" customHeight="1">
      <c r="A1206" s="2" t="s">
        <v>9396</v>
      </c>
      <c r="B1206" s="2" t="s">
        <v>1361</v>
      </c>
      <c r="C1206" s="2">
        <v>1991.0</v>
      </c>
      <c r="D1206" s="2" t="s">
        <v>9397</v>
      </c>
      <c r="E1206" s="2" t="s">
        <v>9398</v>
      </c>
      <c r="F1206" s="2" t="s">
        <v>2205</v>
      </c>
      <c r="H1206" s="2" t="s">
        <v>2206</v>
      </c>
      <c r="I1206" s="2" t="s">
        <v>9399</v>
      </c>
      <c r="J1206" s="2" t="s">
        <v>9400</v>
      </c>
      <c r="L1206" s="2" t="s">
        <v>9401</v>
      </c>
      <c r="M1206" s="2" t="s">
        <v>1385</v>
      </c>
      <c r="N1206" s="2" t="s">
        <v>1386</v>
      </c>
      <c r="P1206" s="2" t="s">
        <v>9402</v>
      </c>
      <c r="R1206" s="2" t="s">
        <v>1506</v>
      </c>
      <c r="S1206" s="2">
        <v>15.0</v>
      </c>
      <c r="AN1206" s="2" t="s">
        <v>1368</v>
      </c>
    </row>
    <row r="1207" ht="15.75" customHeight="1">
      <c r="A1207" s="2" t="s">
        <v>9403</v>
      </c>
      <c r="B1207" s="2" t="s">
        <v>1361</v>
      </c>
      <c r="C1207" s="2">
        <v>2018.0</v>
      </c>
      <c r="D1207" s="2" t="s">
        <v>9404</v>
      </c>
      <c r="E1207" s="2" t="s">
        <v>9405</v>
      </c>
      <c r="F1207" s="2" t="s">
        <v>1500</v>
      </c>
      <c r="H1207" s="2" t="s">
        <v>1643</v>
      </c>
      <c r="I1207" s="2" t="s">
        <v>9406</v>
      </c>
      <c r="J1207" s="2" t="s">
        <v>9407</v>
      </c>
      <c r="K1207" s="2" t="s">
        <v>9408</v>
      </c>
      <c r="L1207" s="2" t="s">
        <v>9409</v>
      </c>
      <c r="M1207" s="2" t="s">
        <v>1385</v>
      </c>
      <c r="N1207" s="2" t="s">
        <v>1386</v>
      </c>
      <c r="P1207" s="2" t="s">
        <v>9410</v>
      </c>
      <c r="R1207" s="2" t="s">
        <v>1462</v>
      </c>
      <c r="S1207" s="2">
        <v>69.0</v>
      </c>
      <c r="AN1207" s="2" t="s">
        <v>1368</v>
      </c>
    </row>
    <row r="1208" ht="15.75" customHeight="1">
      <c r="A1208" s="2" t="s">
        <v>9411</v>
      </c>
      <c r="B1208" s="2" t="s">
        <v>1361</v>
      </c>
      <c r="C1208" s="2">
        <v>2016.0</v>
      </c>
      <c r="D1208" s="2" t="s">
        <v>9412</v>
      </c>
      <c r="E1208" s="2" t="s">
        <v>9413</v>
      </c>
      <c r="F1208" s="2" t="s">
        <v>1510</v>
      </c>
      <c r="H1208" s="2" t="s">
        <v>1511</v>
      </c>
      <c r="I1208" s="2" t="s">
        <v>9414</v>
      </c>
      <c r="J1208" s="2" t="s">
        <v>9415</v>
      </c>
      <c r="L1208" s="2" t="s">
        <v>6155</v>
      </c>
      <c r="M1208" s="2" t="s">
        <v>1385</v>
      </c>
      <c r="N1208" s="2" t="s">
        <v>1386</v>
      </c>
      <c r="P1208" s="2" t="s">
        <v>9416</v>
      </c>
      <c r="R1208" s="2" t="s">
        <v>9417</v>
      </c>
      <c r="S1208" s="2">
        <v>351.0</v>
      </c>
      <c r="AN1208" s="2" t="s">
        <v>1368</v>
      </c>
    </row>
    <row r="1209" ht="15.75" customHeight="1">
      <c r="A1209" s="2" t="s">
        <v>9418</v>
      </c>
      <c r="B1209" s="2" t="s">
        <v>1396</v>
      </c>
      <c r="C1209" s="2">
        <v>2014.0</v>
      </c>
      <c r="D1209" s="2" t="s">
        <v>9419</v>
      </c>
      <c r="E1209" s="2" t="s">
        <v>9420</v>
      </c>
      <c r="L1209" s="2" t="s">
        <v>1476</v>
      </c>
      <c r="M1209" s="2" t="s">
        <v>1385</v>
      </c>
      <c r="N1209" s="2" t="s">
        <v>1386</v>
      </c>
      <c r="AN1209" s="2" t="s">
        <v>1368</v>
      </c>
    </row>
    <row r="1210" ht="15.75" customHeight="1">
      <c r="A1210" s="2" t="s">
        <v>9421</v>
      </c>
      <c r="B1210" s="2" t="s">
        <v>1766</v>
      </c>
      <c r="C1210" s="2">
        <v>2016.0</v>
      </c>
      <c r="D1210" s="2" t="s">
        <v>9422</v>
      </c>
      <c r="E1210" s="2" t="s">
        <v>9423</v>
      </c>
      <c r="F1210" s="2" t="s">
        <v>9424</v>
      </c>
      <c r="L1210" s="2" t="s">
        <v>1502</v>
      </c>
      <c r="M1210" s="2" t="s">
        <v>1385</v>
      </c>
      <c r="N1210" s="2" t="s">
        <v>1386</v>
      </c>
      <c r="P1210" s="2" t="s">
        <v>9425</v>
      </c>
      <c r="AA1210" s="2" t="s">
        <v>2409</v>
      </c>
      <c r="AB1210" s="2" t="s">
        <v>2410</v>
      </c>
      <c r="AN1210" s="2" t="s">
        <v>1368</v>
      </c>
      <c r="AP1210" s="2" t="s">
        <v>2411</v>
      </c>
    </row>
    <row r="1211" ht="15.75" customHeight="1">
      <c r="A1211" s="2" t="s">
        <v>9426</v>
      </c>
      <c r="B1211" s="2" t="s">
        <v>1396</v>
      </c>
      <c r="C1211" s="2">
        <v>2014.0</v>
      </c>
      <c r="D1211" s="2" t="s">
        <v>9427</v>
      </c>
      <c r="E1211" s="2" t="s">
        <v>9428</v>
      </c>
      <c r="J1211" s="2" t="s">
        <v>9429</v>
      </c>
      <c r="L1211" s="2" t="s">
        <v>1476</v>
      </c>
      <c r="M1211" s="2" t="s">
        <v>1385</v>
      </c>
      <c r="N1211" s="2" t="s">
        <v>1386</v>
      </c>
      <c r="AA1211" s="2" t="s">
        <v>9430</v>
      </c>
      <c r="AB1211" s="2" t="s">
        <v>9431</v>
      </c>
      <c r="AN1211" s="2" t="s">
        <v>1368</v>
      </c>
    </row>
    <row r="1212" ht="15.75" customHeight="1">
      <c r="A1212" s="2" t="s">
        <v>9432</v>
      </c>
      <c r="B1212" s="2" t="s">
        <v>1361</v>
      </c>
      <c r="C1212" s="2">
        <v>1996.0</v>
      </c>
      <c r="D1212" s="2" t="s">
        <v>9433</v>
      </c>
      <c r="E1212" s="2" t="s">
        <v>9434</v>
      </c>
      <c r="F1212" s="2" t="s">
        <v>9435</v>
      </c>
      <c r="H1212" s="2" t="s">
        <v>9436</v>
      </c>
      <c r="I1212" s="2" t="s">
        <v>9437</v>
      </c>
      <c r="L1212" s="2" t="s">
        <v>9438</v>
      </c>
      <c r="M1212" s="2" t="s">
        <v>1385</v>
      </c>
      <c r="N1212" s="2" t="s">
        <v>1386</v>
      </c>
      <c r="P1212" s="2" t="s">
        <v>9439</v>
      </c>
      <c r="R1212" s="2" t="s">
        <v>1600</v>
      </c>
      <c r="S1212" s="2">
        <v>1.0</v>
      </c>
      <c r="AN1212" s="2" t="s">
        <v>1368</v>
      </c>
    </row>
    <row r="1213" ht="15.75" customHeight="1">
      <c r="A1213" s="2" t="s">
        <v>9440</v>
      </c>
      <c r="B1213" s="2" t="s">
        <v>1781</v>
      </c>
      <c r="C1213" s="2">
        <v>2009.0</v>
      </c>
      <c r="D1213" s="2" t="s">
        <v>9441</v>
      </c>
      <c r="E1213" s="2" t="s">
        <v>9442</v>
      </c>
      <c r="K1213" s="2" t="s">
        <v>9443</v>
      </c>
      <c r="L1213" s="2" t="s">
        <v>1364</v>
      </c>
      <c r="M1213" s="2" t="s">
        <v>1385</v>
      </c>
      <c r="N1213" s="2" t="s">
        <v>1386</v>
      </c>
      <c r="AB1213" s="2" t="s">
        <v>7530</v>
      </c>
      <c r="AN1213" s="2" t="s">
        <v>1368</v>
      </c>
    </row>
    <row r="1214" ht="15.75" customHeight="1">
      <c r="A1214" s="2" t="s">
        <v>9444</v>
      </c>
      <c r="B1214" s="2" t="s">
        <v>1396</v>
      </c>
      <c r="C1214" s="2">
        <v>2010.0</v>
      </c>
      <c r="D1214" s="2" t="s">
        <v>9445</v>
      </c>
      <c r="E1214" s="2" t="s">
        <v>9446</v>
      </c>
      <c r="L1214" s="2" t="s">
        <v>1449</v>
      </c>
      <c r="M1214" s="2" t="s">
        <v>1385</v>
      </c>
      <c r="N1214" s="2" t="s">
        <v>1386</v>
      </c>
      <c r="AA1214" s="2" t="s">
        <v>9447</v>
      </c>
      <c r="AB1214" s="2" t="s">
        <v>4458</v>
      </c>
      <c r="AN1214" s="2" t="s">
        <v>1368</v>
      </c>
    </row>
    <row r="1215" ht="15.75" customHeight="1">
      <c r="A1215" s="2" t="s">
        <v>9448</v>
      </c>
      <c r="B1215" s="2" t="s">
        <v>1396</v>
      </c>
      <c r="C1215" s="2">
        <v>2007.0</v>
      </c>
      <c r="D1215" s="2" t="s">
        <v>9449</v>
      </c>
      <c r="E1215" s="2" t="s">
        <v>9450</v>
      </c>
      <c r="L1215" s="2" t="s">
        <v>2380</v>
      </c>
      <c r="M1215" s="2" t="s">
        <v>1385</v>
      </c>
      <c r="N1215" s="2" t="s">
        <v>1386</v>
      </c>
      <c r="AA1215" s="2" t="s">
        <v>9451</v>
      </c>
      <c r="AN1215" s="2" t="s">
        <v>1368</v>
      </c>
    </row>
    <row r="1216" ht="15.75" customHeight="1">
      <c r="A1216" s="2" t="s">
        <v>9452</v>
      </c>
      <c r="B1216" s="2" t="s">
        <v>1396</v>
      </c>
      <c r="C1216" s="2">
        <v>2006.0</v>
      </c>
      <c r="D1216" s="2" t="s">
        <v>9445</v>
      </c>
      <c r="E1216" s="2" t="s">
        <v>9453</v>
      </c>
      <c r="L1216" s="2" t="s">
        <v>1727</v>
      </c>
      <c r="M1216" s="2" t="s">
        <v>1385</v>
      </c>
      <c r="N1216" s="2" t="s">
        <v>1386</v>
      </c>
      <c r="AA1216" s="2" t="s">
        <v>9447</v>
      </c>
      <c r="AB1216" s="2" t="s">
        <v>4458</v>
      </c>
      <c r="AN1216" s="2" t="s">
        <v>1368</v>
      </c>
    </row>
    <row r="1217" ht="15.75" customHeight="1">
      <c r="A1217" s="2" t="s">
        <v>9454</v>
      </c>
      <c r="B1217" s="2" t="s">
        <v>1361</v>
      </c>
      <c r="C1217" s="2">
        <v>2009.0</v>
      </c>
      <c r="D1217" s="2" t="s">
        <v>9455</v>
      </c>
      <c r="E1217" s="2" t="s">
        <v>9456</v>
      </c>
      <c r="F1217" s="2" t="s">
        <v>1425</v>
      </c>
      <c r="H1217" s="2" t="s">
        <v>1426</v>
      </c>
      <c r="I1217" s="2" t="s">
        <v>9457</v>
      </c>
      <c r="K1217" s="2" t="s">
        <v>9458</v>
      </c>
      <c r="L1217" s="2" t="s">
        <v>1364</v>
      </c>
      <c r="M1217" s="2" t="s">
        <v>1385</v>
      </c>
      <c r="N1217" s="2" t="s">
        <v>1386</v>
      </c>
      <c r="P1217" s="2" t="s">
        <v>9459</v>
      </c>
      <c r="R1217" s="2" t="s">
        <v>1600</v>
      </c>
      <c r="S1217" s="2">
        <v>57.0</v>
      </c>
      <c r="AN1217" s="2" t="s">
        <v>1368</v>
      </c>
    </row>
    <row r="1218" ht="15.75" customHeight="1">
      <c r="A1218" s="2" t="s">
        <v>9460</v>
      </c>
      <c r="B1218" s="2" t="s">
        <v>1361</v>
      </c>
      <c r="C1218" s="2">
        <v>2002.0</v>
      </c>
      <c r="D1218" s="2" t="s">
        <v>9461</v>
      </c>
      <c r="E1218" s="2" t="s">
        <v>9462</v>
      </c>
      <c r="F1218" s="2" t="s">
        <v>9463</v>
      </c>
      <c r="H1218" s="2" t="s">
        <v>9464</v>
      </c>
      <c r="I1218" s="2" t="s">
        <v>9465</v>
      </c>
      <c r="L1218" s="2" t="s">
        <v>8810</v>
      </c>
      <c r="M1218" s="2" t="s">
        <v>1385</v>
      </c>
      <c r="N1218" s="2" t="s">
        <v>1386</v>
      </c>
      <c r="P1218" s="2" t="s">
        <v>9466</v>
      </c>
      <c r="R1218" s="2" t="s">
        <v>1462</v>
      </c>
      <c r="S1218" s="2">
        <v>40.0</v>
      </c>
      <c r="AN1218" s="2" t="s">
        <v>1368</v>
      </c>
    </row>
    <row r="1219" ht="15.75" customHeight="1">
      <c r="A1219" s="2" t="s">
        <v>9467</v>
      </c>
      <c r="B1219" s="2" t="s">
        <v>1396</v>
      </c>
      <c r="C1219" s="2">
        <v>1980.0</v>
      </c>
      <c r="D1219" s="2" t="s">
        <v>9468</v>
      </c>
      <c r="E1219" s="2" t="s">
        <v>9469</v>
      </c>
      <c r="G1219" s="2" t="s">
        <v>9470</v>
      </c>
      <c r="K1219" s="2" t="s">
        <v>9471</v>
      </c>
      <c r="L1219" s="2" t="s">
        <v>5815</v>
      </c>
      <c r="M1219" s="2" t="s">
        <v>1385</v>
      </c>
      <c r="N1219" s="2" t="s">
        <v>1386</v>
      </c>
      <c r="Q1219" s="2">
        <v>348.0</v>
      </c>
      <c r="AA1219" s="2" t="s">
        <v>9472</v>
      </c>
      <c r="AB1219" s="2" t="s">
        <v>5295</v>
      </c>
      <c r="AN1219" s="2" t="s">
        <v>1368</v>
      </c>
    </row>
    <row r="1220" ht="15.75" customHeight="1">
      <c r="A1220" s="2" t="s">
        <v>9473</v>
      </c>
      <c r="B1220" s="2" t="s">
        <v>1361</v>
      </c>
      <c r="C1220" s="2">
        <v>2012.0</v>
      </c>
      <c r="D1220" s="2" t="s">
        <v>9474</v>
      </c>
      <c r="E1220" s="2" t="s">
        <v>9475</v>
      </c>
      <c r="F1220" s="2" t="s">
        <v>9476</v>
      </c>
      <c r="H1220" s="2" t="s">
        <v>9477</v>
      </c>
      <c r="I1220" s="2" t="s">
        <v>9478</v>
      </c>
      <c r="K1220" s="2" t="s">
        <v>9479</v>
      </c>
      <c r="L1220" s="2" t="s">
        <v>1405</v>
      </c>
      <c r="M1220" s="2" t="s">
        <v>1385</v>
      </c>
      <c r="N1220" s="2" t="s">
        <v>1386</v>
      </c>
      <c r="P1220" s="2" t="s">
        <v>9480</v>
      </c>
      <c r="R1220" s="2" t="s">
        <v>1600</v>
      </c>
      <c r="S1220" s="2">
        <v>13.0</v>
      </c>
      <c r="AN1220" s="2" t="s">
        <v>1368</v>
      </c>
    </row>
    <row r="1221" ht="15.75" customHeight="1">
      <c r="A1221" s="2" t="s">
        <v>9481</v>
      </c>
      <c r="B1221" s="2" t="s">
        <v>1361</v>
      </c>
      <c r="C1221" s="2">
        <v>2015.0</v>
      </c>
      <c r="D1221" s="2" t="s">
        <v>9482</v>
      </c>
      <c r="E1221" s="2" t="s">
        <v>9483</v>
      </c>
      <c r="F1221" s="2" t="s">
        <v>9484</v>
      </c>
      <c r="H1221" s="2" t="s">
        <v>9485</v>
      </c>
      <c r="I1221" s="2" t="s">
        <v>427</v>
      </c>
      <c r="K1221" s="2" t="s">
        <v>9486</v>
      </c>
      <c r="L1221" s="2" t="s">
        <v>1373</v>
      </c>
      <c r="M1221" s="2" t="s">
        <v>1385</v>
      </c>
      <c r="N1221" s="2" t="s">
        <v>1386</v>
      </c>
      <c r="AN1221" s="2" t="s">
        <v>1368</v>
      </c>
    </row>
    <row r="1222" ht="15.75" customHeight="1">
      <c r="A1222" s="2" t="s">
        <v>9487</v>
      </c>
      <c r="B1222" s="2" t="s">
        <v>1396</v>
      </c>
      <c r="C1222" s="2">
        <v>2004.0</v>
      </c>
      <c r="D1222" s="2" t="s">
        <v>9488</v>
      </c>
      <c r="E1222" s="2" t="s">
        <v>9489</v>
      </c>
      <c r="L1222" s="2" t="s">
        <v>2373</v>
      </c>
      <c r="M1222" s="2" t="s">
        <v>1385</v>
      </c>
      <c r="N1222" s="2" t="s">
        <v>1386</v>
      </c>
      <c r="AA1222" s="2" t="s">
        <v>9490</v>
      </c>
      <c r="AN1222" s="2" t="s">
        <v>1368</v>
      </c>
    </row>
    <row r="1223" ht="15.75" customHeight="1">
      <c r="A1223" s="2" t="s">
        <v>9491</v>
      </c>
      <c r="B1223" s="2" t="s">
        <v>1766</v>
      </c>
      <c r="C1223" s="2">
        <v>2011.0</v>
      </c>
      <c r="D1223" s="2" t="s">
        <v>9492</v>
      </c>
      <c r="E1223" s="2" t="s">
        <v>9493</v>
      </c>
      <c r="F1223" s="2" t="s">
        <v>9494</v>
      </c>
      <c r="L1223" s="2" t="s">
        <v>1627</v>
      </c>
      <c r="M1223" s="2" t="s">
        <v>1385</v>
      </c>
      <c r="N1223" s="2" t="s">
        <v>1386</v>
      </c>
      <c r="AA1223" s="2" t="s">
        <v>2441</v>
      </c>
      <c r="AB1223" s="2" t="s">
        <v>9495</v>
      </c>
      <c r="AN1223" s="2" t="s">
        <v>1368</v>
      </c>
      <c r="AP1223" s="2" t="s">
        <v>9496</v>
      </c>
    </row>
    <row r="1224" ht="15.75" customHeight="1">
      <c r="A1224" s="2" t="s">
        <v>9497</v>
      </c>
      <c r="B1224" s="2" t="s">
        <v>1361</v>
      </c>
      <c r="C1224" s="2">
        <v>2000.0</v>
      </c>
      <c r="D1224" s="2" t="s">
        <v>9498</v>
      </c>
      <c r="E1224" s="2" t="s">
        <v>9499</v>
      </c>
      <c r="F1224" s="2" t="s">
        <v>9500</v>
      </c>
      <c r="H1224" s="2" t="s">
        <v>9501</v>
      </c>
      <c r="I1224" s="2" t="s">
        <v>9502</v>
      </c>
      <c r="K1224" s="2" t="s">
        <v>9503</v>
      </c>
      <c r="L1224" s="2" t="s">
        <v>2429</v>
      </c>
      <c r="M1224" s="2" t="s">
        <v>1385</v>
      </c>
      <c r="N1224" s="2" t="s">
        <v>1386</v>
      </c>
      <c r="P1224" s="2" t="s">
        <v>9504</v>
      </c>
      <c r="R1224" s="2" t="s">
        <v>1462</v>
      </c>
      <c r="S1224" s="2">
        <v>1.0</v>
      </c>
      <c r="AN1224" s="2" t="s">
        <v>1368</v>
      </c>
    </row>
    <row r="1225" ht="15.75" customHeight="1">
      <c r="A1225" s="2" t="s">
        <v>9505</v>
      </c>
      <c r="B1225" s="2" t="s">
        <v>1361</v>
      </c>
      <c r="C1225" s="2">
        <v>2002.0</v>
      </c>
      <c r="D1225" s="2" t="s">
        <v>9506</v>
      </c>
      <c r="E1225" s="2" t="s">
        <v>9507</v>
      </c>
      <c r="F1225" s="2" t="s">
        <v>9508</v>
      </c>
      <c r="H1225" s="2" t="s">
        <v>9509</v>
      </c>
      <c r="I1225" s="2" t="s">
        <v>9510</v>
      </c>
      <c r="L1225" s="2" t="s">
        <v>1493</v>
      </c>
      <c r="M1225" s="2" t="s">
        <v>1385</v>
      </c>
      <c r="N1225" s="2" t="s">
        <v>1386</v>
      </c>
      <c r="P1225" s="2" t="s">
        <v>9511</v>
      </c>
      <c r="R1225" s="2" t="s">
        <v>1600</v>
      </c>
      <c r="S1225" s="2">
        <v>27.0</v>
      </c>
      <c r="AN1225" s="2" t="s">
        <v>1368</v>
      </c>
    </row>
    <row r="1226" ht="15.75" customHeight="1">
      <c r="A1226" s="2" t="s">
        <v>9512</v>
      </c>
      <c r="B1226" s="2" t="s">
        <v>1396</v>
      </c>
      <c r="C1226" s="2">
        <v>2007.0</v>
      </c>
      <c r="D1226" s="2" t="s">
        <v>9513</v>
      </c>
      <c r="E1226" s="2" t="s">
        <v>9514</v>
      </c>
      <c r="G1226" s="2" t="s">
        <v>2556</v>
      </c>
      <c r="K1226" s="2" t="s">
        <v>9515</v>
      </c>
      <c r="L1226" s="2" t="s">
        <v>2380</v>
      </c>
      <c r="M1226" s="2" t="s">
        <v>1385</v>
      </c>
      <c r="N1226" s="2" t="s">
        <v>1386</v>
      </c>
      <c r="AN1226" s="2" t="s">
        <v>1368</v>
      </c>
    </row>
    <row r="1227" ht="15.75" customHeight="1">
      <c r="A1227" s="2" t="s">
        <v>9516</v>
      </c>
      <c r="B1227" s="2" t="s">
        <v>1361</v>
      </c>
      <c r="C1227" s="2">
        <v>2010.0</v>
      </c>
      <c r="D1227" s="2" t="s">
        <v>9517</v>
      </c>
      <c r="E1227" s="2" t="s">
        <v>9518</v>
      </c>
      <c r="F1227" s="2" t="s">
        <v>9519</v>
      </c>
      <c r="H1227" s="2" t="s">
        <v>9520</v>
      </c>
      <c r="I1227" s="2" t="s">
        <v>9521</v>
      </c>
      <c r="K1227" s="2" t="s">
        <v>9522</v>
      </c>
      <c r="L1227" s="2" t="s">
        <v>1449</v>
      </c>
      <c r="M1227" s="2" t="s">
        <v>1385</v>
      </c>
      <c r="N1227" s="2" t="s">
        <v>1386</v>
      </c>
      <c r="AN1227" s="2" t="s">
        <v>1368</v>
      </c>
    </row>
    <row r="1228" ht="15.75" customHeight="1">
      <c r="A1228" s="2" t="s">
        <v>9523</v>
      </c>
      <c r="B1228" s="2" t="s">
        <v>1361</v>
      </c>
      <c r="C1228" s="2">
        <v>2016.0</v>
      </c>
      <c r="D1228" s="2" t="s">
        <v>9524</v>
      </c>
      <c r="E1228" s="2" t="s">
        <v>9525</v>
      </c>
      <c r="F1228" s="2" t="s">
        <v>1789</v>
      </c>
      <c r="H1228" s="2" t="s">
        <v>1790</v>
      </c>
      <c r="I1228" s="2" t="s">
        <v>9526</v>
      </c>
      <c r="K1228" s="2" t="s">
        <v>9527</v>
      </c>
      <c r="L1228" s="2" t="s">
        <v>1502</v>
      </c>
      <c r="M1228" s="2" t="s">
        <v>1385</v>
      </c>
      <c r="N1228" s="2" t="s">
        <v>1386</v>
      </c>
      <c r="AN1228" s="2" t="s">
        <v>1368</v>
      </c>
    </row>
    <row r="1229" ht="15.75" customHeight="1">
      <c r="A1229" s="2" t="s">
        <v>9528</v>
      </c>
      <c r="B1229" s="2" t="s">
        <v>1361</v>
      </c>
      <c r="C1229" s="2">
        <v>2012.0</v>
      </c>
      <c r="D1229" s="2" t="s">
        <v>9529</v>
      </c>
      <c r="E1229" s="2" t="s">
        <v>9530</v>
      </c>
      <c r="I1229" s="2" t="s">
        <v>9531</v>
      </c>
      <c r="L1229" s="2" t="s">
        <v>1405</v>
      </c>
      <c r="M1229" s="2" t="s">
        <v>1385</v>
      </c>
      <c r="N1229" s="2" t="s">
        <v>1386</v>
      </c>
      <c r="R1229" s="2" t="s">
        <v>1506</v>
      </c>
      <c r="S1229" s="2">
        <v>7.0</v>
      </c>
      <c r="AN1229" s="2" t="s">
        <v>1368</v>
      </c>
    </row>
    <row r="1230" ht="15.75" customHeight="1">
      <c r="A1230" s="2" t="s">
        <v>9532</v>
      </c>
      <c r="B1230" s="2" t="s">
        <v>1766</v>
      </c>
      <c r="C1230" s="2">
        <v>2016.0</v>
      </c>
      <c r="D1230" s="2" t="s">
        <v>9533</v>
      </c>
      <c r="E1230" s="2" t="s">
        <v>9534</v>
      </c>
      <c r="F1230" s="2" t="s">
        <v>9535</v>
      </c>
      <c r="L1230" s="2" t="s">
        <v>1502</v>
      </c>
      <c r="M1230" s="2" t="s">
        <v>1385</v>
      </c>
      <c r="N1230" s="2" t="s">
        <v>1386</v>
      </c>
      <c r="AN1230" s="2" t="s">
        <v>1368</v>
      </c>
    </row>
    <row r="1231" ht="15.75" customHeight="1">
      <c r="A1231" s="2" t="s">
        <v>9536</v>
      </c>
      <c r="B1231" s="2" t="s">
        <v>1361</v>
      </c>
      <c r="C1231" s="2">
        <v>2007.0</v>
      </c>
      <c r="D1231" s="2" t="s">
        <v>9537</v>
      </c>
      <c r="E1231" s="2" t="s">
        <v>9538</v>
      </c>
      <c r="F1231" s="2" t="s">
        <v>9539</v>
      </c>
      <c r="I1231" s="2" t="s">
        <v>9540</v>
      </c>
      <c r="L1231" s="2" t="s">
        <v>2380</v>
      </c>
      <c r="M1231" s="2" t="s">
        <v>1385</v>
      </c>
      <c r="N1231" s="2" t="s">
        <v>1386</v>
      </c>
      <c r="P1231" s="2" t="s">
        <v>9541</v>
      </c>
      <c r="S1231" s="2">
        <v>29.0</v>
      </c>
      <c r="AN1231" s="2" t="s">
        <v>1368</v>
      </c>
    </row>
    <row r="1232" ht="15.75" customHeight="1">
      <c r="A1232" s="2" t="s">
        <v>9542</v>
      </c>
      <c r="B1232" s="2" t="s">
        <v>1361</v>
      </c>
      <c r="C1232" s="2">
        <v>2014.0</v>
      </c>
      <c r="D1232" s="2" t="s">
        <v>9543</v>
      </c>
      <c r="E1232" s="2" t="s">
        <v>482</v>
      </c>
      <c r="F1232" s="2" t="s">
        <v>1688</v>
      </c>
      <c r="H1232" s="2" t="s">
        <v>1689</v>
      </c>
      <c r="I1232" s="2" t="s">
        <v>484</v>
      </c>
      <c r="K1232" s="2" t="s">
        <v>9544</v>
      </c>
      <c r="L1232" s="2" t="s">
        <v>1476</v>
      </c>
      <c r="M1232" s="2" t="s">
        <v>1385</v>
      </c>
      <c r="N1232" s="2" t="s">
        <v>1386</v>
      </c>
      <c r="P1232" s="2" t="s">
        <v>9545</v>
      </c>
      <c r="R1232" s="2" t="s">
        <v>5657</v>
      </c>
      <c r="S1232" s="2">
        <v>111.0</v>
      </c>
      <c r="AN1232" s="2" t="s">
        <v>1368</v>
      </c>
    </row>
    <row r="1233" ht="15.75" customHeight="1">
      <c r="A1233" s="2" t="s">
        <v>9546</v>
      </c>
      <c r="B1233" s="2" t="s">
        <v>1361</v>
      </c>
      <c r="C1233" s="2">
        <v>2007.0</v>
      </c>
      <c r="D1233" s="2" t="s">
        <v>9547</v>
      </c>
      <c r="E1233" s="2" t="s">
        <v>9548</v>
      </c>
      <c r="F1233" s="2" t="s">
        <v>1715</v>
      </c>
      <c r="H1233" s="2" t="s">
        <v>1716</v>
      </c>
      <c r="I1233" s="2" t="s">
        <v>9549</v>
      </c>
      <c r="L1233" s="2" t="s">
        <v>9550</v>
      </c>
      <c r="M1233" s="2" t="s">
        <v>1385</v>
      </c>
      <c r="N1233" s="2" t="s">
        <v>1386</v>
      </c>
      <c r="P1233" s="2" t="s">
        <v>9551</v>
      </c>
      <c r="R1233" s="2" t="s">
        <v>1453</v>
      </c>
      <c r="S1233" s="2">
        <v>84.0</v>
      </c>
      <c r="AN1233" s="2" t="s">
        <v>1368</v>
      </c>
    </row>
    <row r="1234" ht="15.75" customHeight="1">
      <c r="A1234" s="2" t="s">
        <v>9552</v>
      </c>
      <c r="B1234" s="2" t="s">
        <v>1361</v>
      </c>
      <c r="C1234" s="2">
        <v>2015.0</v>
      </c>
      <c r="D1234" s="2" t="s">
        <v>9553</v>
      </c>
      <c r="E1234" s="2" t="s">
        <v>9554</v>
      </c>
      <c r="F1234" s="2" t="s">
        <v>5575</v>
      </c>
      <c r="H1234" s="2" t="s">
        <v>6011</v>
      </c>
      <c r="I1234" s="2" t="s">
        <v>9555</v>
      </c>
      <c r="K1234" s="2" t="s">
        <v>9556</v>
      </c>
      <c r="L1234" s="2" t="s">
        <v>1373</v>
      </c>
      <c r="M1234" s="2" t="s">
        <v>1385</v>
      </c>
      <c r="N1234" s="2" t="s">
        <v>1386</v>
      </c>
      <c r="P1234" s="2" t="s">
        <v>9557</v>
      </c>
      <c r="S1234" s="2">
        <v>352.0</v>
      </c>
      <c r="AN1234" s="2" t="s">
        <v>1368</v>
      </c>
    </row>
    <row r="1235" ht="15.75" customHeight="1">
      <c r="A1235" s="2" t="s">
        <v>9558</v>
      </c>
      <c r="B1235" s="2" t="s">
        <v>1361</v>
      </c>
      <c r="C1235" s="2">
        <v>2010.0</v>
      </c>
      <c r="D1235" s="2" t="s">
        <v>9559</v>
      </c>
      <c r="E1235" s="2" t="s">
        <v>9560</v>
      </c>
      <c r="F1235" s="2" t="s">
        <v>3224</v>
      </c>
      <c r="H1235" s="2" t="s">
        <v>3225</v>
      </c>
      <c r="I1235" s="2" t="s">
        <v>9561</v>
      </c>
      <c r="J1235" s="2" t="s">
        <v>9562</v>
      </c>
      <c r="K1235" s="2" t="s">
        <v>9563</v>
      </c>
      <c r="L1235" s="2" t="s">
        <v>1667</v>
      </c>
      <c r="M1235" s="2" t="s">
        <v>1385</v>
      </c>
      <c r="N1235" s="2" t="s">
        <v>1386</v>
      </c>
      <c r="P1235" s="2" t="s">
        <v>9564</v>
      </c>
      <c r="R1235" s="2" t="s">
        <v>1462</v>
      </c>
      <c r="S1235" s="2">
        <v>47.0</v>
      </c>
      <c r="AN1235" s="2" t="s">
        <v>1368</v>
      </c>
    </row>
    <row r="1236" ht="15.75" customHeight="1">
      <c r="A1236" s="2" t="s">
        <v>9565</v>
      </c>
      <c r="B1236" s="2" t="s">
        <v>1361</v>
      </c>
      <c r="C1236" s="2">
        <v>2016.0</v>
      </c>
      <c r="D1236" s="2" t="s">
        <v>9566</v>
      </c>
      <c r="E1236" s="2" t="s">
        <v>9567</v>
      </c>
      <c r="F1236" s="2" t="s">
        <v>4511</v>
      </c>
      <c r="I1236" s="2" t="s">
        <v>9568</v>
      </c>
      <c r="L1236" s="2" t="s">
        <v>1502</v>
      </c>
      <c r="M1236" s="2" t="s">
        <v>1385</v>
      </c>
      <c r="N1236" s="2" t="s">
        <v>1386</v>
      </c>
      <c r="R1236" s="2" t="s">
        <v>9569</v>
      </c>
      <c r="S1236" s="2">
        <v>13.0</v>
      </c>
      <c r="AN1236" s="2" t="s">
        <v>1368</v>
      </c>
    </row>
    <row r="1237" ht="15.75" customHeight="1">
      <c r="A1237" s="2" t="s">
        <v>9570</v>
      </c>
      <c r="B1237" s="2" t="s">
        <v>1361</v>
      </c>
      <c r="C1237" s="2">
        <v>2012.0</v>
      </c>
      <c r="D1237" s="2" t="s">
        <v>9571</v>
      </c>
      <c r="E1237" s="2" t="s">
        <v>724</v>
      </c>
      <c r="F1237" s="2" t="s">
        <v>1688</v>
      </c>
      <c r="H1237" s="2" t="s">
        <v>1689</v>
      </c>
      <c r="I1237" s="2" t="s">
        <v>726</v>
      </c>
      <c r="K1237" s="2" t="s">
        <v>9572</v>
      </c>
      <c r="L1237" s="2" t="s">
        <v>1405</v>
      </c>
      <c r="M1237" s="2" t="s">
        <v>1385</v>
      </c>
      <c r="N1237" s="2" t="s">
        <v>1386</v>
      </c>
      <c r="AN1237" s="2" t="s">
        <v>1368</v>
      </c>
    </row>
    <row r="1238" ht="15.75" customHeight="1">
      <c r="A1238" s="2" t="s">
        <v>9573</v>
      </c>
      <c r="B1238" s="2" t="s">
        <v>1361</v>
      </c>
      <c r="C1238" s="2">
        <v>2011.0</v>
      </c>
      <c r="D1238" s="2" t="s">
        <v>9574</v>
      </c>
      <c r="E1238" s="2" t="s">
        <v>9575</v>
      </c>
      <c r="F1238" s="2" t="s">
        <v>1760</v>
      </c>
      <c r="H1238" s="2" t="s">
        <v>7711</v>
      </c>
      <c r="I1238" s="2" t="s">
        <v>9576</v>
      </c>
      <c r="L1238" s="2" t="s">
        <v>1627</v>
      </c>
      <c r="M1238" s="2" t="s">
        <v>1385</v>
      </c>
      <c r="N1238" s="2" t="s">
        <v>1386</v>
      </c>
      <c r="P1238" s="2" t="s">
        <v>9577</v>
      </c>
      <c r="R1238" s="2" t="s">
        <v>2237</v>
      </c>
      <c r="S1238" s="2">
        <v>70.0</v>
      </c>
      <c r="AN1238" s="2" t="s">
        <v>1368</v>
      </c>
    </row>
    <row r="1239" ht="15.75" customHeight="1">
      <c r="A1239" s="2" t="s">
        <v>9578</v>
      </c>
      <c r="B1239" s="2" t="s">
        <v>1361</v>
      </c>
      <c r="C1239" s="2">
        <v>2008.0</v>
      </c>
      <c r="D1239" s="2" t="s">
        <v>9579</v>
      </c>
      <c r="E1239" s="2" t="s">
        <v>1006</v>
      </c>
      <c r="F1239" s="2" t="s">
        <v>1380</v>
      </c>
      <c r="H1239" s="2" t="s">
        <v>1381</v>
      </c>
      <c r="I1239" s="2" t="s">
        <v>1008</v>
      </c>
      <c r="K1239" s="2" t="s">
        <v>9580</v>
      </c>
      <c r="L1239" s="2" t="s">
        <v>1458</v>
      </c>
      <c r="M1239" s="2" t="s">
        <v>1385</v>
      </c>
      <c r="N1239" s="2" t="s">
        <v>1386</v>
      </c>
      <c r="AN1239" s="2" t="s">
        <v>1368</v>
      </c>
    </row>
    <row r="1240" ht="15.75" customHeight="1">
      <c r="A1240" s="2" t="s">
        <v>9581</v>
      </c>
      <c r="B1240" s="2" t="s">
        <v>1361</v>
      </c>
      <c r="C1240" s="2">
        <v>2016.0</v>
      </c>
      <c r="D1240" s="2" t="s">
        <v>9582</v>
      </c>
      <c r="E1240" s="2" t="s">
        <v>9583</v>
      </c>
      <c r="F1240" s="2" t="s">
        <v>1789</v>
      </c>
      <c r="H1240" s="2" t="s">
        <v>1790</v>
      </c>
      <c r="I1240" s="2" t="s">
        <v>9584</v>
      </c>
      <c r="K1240" s="2" t="s">
        <v>9585</v>
      </c>
      <c r="L1240" s="2" t="s">
        <v>1502</v>
      </c>
      <c r="M1240" s="2" t="s">
        <v>1385</v>
      </c>
      <c r="N1240" s="2" t="s">
        <v>1386</v>
      </c>
      <c r="AN1240" s="2" t="s">
        <v>1368</v>
      </c>
    </row>
    <row r="1241" ht="15.75" customHeight="1">
      <c r="A1241" s="2" t="s">
        <v>9586</v>
      </c>
      <c r="B1241" s="2" t="s">
        <v>1396</v>
      </c>
      <c r="C1241" s="2">
        <v>2009.0</v>
      </c>
      <c r="D1241" s="2" t="s">
        <v>9587</v>
      </c>
      <c r="E1241" s="2" t="s">
        <v>9588</v>
      </c>
      <c r="L1241" s="2" t="s">
        <v>1364</v>
      </c>
      <c r="M1241" s="2" t="s">
        <v>1385</v>
      </c>
      <c r="N1241" s="2" t="s">
        <v>1386</v>
      </c>
      <c r="AA1241" s="2" t="s">
        <v>2441</v>
      </c>
      <c r="AB1241" s="2" t="s">
        <v>9495</v>
      </c>
      <c r="AN1241" s="2" t="s">
        <v>1368</v>
      </c>
    </row>
    <row r="1242" ht="15.75" customHeight="1">
      <c r="A1242" s="2" t="s">
        <v>9589</v>
      </c>
      <c r="B1242" s="2" t="s">
        <v>1361</v>
      </c>
      <c r="C1242" s="2">
        <v>2015.0</v>
      </c>
      <c r="D1242" s="2" t="s">
        <v>9590</v>
      </c>
      <c r="E1242" s="2" t="s">
        <v>9591</v>
      </c>
      <c r="F1242" s="2" t="s">
        <v>2641</v>
      </c>
      <c r="H1242" s="2" t="s">
        <v>5876</v>
      </c>
      <c r="I1242" s="2" t="s">
        <v>9592</v>
      </c>
      <c r="K1242" s="2" t="s">
        <v>9593</v>
      </c>
      <c r="L1242" s="2" t="s">
        <v>1373</v>
      </c>
      <c r="M1242" s="2" t="s">
        <v>1385</v>
      </c>
      <c r="N1242" s="2" t="s">
        <v>1386</v>
      </c>
      <c r="AN1242" s="2" t="s">
        <v>1368</v>
      </c>
    </row>
    <row r="1243" ht="15.75" customHeight="1">
      <c r="A1243" s="2" t="s">
        <v>9594</v>
      </c>
      <c r="B1243" s="2" t="s">
        <v>1361</v>
      </c>
      <c r="C1243" s="2">
        <v>1992.0</v>
      </c>
      <c r="D1243" s="2" t="s">
        <v>9595</v>
      </c>
      <c r="E1243" s="2" t="s">
        <v>9596</v>
      </c>
      <c r="F1243" s="2" t="s">
        <v>7008</v>
      </c>
      <c r="H1243" s="2" t="s">
        <v>7009</v>
      </c>
      <c r="I1243" s="2" t="s">
        <v>9597</v>
      </c>
      <c r="L1243" s="2" t="s">
        <v>3458</v>
      </c>
      <c r="M1243" s="2" t="s">
        <v>1385</v>
      </c>
      <c r="N1243" s="2" t="s">
        <v>1386</v>
      </c>
      <c r="P1243" s="2" t="s">
        <v>9598</v>
      </c>
      <c r="R1243" s="2" t="s">
        <v>1453</v>
      </c>
      <c r="S1243" s="2">
        <v>24.0</v>
      </c>
      <c r="AN1243" s="2" t="s">
        <v>1368</v>
      </c>
    </row>
    <row r="1244" ht="15.75" customHeight="1">
      <c r="A1244" s="2" t="s">
        <v>9599</v>
      </c>
      <c r="B1244" s="2" t="s">
        <v>1361</v>
      </c>
      <c r="C1244" s="2">
        <v>2000.0</v>
      </c>
      <c r="D1244" s="2" t="s">
        <v>9600</v>
      </c>
      <c r="E1244" s="2" t="s">
        <v>9601</v>
      </c>
      <c r="F1244" s="2" t="s">
        <v>1863</v>
      </c>
      <c r="H1244" s="2" t="s">
        <v>1864</v>
      </c>
      <c r="I1244" s="2" t="s">
        <v>9602</v>
      </c>
      <c r="K1244" s="2" t="s">
        <v>9603</v>
      </c>
      <c r="L1244" s="2" t="s">
        <v>2429</v>
      </c>
      <c r="M1244" s="2" t="s">
        <v>1385</v>
      </c>
      <c r="N1244" s="2" t="s">
        <v>1386</v>
      </c>
      <c r="P1244" s="2" t="s">
        <v>9604</v>
      </c>
      <c r="R1244" s="2" t="s">
        <v>2271</v>
      </c>
      <c r="S1244" s="2">
        <v>28.0</v>
      </c>
      <c r="AN1244" s="2" t="s">
        <v>1368</v>
      </c>
    </row>
    <row r="1245" ht="15.75" customHeight="1">
      <c r="A1245" s="2" t="s">
        <v>9605</v>
      </c>
      <c r="B1245" s="2" t="s">
        <v>1361</v>
      </c>
      <c r="C1245" s="2">
        <v>2015.0</v>
      </c>
      <c r="D1245" s="2" t="s">
        <v>9606</v>
      </c>
      <c r="E1245" s="2" t="s">
        <v>9607</v>
      </c>
      <c r="F1245" s="2" t="s">
        <v>4215</v>
      </c>
      <c r="H1245" s="2" t="s">
        <v>4216</v>
      </c>
      <c r="I1245" s="2" t="s">
        <v>9608</v>
      </c>
      <c r="K1245" s="2" t="s">
        <v>9609</v>
      </c>
      <c r="L1245" s="2" t="s">
        <v>2153</v>
      </c>
      <c r="M1245" s="2" t="s">
        <v>1385</v>
      </c>
      <c r="N1245" s="2" t="s">
        <v>1386</v>
      </c>
      <c r="P1245" s="2" t="s">
        <v>9610</v>
      </c>
      <c r="R1245" s="2" t="s">
        <v>1462</v>
      </c>
      <c r="S1245" s="2">
        <v>40.0</v>
      </c>
      <c r="AN1245" s="2" t="s">
        <v>1368</v>
      </c>
    </row>
    <row r="1246" ht="15.75" customHeight="1">
      <c r="A1246" s="2" t="s">
        <v>9611</v>
      </c>
      <c r="B1246" s="2" t="s">
        <v>1361</v>
      </c>
      <c r="C1246" s="2">
        <v>2006.0</v>
      </c>
      <c r="D1246" s="2" t="s">
        <v>9612</v>
      </c>
      <c r="E1246" s="2" t="s">
        <v>9613</v>
      </c>
      <c r="F1246" s="2" t="s">
        <v>2216</v>
      </c>
      <c r="H1246" s="2" t="s">
        <v>2217</v>
      </c>
      <c r="I1246" s="2" t="s">
        <v>9614</v>
      </c>
      <c r="K1246" s="2" t="s">
        <v>9615</v>
      </c>
      <c r="L1246" s="2" t="s">
        <v>1727</v>
      </c>
      <c r="M1246" s="2" t="s">
        <v>1385</v>
      </c>
      <c r="N1246" s="2" t="s">
        <v>1386</v>
      </c>
      <c r="P1246" s="2" t="s">
        <v>9616</v>
      </c>
      <c r="R1246" s="2" t="s">
        <v>1600</v>
      </c>
      <c r="S1246" s="2">
        <v>9.0</v>
      </c>
      <c r="AN1246" s="2" t="s">
        <v>1368</v>
      </c>
    </row>
    <row r="1247" ht="15.75" customHeight="1">
      <c r="A1247" s="2" t="s">
        <v>9617</v>
      </c>
      <c r="B1247" s="2" t="s">
        <v>1396</v>
      </c>
      <c r="C1247" s="2">
        <v>2015.0</v>
      </c>
      <c r="D1247" s="2" t="s">
        <v>9618</v>
      </c>
      <c r="E1247" s="2" t="s">
        <v>9619</v>
      </c>
      <c r="L1247" s="2" t="s">
        <v>1373</v>
      </c>
      <c r="M1247" s="2" t="s">
        <v>1385</v>
      </c>
      <c r="N1247" s="2" t="s">
        <v>1386</v>
      </c>
      <c r="AA1247" s="2" t="s">
        <v>9620</v>
      </c>
      <c r="AN1247" s="2" t="s">
        <v>1368</v>
      </c>
    </row>
    <row r="1248" ht="15.75" customHeight="1">
      <c r="A1248" s="2" t="s">
        <v>9621</v>
      </c>
      <c r="B1248" s="2" t="s">
        <v>1361</v>
      </c>
      <c r="C1248" s="2">
        <v>1998.0</v>
      </c>
      <c r="D1248" s="2" t="s">
        <v>9622</v>
      </c>
      <c r="E1248" s="2" t="s">
        <v>9623</v>
      </c>
      <c r="F1248" s="2" t="s">
        <v>9624</v>
      </c>
      <c r="H1248" s="2" t="s">
        <v>9625</v>
      </c>
      <c r="I1248" s="2" t="s">
        <v>9626</v>
      </c>
      <c r="K1248" s="2" t="s">
        <v>9627</v>
      </c>
      <c r="L1248" s="2" t="s">
        <v>1958</v>
      </c>
      <c r="M1248" s="2" t="s">
        <v>1385</v>
      </c>
      <c r="N1248" s="2" t="s">
        <v>1386</v>
      </c>
      <c r="P1248" s="2" t="s">
        <v>9628</v>
      </c>
      <c r="R1248" s="2" t="s">
        <v>1453</v>
      </c>
      <c r="S1248" s="2">
        <v>30.0</v>
      </c>
      <c r="AN1248" s="2" t="s">
        <v>1368</v>
      </c>
    </row>
    <row r="1249" ht="15.75" customHeight="1">
      <c r="A1249" s="2" t="s">
        <v>9629</v>
      </c>
      <c r="B1249" s="2" t="s">
        <v>1361</v>
      </c>
      <c r="C1249" s="2">
        <v>1987.0</v>
      </c>
      <c r="D1249" s="2" t="s">
        <v>9630</v>
      </c>
      <c r="E1249" s="2" t="s">
        <v>9631</v>
      </c>
      <c r="F1249" s="2" t="s">
        <v>1587</v>
      </c>
      <c r="H1249" s="2" t="s">
        <v>9632</v>
      </c>
      <c r="I1249" s="2" t="s">
        <v>9633</v>
      </c>
      <c r="K1249" s="2" t="s">
        <v>9634</v>
      </c>
      <c r="L1249" s="2" t="s">
        <v>8724</v>
      </c>
      <c r="M1249" s="2" t="s">
        <v>9635</v>
      </c>
      <c r="N1249" s="2" t="s">
        <v>9636</v>
      </c>
      <c r="P1249" s="2" t="s">
        <v>9637</v>
      </c>
      <c r="R1249" s="2">
        <v>3.0</v>
      </c>
      <c r="S1249" s="2">
        <v>1.0</v>
      </c>
      <c r="AN1249" s="2" t="s">
        <v>1368</v>
      </c>
    </row>
    <row r="1250" ht="15.75" customHeight="1">
      <c r="A1250" s="2" t="s">
        <v>9638</v>
      </c>
      <c r="B1250" s="2" t="s">
        <v>1361</v>
      </c>
      <c r="C1250" s="2">
        <v>2016.0</v>
      </c>
      <c r="D1250" s="2" t="s">
        <v>9639</v>
      </c>
      <c r="E1250" s="2" t="s">
        <v>9640</v>
      </c>
      <c r="F1250" s="2" t="s">
        <v>5129</v>
      </c>
      <c r="I1250" s="2" t="s">
        <v>9641</v>
      </c>
      <c r="L1250" s="2" t="s">
        <v>1502</v>
      </c>
      <c r="M1250" s="2" t="s">
        <v>9642</v>
      </c>
      <c r="N1250" s="2" t="s">
        <v>9643</v>
      </c>
      <c r="P1250" s="2" t="s">
        <v>9644</v>
      </c>
      <c r="R1250" s="2">
        <v>14.0</v>
      </c>
      <c r="S1250" s="2">
        <v>25.0</v>
      </c>
      <c r="AN1250" s="2" t="s">
        <v>1368</v>
      </c>
    </row>
    <row r="1251" ht="15.75" customHeight="1">
      <c r="A1251" s="2" t="s">
        <v>9645</v>
      </c>
      <c r="B1251" s="2" t="s">
        <v>1361</v>
      </c>
      <c r="C1251" s="2">
        <v>2017.0</v>
      </c>
      <c r="D1251" s="2" t="s">
        <v>9646</v>
      </c>
      <c r="E1251" s="2" t="s">
        <v>9647</v>
      </c>
      <c r="F1251" s="2" t="s">
        <v>9648</v>
      </c>
      <c r="L1251" s="2" t="s">
        <v>1658</v>
      </c>
      <c r="M1251" s="2" t="s">
        <v>3366</v>
      </c>
      <c r="N1251" s="2" t="s">
        <v>3367</v>
      </c>
      <c r="P1251" s="2" t="s">
        <v>9649</v>
      </c>
      <c r="AN1251" s="2" t="s">
        <v>1368</v>
      </c>
    </row>
    <row r="1252" ht="15.75" customHeight="1">
      <c r="A1252" s="2" t="s">
        <v>9650</v>
      </c>
      <c r="B1252" s="2" t="s">
        <v>1361</v>
      </c>
      <c r="C1252" s="2">
        <v>2000.0</v>
      </c>
      <c r="D1252" s="2" t="s">
        <v>9651</v>
      </c>
      <c r="E1252" s="2" t="s">
        <v>9652</v>
      </c>
      <c r="F1252" s="2" t="s">
        <v>1760</v>
      </c>
      <c r="I1252" s="2" t="s">
        <v>9653</v>
      </c>
      <c r="L1252" s="2" t="s">
        <v>2429</v>
      </c>
      <c r="M1252" s="2" t="s">
        <v>2121</v>
      </c>
      <c r="N1252" s="2" t="s">
        <v>2122</v>
      </c>
      <c r="P1252" s="2" t="s">
        <v>9654</v>
      </c>
      <c r="S1252" s="2">
        <v>34.0</v>
      </c>
      <c r="AN1252" s="2" t="s">
        <v>1368</v>
      </c>
    </row>
    <row r="1253" ht="15.75" customHeight="1">
      <c r="A1253" s="2" t="s">
        <v>9655</v>
      </c>
      <c r="B1253" s="2" t="s">
        <v>1361</v>
      </c>
      <c r="C1253" s="2">
        <v>2016.0</v>
      </c>
      <c r="D1253" s="2" t="s">
        <v>9656</v>
      </c>
      <c r="E1253" s="2" t="s">
        <v>9657</v>
      </c>
      <c r="F1253" s="2" t="s">
        <v>362</v>
      </c>
      <c r="H1253" s="2" t="s">
        <v>1877</v>
      </c>
      <c r="I1253" s="2" t="s">
        <v>9658</v>
      </c>
      <c r="J1253" s="2" t="s">
        <v>9659</v>
      </c>
      <c r="L1253" s="2" t="s">
        <v>9660</v>
      </c>
      <c r="M1253" s="2" t="s">
        <v>9661</v>
      </c>
      <c r="N1253" s="2" t="s">
        <v>9662</v>
      </c>
      <c r="O1253" s="2" t="s">
        <v>9663</v>
      </c>
      <c r="P1253" s="2" t="s">
        <v>9664</v>
      </c>
      <c r="R1253" s="2">
        <v>3.0</v>
      </c>
      <c r="S1253" s="2">
        <v>11.0</v>
      </c>
      <c r="U1253" s="2" t="s">
        <v>1876</v>
      </c>
      <c r="AC1253" s="2" t="s">
        <v>1540</v>
      </c>
      <c r="AH1253" s="2" t="s">
        <v>1541</v>
      </c>
      <c r="AN1253" s="2" t="s">
        <v>1872</v>
      </c>
      <c r="AP1253" s="2" t="s">
        <v>9665</v>
      </c>
    </row>
    <row r="1254" ht="15.75" customHeight="1">
      <c r="A1254" s="2" t="s">
        <v>9666</v>
      </c>
      <c r="B1254" s="2" t="s">
        <v>1361</v>
      </c>
      <c r="C1254" s="2">
        <v>2014.0</v>
      </c>
      <c r="D1254" s="2" t="s">
        <v>9667</v>
      </c>
      <c r="E1254" s="2" t="s">
        <v>449</v>
      </c>
      <c r="F1254" s="2" t="s">
        <v>1876</v>
      </c>
      <c r="H1254" s="2" t="s">
        <v>1877</v>
      </c>
      <c r="I1254" s="2" t="s">
        <v>451</v>
      </c>
      <c r="J1254" s="2" t="s">
        <v>9668</v>
      </c>
      <c r="L1254" s="2" t="s">
        <v>9669</v>
      </c>
      <c r="M1254" s="2" t="s">
        <v>9670</v>
      </c>
      <c r="N1254" s="2" t="s">
        <v>9671</v>
      </c>
      <c r="O1254" s="2" t="s">
        <v>9672</v>
      </c>
      <c r="P1254" s="2" t="s">
        <v>9673</v>
      </c>
      <c r="R1254" s="2">
        <v>12.0</v>
      </c>
      <c r="S1254" s="2">
        <v>9.0</v>
      </c>
      <c r="U1254" s="2" t="s">
        <v>1876</v>
      </c>
      <c r="V1254" s="2" t="s">
        <v>9674</v>
      </c>
      <c r="AC1254" s="2" t="s">
        <v>1540</v>
      </c>
      <c r="AH1254" s="2" t="s">
        <v>1541</v>
      </c>
      <c r="AN1254" s="2" t="s">
        <v>9675</v>
      </c>
      <c r="AP1254" s="2" t="s">
        <v>9676</v>
      </c>
    </row>
    <row r="1255" ht="15.75" customHeight="1">
      <c r="A1255" s="2" t="s">
        <v>9677</v>
      </c>
      <c r="B1255" s="2" t="s">
        <v>1361</v>
      </c>
      <c r="C1255" s="2">
        <v>2003.0</v>
      </c>
      <c r="D1255" s="2" t="s">
        <v>9678</v>
      </c>
      <c r="E1255" s="2" t="s">
        <v>9679</v>
      </c>
      <c r="F1255" s="2" t="s">
        <v>4728</v>
      </c>
      <c r="H1255" s="2" t="s">
        <v>7722</v>
      </c>
      <c r="I1255" s="2" t="s">
        <v>9680</v>
      </c>
      <c r="K1255" s="2" t="s">
        <v>9681</v>
      </c>
      <c r="L1255" s="2" t="s">
        <v>1606</v>
      </c>
      <c r="M1255" s="2" t="s">
        <v>1385</v>
      </c>
      <c r="N1255" s="2" t="s">
        <v>1386</v>
      </c>
      <c r="P1255" s="2" t="s">
        <v>9682</v>
      </c>
      <c r="R1255" s="2">
        <v>1.0</v>
      </c>
      <c r="S1255" s="2">
        <v>30.0</v>
      </c>
      <c r="AN1255" s="2" t="s">
        <v>1368</v>
      </c>
    </row>
    <row r="1256" ht="15.75" customHeight="1">
      <c r="A1256" s="2" t="s">
        <v>9683</v>
      </c>
      <c r="B1256" s="2" t="s">
        <v>1623</v>
      </c>
      <c r="C1256" s="2">
        <v>2015.0</v>
      </c>
      <c r="D1256" s="2" t="s">
        <v>9684</v>
      </c>
      <c r="E1256" s="2" t="s">
        <v>9685</v>
      </c>
      <c r="J1256" s="2" t="s">
        <v>9686</v>
      </c>
      <c r="L1256" s="2" t="s">
        <v>1373</v>
      </c>
      <c r="M1256" s="2" t="s">
        <v>1385</v>
      </c>
      <c r="N1256" s="2" t="s">
        <v>1386</v>
      </c>
      <c r="AA1256" s="2" t="s">
        <v>9687</v>
      </c>
      <c r="AB1256" s="2" t="s">
        <v>1608</v>
      </c>
      <c r="AN1256" s="2" t="s">
        <v>9688</v>
      </c>
    </row>
    <row r="1257" ht="15.75" customHeight="1">
      <c r="A1257" s="2" t="s">
        <v>9689</v>
      </c>
      <c r="B1257" s="2" t="s">
        <v>1396</v>
      </c>
      <c r="C1257" s="2">
        <v>2016.0</v>
      </c>
      <c r="D1257" s="2" t="s">
        <v>3197</v>
      </c>
      <c r="E1257" s="2" t="s">
        <v>9690</v>
      </c>
      <c r="J1257" s="2" t="s">
        <v>9691</v>
      </c>
      <c r="L1257" s="2" t="s">
        <v>1502</v>
      </c>
      <c r="M1257" s="2" t="s">
        <v>1385</v>
      </c>
      <c r="N1257" s="2" t="s">
        <v>1386</v>
      </c>
      <c r="AA1257" s="2" t="s">
        <v>2281</v>
      </c>
      <c r="AB1257" s="2" t="s">
        <v>1608</v>
      </c>
      <c r="AN1257" s="2" t="s">
        <v>9692</v>
      </c>
    </row>
    <row r="1258" ht="15.75" customHeight="1">
      <c r="A1258" s="2" t="s">
        <v>9693</v>
      </c>
      <c r="B1258" s="2" t="s">
        <v>1396</v>
      </c>
      <c r="C1258" s="2">
        <v>2014.0</v>
      </c>
      <c r="D1258" s="2" t="s">
        <v>3197</v>
      </c>
      <c r="E1258" s="2" t="s">
        <v>9694</v>
      </c>
      <c r="G1258" s="2" t="s">
        <v>9695</v>
      </c>
      <c r="L1258" s="2" t="s">
        <v>1476</v>
      </c>
      <c r="M1258" s="2" t="s">
        <v>1385</v>
      </c>
      <c r="N1258" s="2" t="s">
        <v>1386</v>
      </c>
      <c r="AA1258" s="2" t="s">
        <v>1607</v>
      </c>
      <c r="AB1258" s="2" t="s">
        <v>1608</v>
      </c>
      <c r="AN1258" s="2" t="s">
        <v>2244</v>
      </c>
    </row>
    <row r="1259" ht="15.75" customHeight="1">
      <c r="A1259" s="2" t="s">
        <v>9696</v>
      </c>
      <c r="B1259" s="2" t="s">
        <v>1396</v>
      </c>
      <c r="C1259" s="2">
        <v>2011.0</v>
      </c>
      <c r="D1259" s="2" t="s">
        <v>3197</v>
      </c>
      <c r="E1259" s="2" t="s">
        <v>9697</v>
      </c>
      <c r="L1259" s="2" t="s">
        <v>1627</v>
      </c>
      <c r="M1259" s="2" t="s">
        <v>1385</v>
      </c>
      <c r="N1259" s="2" t="s">
        <v>1386</v>
      </c>
      <c r="AA1259" s="2" t="s">
        <v>3197</v>
      </c>
      <c r="AB1259" s="2" t="s">
        <v>1608</v>
      </c>
      <c r="AN1259" s="2" t="s">
        <v>2244</v>
      </c>
    </row>
    <row r="1260" ht="15.75" customHeight="1">
      <c r="A1260" s="2" t="s">
        <v>9698</v>
      </c>
      <c r="B1260" s="2" t="s">
        <v>1396</v>
      </c>
      <c r="C1260" s="2">
        <v>2009.0</v>
      </c>
      <c r="D1260" s="2" t="s">
        <v>3197</v>
      </c>
      <c r="E1260" s="2" t="s">
        <v>9699</v>
      </c>
      <c r="G1260" s="2" t="s">
        <v>9700</v>
      </c>
      <c r="J1260" s="2" t="s">
        <v>9701</v>
      </c>
      <c r="L1260" s="2" t="s">
        <v>1364</v>
      </c>
      <c r="M1260" s="2" t="s">
        <v>1385</v>
      </c>
      <c r="N1260" s="2" t="s">
        <v>1386</v>
      </c>
      <c r="AA1260" s="2" t="s">
        <v>1607</v>
      </c>
      <c r="AB1260" s="2" t="s">
        <v>1608</v>
      </c>
      <c r="AN1260" s="2" t="s">
        <v>1368</v>
      </c>
      <c r="AP1260" s="2" t="s">
        <v>9702</v>
      </c>
    </row>
    <row r="1261" ht="15.75" customHeight="1">
      <c r="A1261" s="2" t="s">
        <v>9703</v>
      </c>
      <c r="B1261" s="2" t="s">
        <v>1396</v>
      </c>
      <c r="C1261" s="2">
        <v>2018.0</v>
      </c>
      <c r="D1261" s="2" t="s">
        <v>3197</v>
      </c>
      <c r="E1261" s="2" t="s">
        <v>9704</v>
      </c>
      <c r="J1261" s="2" t="s">
        <v>9705</v>
      </c>
      <c r="L1261" s="2" t="s">
        <v>1420</v>
      </c>
      <c r="M1261" s="2" t="s">
        <v>1385</v>
      </c>
      <c r="N1261" s="2" t="s">
        <v>1386</v>
      </c>
      <c r="AN1261" s="2" t="s">
        <v>1368</v>
      </c>
    </row>
    <row r="1262" ht="15.75" customHeight="1">
      <c r="A1262" s="2" t="s">
        <v>9706</v>
      </c>
      <c r="B1262" s="2" t="s">
        <v>1361</v>
      </c>
      <c r="C1262" s="2">
        <v>2018.0</v>
      </c>
      <c r="D1262" s="2" t="s">
        <v>3197</v>
      </c>
      <c r="E1262" s="2" t="s">
        <v>4853</v>
      </c>
      <c r="J1262" s="2" t="s">
        <v>9707</v>
      </c>
      <c r="L1262" s="2" t="s">
        <v>1420</v>
      </c>
      <c r="M1262" s="2" t="s">
        <v>1385</v>
      </c>
      <c r="N1262" s="2" t="s">
        <v>1386</v>
      </c>
      <c r="AN1262" s="2" t="s">
        <v>1368</v>
      </c>
    </row>
    <row r="1263" ht="15.75" customHeight="1">
      <c r="A1263" s="2" t="s">
        <v>9708</v>
      </c>
      <c r="B1263" s="2" t="s">
        <v>1396</v>
      </c>
      <c r="C1263" s="2">
        <v>2005.0</v>
      </c>
      <c r="D1263" s="2" t="s">
        <v>3197</v>
      </c>
      <c r="E1263" s="2" t="s">
        <v>9709</v>
      </c>
      <c r="J1263" s="2" t="s">
        <v>9710</v>
      </c>
      <c r="L1263" s="2" t="s">
        <v>1394</v>
      </c>
      <c r="M1263" s="2" t="s">
        <v>1385</v>
      </c>
      <c r="N1263" s="2" t="s">
        <v>1386</v>
      </c>
      <c r="X1263" s="2" t="s">
        <v>9711</v>
      </c>
      <c r="AA1263" s="2" t="s">
        <v>1607</v>
      </c>
      <c r="AB1263" s="2" t="s">
        <v>1608</v>
      </c>
      <c r="AN1263" s="2" t="s">
        <v>1368</v>
      </c>
    </row>
    <row r="1264" ht="15.75" customHeight="1">
      <c r="A1264" s="2" t="s">
        <v>9712</v>
      </c>
      <c r="B1264" s="2" t="s">
        <v>1396</v>
      </c>
      <c r="C1264" s="2">
        <v>2008.0</v>
      </c>
      <c r="D1264" s="2" t="s">
        <v>3197</v>
      </c>
      <c r="E1264" s="2" t="s">
        <v>9713</v>
      </c>
      <c r="L1264" s="2" t="s">
        <v>1458</v>
      </c>
      <c r="M1264" s="2" t="s">
        <v>1385</v>
      </c>
      <c r="N1264" s="2" t="s">
        <v>1386</v>
      </c>
      <c r="AA1264" s="2" t="s">
        <v>1607</v>
      </c>
      <c r="AB1264" s="2" t="s">
        <v>1608</v>
      </c>
      <c r="AN1264" s="2" t="s">
        <v>1368</v>
      </c>
    </row>
    <row r="1265" ht="15.75" customHeight="1">
      <c r="A1265" s="2" t="s">
        <v>9714</v>
      </c>
      <c r="B1265" s="2" t="s">
        <v>1396</v>
      </c>
      <c r="C1265" s="2">
        <v>1999.0</v>
      </c>
      <c r="D1265" s="2" t="s">
        <v>3197</v>
      </c>
      <c r="E1265" s="2" t="s">
        <v>9715</v>
      </c>
      <c r="L1265" s="2" t="s">
        <v>1434</v>
      </c>
      <c r="M1265" s="2" t="s">
        <v>1385</v>
      </c>
      <c r="N1265" s="2" t="s">
        <v>1386</v>
      </c>
      <c r="AA1265" s="2" t="s">
        <v>1607</v>
      </c>
      <c r="AB1265" s="2" t="s">
        <v>1608</v>
      </c>
      <c r="AN1265" s="2" t="s">
        <v>1368</v>
      </c>
    </row>
    <row r="1266" ht="15.75" customHeight="1">
      <c r="A1266" s="2" t="s">
        <v>9716</v>
      </c>
      <c r="B1266" s="2" t="s">
        <v>1396</v>
      </c>
      <c r="C1266" s="2">
        <v>2011.0</v>
      </c>
      <c r="D1266" s="2" t="s">
        <v>3197</v>
      </c>
      <c r="E1266" s="2" t="s">
        <v>9717</v>
      </c>
      <c r="G1266" s="2" t="s">
        <v>9718</v>
      </c>
      <c r="K1266" s="2" t="s">
        <v>9719</v>
      </c>
      <c r="L1266" s="2" t="s">
        <v>1627</v>
      </c>
      <c r="M1266" s="2" t="s">
        <v>1385</v>
      </c>
      <c r="N1266" s="2" t="s">
        <v>1386</v>
      </c>
      <c r="Q1266" s="2" t="s">
        <v>9720</v>
      </c>
      <c r="W1266" s="2" t="s">
        <v>9721</v>
      </c>
      <c r="X1266" s="2" t="s">
        <v>9722</v>
      </c>
      <c r="AA1266" s="2" t="s">
        <v>1607</v>
      </c>
      <c r="AB1266" s="2" t="s">
        <v>1608</v>
      </c>
      <c r="AN1266" s="2" t="s">
        <v>1368</v>
      </c>
    </row>
    <row r="1267" ht="15.75" customHeight="1">
      <c r="A1267" s="2" t="s">
        <v>9723</v>
      </c>
      <c r="B1267" s="2" t="s">
        <v>1396</v>
      </c>
      <c r="C1267" s="2">
        <v>2009.0</v>
      </c>
      <c r="D1267" s="2" t="s">
        <v>3197</v>
      </c>
      <c r="E1267" s="2" t="s">
        <v>9724</v>
      </c>
      <c r="L1267" s="2" t="s">
        <v>1364</v>
      </c>
      <c r="M1267" s="2" t="s">
        <v>1385</v>
      </c>
      <c r="N1267" s="2" t="s">
        <v>1386</v>
      </c>
      <c r="AA1267" s="2" t="s">
        <v>1607</v>
      </c>
      <c r="AB1267" s="2" t="s">
        <v>1608</v>
      </c>
      <c r="AN1267" s="2" t="s">
        <v>1368</v>
      </c>
    </row>
    <row r="1268" ht="15.75" customHeight="1">
      <c r="A1268" s="2" t="s">
        <v>9725</v>
      </c>
      <c r="B1268" s="2" t="s">
        <v>1396</v>
      </c>
      <c r="C1268" s="2">
        <v>2007.0</v>
      </c>
      <c r="D1268" s="2" t="s">
        <v>3197</v>
      </c>
      <c r="E1268" s="2" t="s">
        <v>9726</v>
      </c>
      <c r="L1268" s="2" t="s">
        <v>2380</v>
      </c>
      <c r="M1268" s="2" t="s">
        <v>1385</v>
      </c>
      <c r="N1268" s="2" t="s">
        <v>1386</v>
      </c>
      <c r="Q1268" s="2" t="s">
        <v>9727</v>
      </c>
      <c r="AA1268" s="2" t="s">
        <v>1607</v>
      </c>
      <c r="AB1268" s="2" t="s">
        <v>1608</v>
      </c>
      <c r="AN1268" s="2" t="s">
        <v>1368</v>
      </c>
    </row>
    <row r="1269" ht="15.75" customHeight="1">
      <c r="A1269" s="2" t="s">
        <v>9728</v>
      </c>
      <c r="B1269" s="2" t="s">
        <v>1396</v>
      </c>
      <c r="C1269" s="2">
        <v>2006.0</v>
      </c>
      <c r="D1269" s="2" t="s">
        <v>3197</v>
      </c>
      <c r="E1269" s="2" t="s">
        <v>9729</v>
      </c>
      <c r="L1269" s="2" t="s">
        <v>1727</v>
      </c>
      <c r="M1269" s="2" t="s">
        <v>1385</v>
      </c>
      <c r="N1269" s="2" t="s">
        <v>1386</v>
      </c>
      <c r="AA1269" s="2" t="s">
        <v>1607</v>
      </c>
      <c r="AB1269" s="2" t="s">
        <v>1608</v>
      </c>
      <c r="AN1269" s="2" t="s">
        <v>1368</v>
      </c>
    </row>
    <row r="1270" ht="15.75" customHeight="1">
      <c r="A1270" s="2" t="s">
        <v>9730</v>
      </c>
      <c r="B1270" s="2" t="s">
        <v>1396</v>
      </c>
      <c r="C1270" s="2">
        <v>2000.0</v>
      </c>
      <c r="D1270" s="2" t="s">
        <v>3197</v>
      </c>
      <c r="E1270" s="2" t="s">
        <v>9731</v>
      </c>
      <c r="J1270" s="2" t="s">
        <v>9732</v>
      </c>
      <c r="L1270" s="2" t="s">
        <v>2429</v>
      </c>
      <c r="M1270" s="2" t="s">
        <v>1385</v>
      </c>
      <c r="N1270" s="2" t="s">
        <v>1386</v>
      </c>
      <c r="AN1270" s="2" t="s">
        <v>1368</v>
      </c>
    </row>
    <row r="1271" ht="15.75" customHeight="1">
      <c r="A1271" s="2" t="s">
        <v>9733</v>
      </c>
      <c r="B1271" s="2" t="s">
        <v>3012</v>
      </c>
      <c r="C1271" s="2">
        <v>2018.0</v>
      </c>
      <c r="D1271" s="2" t="s">
        <v>3197</v>
      </c>
      <c r="E1271" s="2" t="s">
        <v>9734</v>
      </c>
      <c r="J1271" s="2" t="s">
        <v>9735</v>
      </c>
      <c r="L1271" s="2" t="s">
        <v>1420</v>
      </c>
      <c r="M1271" s="2" t="s">
        <v>1385</v>
      </c>
      <c r="N1271" s="2" t="s">
        <v>1386</v>
      </c>
      <c r="AN1271" s="2" t="s">
        <v>1368</v>
      </c>
    </row>
    <row r="1272" ht="15.75" customHeight="1">
      <c r="A1272" s="2" t="s">
        <v>9736</v>
      </c>
      <c r="B1272" s="2" t="s">
        <v>1396</v>
      </c>
      <c r="C1272" s="2">
        <v>2016.0</v>
      </c>
      <c r="D1272" s="2" t="s">
        <v>3197</v>
      </c>
      <c r="E1272" s="2" t="s">
        <v>9737</v>
      </c>
      <c r="J1272" s="2" t="s">
        <v>9738</v>
      </c>
      <c r="K1272" s="2" t="s">
        <v>9739</v>
      </c>
      <c r="L1272" s="2" t="s">
        <v>1502</v>
      </c>
      <c r="M1272" s="2" t="s">
        <v>1385</v>
      </c>
      <c r="N1272" s="2" t="s">
        <v>1386</v>
      </c>
      <c r="AN1272" s="2" t="s">
        <v>1368</v>
      </c>
    </row>
    <row r="1273" ht="15.75" customHeight="1">
      <c r="A1273" s="2" t="s">
        <v>9740</v>
      </c>
      <c r="B1273" s="2" t="s">
        <v>1396</v>
      </c>
      <c r="C1273" s="2">
        <v>2015.0</v>
      </c>
      <c r="D1273" s="2" t="s">
        <v>3197</v>
      </c>
      <c r="E1273" s="2" t="s">
        <v>9741</v>
      </c>
      <c r="G1273" s="2" t="s">
        <v>9742</v>
      </c>
      <c r="J1273" s="2" t="s">
        <v>9743</v>
      </c>
      <c r="K1273" s="2" t="s">
        <v>9744</v>
      </c>
      <c r="L1273" s="2" t="s">
        <v>1373</v>
      </c>
      <c r="M1273" s="2" t="s">
        <v>1385</v>
      </c>
      <c r="N1273" s="2" t="s">
        <v>1386</v>
      </c>
      <c r="Q1273" s="2" t="s">
        <v>9745</v>
      </c>
      <c r="AA1273" s="2" t="s">
        <v>1607</v>
      </c>
      <c r="AB1273" s="2" t="s">
        <v>1608</v>
      </c>
      <c r="AN1273" s="2" t="s">
        <v>1368</v>
      </c>
    </row>
    <row r="1274" ht="15.75" customHeight="1">
      <c r="A1274" s="2" t="s">
        <v>9746</v>
      </c>
      <c r="B1274" s="2" t="s">
        <v>1396</v>
      </c>
      <c r="C1274" s="2">
        <v>2012.0</v>
      </c>
      <c r="D1274" s="2" t="s">
        <v>3197</v>
      </c>
      <c r="E1274" s="2" t="s">
        <v>9747</v>
      </c>
      <c r="G1274" s="2" t="s">
        <v>9748</v>
      </c>
      <c r="J1274" s="2" t="s">
        <v>9749</v>
      </c>
      <c r="K1274" s="2" t="s">
        <v>9750</v>
      </c>
      <c r="L1274" s="2" t="s">
        <v>1405</v>
      </c>
      <c r="M1274" s="2" t="s">
        <v>1385</v>
      </c>
      <c r="N1274" s="2" t="s">
        <v>1386</v>
      </c>
      <c r="Q1274" s="2" t="s">
        <v>3665</v>
      </c>
      <c r="AA1274" s="2" t="s">
        <v>1607</v>
      </c>
      <c r="AB1274" s="2" t="s">
        <v>1608</v>
      </c>
      <c r="AN1274" s="2" t="s">
        <v>1368</v>
      </c>
    </row>
    <row r="1275" ht="15.75" customHeight="1">
      <c r="A1275" s="2" t="s">
        <v>9751</v>
      </c>
      <c r="B1275" s="2" t="s">
        <v>1396</v>
      </c>
      <c r="C1275" s="2">
        <v>2017.0</v>
      </c>
      <c r="D1275" s="2" t="s">
        <v>3197</v>
      </c>
      <c r="E1275" s="2" t="s">
        <v>9752</v>
      </c>
      <c r="L1275" s="2" t="s">
        <v>1658</v>
      </c>
      <c r="M1275" s="2" t="s">
        <v>1385</v>
      </c>
      <c r="N1275" s="2" t="s">
        <v>1386</v>
      </c>
      <c r="AA1275" s="2" t="s">
        <v>2281</v>
      </c>
      <c r="AB1275" s="2" t="s">
        <v>1608</v>
      </c>
      <c r="AN1275" s="2" t="s">
        <v>1368</v>
      </c>
      <c r="AP1275" s="2" t="s">
        <v>9753</v>
      </c>
    </row>
    <row r="1276" ht="15.75" customHeight="1">
      <c r="A1276" s="2" t="s">
        <v>9754</v>
      </c>
      <c r="B1276" s="2" t="s">
        <v>3012</v>
      </c>
      <c r="C1276" s="2">
        <v>2017.0</v>
      </c>
      <c r="D1276" s="2" t="s">
        <v>9755</v>
      </c>
      <c r="E1276" s="2" t="s">
        <v>9756</v>
      </c>
      <c r="J1276" s="2" t="s">
        <v>9757</v>
      </c>
      <c r="L1276" s="2" t="s">
        <v>1658</v>
      </c>
      <c r="M1276" s="2" t="s">
        <v>1385</v>
      </c>
      <c r="N1276" s="2" t="s">
        <v>1386</v>
      </c>
      <c r="O1276" s="2" t="s">
        <v>9758</v>
      </c>
      <c r="AN1276" s="2" t="s">
        <v>1368</v>
      </c>
    </row>
    <row r="1277" ht="15.75" customHeight="1">
      <c r="A1277" s="2" t="s">
        <v>9759</v>
      </c>
      <c r="B1277" s="2" t="s">
        <v>1361</v>
      </c>
      <c r="C1277" s="2">
        <v>2004.0</v>
      </c>
      <c r="D1277" s="2" t="s">
        <v>9760</v>
      </c>
      <c r="E1277" s="2" t="s">
        <v>9761</v>
      </c>
      <c r="F1277" s="2" t="s">
        <v>9762</v>
      </c>
      <c r="H1277" s="2" t="s">
        <v>9763</v>
      </c>
      <c r="I1277" s="2" t="s">
        <v>9764</v>
      </c>
      <c r="J1277" s="2" t="s">
        <v>9765</v>
      </c>
      <c r="K1277" s="2" t="s">
        <v>9766</v>
      </c>
      <c r="L1277" s="2" t="s">
        <v>9767</v>
      </c>
      <c r="M1277" s="2" t="s">
        <v>1385</v>
      </c>
      <c r="N1277" s="2" t="s">
        <v>1386</v>
      </c>
      <c r="P1277" s="2" t="s">
        <v>9768</v>
      </c>
      <c r="R1277" s="2">
        <v>2.0</v>
      </c>
      <c r="S1277" s="2">
        <v>15.0</v>
      </c>
      <c r="AN1277" s="2" t="s">
        <v>1368</v>
      </c>
    </row>
    <row r="1278" ht="15.75" customHeight="1">
      <c r="A1278" s="2" t="s">
        <v>9769</v>
      </c>
      <c r="B1278" s="2" t="s">
        <v>1623</v>
      </c>
      <c r="C1278" s="2">
        <v>2011.0</v>
      </c>
      <c r="D1278" s="2" t="s">
        <v>3197</v>
      </c>
      <c r="E1278" s="2" t="s">
        <v>9770</v>
      </c>
      <c r="L1278" s="2" t="s">
        <v>1627</v>
      </c>
      <c r="M1278" s="2" t="s">
        <v>1385</v>
      </c>
      <c r="N1278" s="2" t="s">
        <v>1386</v>
      </c>
      <c r="AB1278" s="2" t="s">
        <v>1608</v>
      </c>
      <c r="AN1278" s="2" t="s">
        <v>1368</v>
      </c>
    </row>
    <row r="1279" ht="15.75" customHeight="1">
      <c r="A1279" s="2" t="s">
        <v>9771</v>
      </c>
      <c r="B1279" s="2" t="s">
        <v>1396</v>
      </c>
      <c r="C1279" s="2">
        <v>2009.0</v>
      </c>
      <c r="D1279" s="2" t="s">
        <v>3197</v>
      </c>
      <c r="E1279" s="2" t="s">
        <v>9772</v>
      </c>
      <c r="G1279" s="2" t="s">
        <v>9773</v>
      </c>
      <c r="K1279" s="2" t="s">
        <v>9774</v>
      </c>
      <c r="L1279" s="2" t="s">
        <v>9775</v>
      </c>
      <c r="M1279" s="2" t="s">
        <v>1385</v>
      </c>
      <c r="N1279" s="2" t="s">
        <v>1386</v>
      </c>
      <c r="Q1279" s="2" t="s">
        <v>5507</v>
      </c>
      <c r="X1279" s="2" t="s">
        <v>9776</v>
      </c>
      <c r="AA1279" s="2" t="s">
        <v>1628</v>
      </c>
      <c r="AB1279" s="2" t="s">
        <v>1629</v>
      </c>
      <c r="AN1279" s="2" t="s">
        <v>1368</v>
      </c>
    </row>
    <row r="1280" ht="15.75" customHeight="1">
      <c r="A1280" s="2" t="s">
        <v>9777</v>
      </c>
      <c r="B1280" s="2" t="s">
        <v>1781</v>
      </c>
      <c r="C1280" s="2">
        <v>2003.0</v>
      </c>
      <c r="D1280" s="2" t="s">
        <v>3197</v>
      </c>
      <c r="E1280" s="2" t="s">
        <v>9778</v>
      </c>
      <c r="L1280" s="2" t="s">
        <v>1606</v>
      </c>
      <c r="M1280" s="2" t="s">
        <v>1385</v>
      </c>
      <c r="N1280" s="2" t="s">
        <v>1386</v>
      </c>
      <c r="Q1280" s="2" t="s">
        <v>9779</v>
      </c>
      <c r="AN1280" s="2" t="s">
        <v>1368</v>
      </c>
    </row>
    <row r="1281" ht="15.75" customHeight="1">
      <c r="A1281" s="2" t="s">
        <v>9780</v>
      </c>
      <c r="B1281" s="2" t="s">
        <v>1396</v>
      </c>
      <c r="C1281" s="2">
        <v>2015.0</v>
      </c>
      <c r="D1281" s="2" t="s">
        <v>3197</v>
      </c>
      <c r="E1281" s="2" t="s">
        <v>9781</v>
      </c>
      <c r="G1281" s="2" t="s">
        <v>9782</v>
      </c>
      <c r="K1281" s="2" t="s">
        <v>9783</v>
      </c>
      <c r="L1281" s="2" t="s">
        <v>1373</v>
      </c>
      <c r="M1281" s="2" t="s">
        <v>1385</v>
      </c>
      <c r="N1281" s="2" t="s">
        <v>1386</v>
      </c>
      <c r="Q1281" s="2" t="s">
        <v>9784</v>
      </c>
      <c r="S1281" s="2">
        <v>2005.0</v>
      </c>
      <c r="AN1281" s="2" t="s">
        <v>1368</v>
      </c>
    </row>
    <row r="1282" ht="15.75" customHeight="1">
      <c r="A1282" s="2" t="s">
        <v>9785</v>
      </c>
      <c r="B1282" s="2" t="s">
        <v>1623</v>
      </c>
      <c r="C1282" s="2">
        <v>2012.0</v>
      </c>
      <c r="D1282" s="2" t="s">
        <v>3197</v>
      </c>
      <c r="E1282" s="2" t="s">
        <v>9786</v>
      </c>
      <c r="J1282" s="2" t="s">
        <v>9787</v>
      </c>
      <c r="L1282" s="2" t="s">
        <v>1405</v>
      </c>
      <c r="M1282" s="2" t="s">
        <v>1385</v>
      </c>
      <c r="N1282" s="2" t="s">
        <v>1386</v>
      </c>
      <c r="AA1282" s="2" t="s">
        <v>9788</v>
      </c>
      <c r="AB1282" s="2" t="s">
        <v>1608</v>
      </c>
      <c r="AN1282" s="2" t="s">
        <v>1368</v>
      </c>
    </row>
    <row r="1283" ht="15.75" customHeight="1">
      <c r="A1283" s="2" t="s">
        <v>9789</v>
      </c>
      <c r="B1283" s="2" t="s">
        <v>1396</v>
      </c>
      <c r="C1283" s="2">
        <v>2017.0</v>
      </c>
      <c r="D1283" s="2" t="s">
        <v>3197</v>
      </c>
      <c r="E1283" s="2" t="s">
        <v>9790</v>
      </c>
      <c r="G1283" s="2" t="s">
        <v>9791</v>
      </c>
      <c r="L1283" s="2" t="s">
        <v>1658</v>
      </c>
      <c r="M1283" s="2" t="s">
        <v>1385</v>
      </c>
      <c r="N1283" s="2" t="s">
        <v>1386</v>
      </c>
      <c r="AA1283" s="2" t="s">
        <v>1607</v>
      </c>
      <c r="AB1283" s="2" t="s">
        <v>1608</v>
      </c>
      <c r="AN1283" s="2" t="s">
        <v>1368</v>
      </c>
    </row>
    <row r="1284" ht="15.75" customHeight="1">
      <c r="A1284" s="2" t="s">
        <v>9792</v>
      </c>
      <c r="B1284" s="2" t="s">
        <v>1361</v>
      </c>
      <c r="C1284" s="2">
        <v>2004.0</v>
      </c>
      <c r="D1284" s="2" t="s">
        <v>9793</v>
      </c>
      <c r="E1284" s="2" t="s">
        <v>9794</v>
      </c>
      <c r="F1284" s="2" t="s">
        <v>4956</v>
      </c>
      <c r="I1284" s="2" t="s">
        <v>9795</v>
      </c>
      <c r="L1284" s="2" t="s">
        <v>5948</v>
      </c>
      <c r="M1284" s="2" t="s">
        <v>1385</v>
      </c>
      <c r="N1284" s="2" t="s">
        <v>1386</v>
      </c>
      <c r="P1284" s="2" t="s">
        <v>9796</v>
      </c>
      <c r="R1284" s="2">
        <v>1.0</v>
      </c>
      <c r="S1284" s="2">
        <v>1023.0</v>
      </c>
      <c r="AN1284" s="2" t="s">
        <v>1368</v>
      </c>
    </row>
    <row r="1285" ht="15.75" customHeight="1">
      <c r="A1285" s="2" t="s">
        <v>9797</v>
      </c>
      <c r="B1285" s="2" t="s">
        <v>1396</v>
      </c>
      <c r="C1285" s="2">
        <v>2014.0</v>
      </c>
      <c r="D1285" s="2" t="s">
        <v>9798</v>
      </c>
      <c r="E1285" s="2" t="s">
        <v>9799</v>
      </c>
      <c r="L1285" s="2" t="s">
        <v>1476</v>
      </c>
      <c r="M1285" s="2" t="s">
        <v>1385</v>
      </c>
      <c r="N1285" s="2" t="s">
        <v>1386</v>
      </c>
      <c r="AA1285" s="2" t="s">
        <v>1771</v>
      </c>
      <c r="AN1285" s="2" t="s">
        <v>1368</v>
      </c>
    </row>
    <row r="1286" ht="15.75" customHeight="1">
      <c r="A1286" s="2" t="s">
        <v>9800</v>
      </c>
      <c r="B1286" s="2" t="s">
        <v>1361</v>
      </c>
      <c r="C1286" s="2">
        <v>2012.0</v>
      </c>
      <c r="D1286" s="2" t="s">
        <v>9801</v>
      </c>
      <c r="E1286" s="2" t="s">
        <v>9802</v>
      </c>
      <c r="F1286" s="2" t="s">
        <v>3295</v>
      </c>
      <c r="H1286" s="2" t="s">
        <v>3296</v>
      </c>
      <c r="I1286" s="2" t="s">
        <v>9803</v>
      </c>
      <c r="L1286" s="2" t="s">
        <v>9804</v>
      </c>
      <c r="M1286" s="2" t="s">
        <v>1385</v>
      </c>
      <c r="N1286" s="2" t="s">
        <v>1386</v>
      </c>
      <c r="P1286" s="2" t="s">
        <v>4505</v>
      </c>
      <c r="R1286" s="2">
        <v>3.0</v>
      </c>
      <c r="S1286" s="2">
        <v>5.0</v>
      </c>
      <c r="AN1286" s="2" t="s">
        <v>1368</v>
      </c>
    </row>
    <row r="1287" ht="15.75" customHeight="1">
      <c r="A1287" s="2" t="s">
        <v>9805</v>
      </c>
      <c r="B1287" s="2" t="s">
        <v>1361</v>
      </c>
      <c r="C1287" s="2">
        <v>2011.0</v>
      </c>
      <c r="D1287" s="2" t="s">
        <v>9806</v>
      </c>
      <c r="E1287" s="2" t="s">
        <v>9807</v>
      </c>
      <c r="F1287" s="2" t="s">
        <v>4956</v>
      </c>
      <c r="H1287" s="2" t="s">
        <v>4957</v>
      </c>
      <c r="I1287" s="2" t="s">
        <v>9808</v>
      </c>
      <c r="K1287" s="2" t="s">
        <v>9809</v>
      </c>
      <c r="L1287" s="2" t="s">
        <v>9810</v>
      </c>
      <c r="M1287" s="2" t="s">
        <v>1385</v>
      </c>
      <c r="N1287" s="2" t="s">
        <v>1386</v>
      </c>
      <c r="P1287" s="2" t="s">
        <v>7161</v>
      </c>
      <c r="R1287" s="2">
        <v>1.0</v>
      </c>
      <c r="S1287" s="2">
        <v>1219.0</v>
      </c>
      <c r="AN1287" s="2" t="s">
        <v>1368</v>
      </c>
    </row>
    <row r="1288" ht="15.75" customHeight="1">
      <c r="A1288" s="2" t="s">
        <v>9811</v>
      </c>
      <c r="B1288" s="2" t="s">
        <v>1361</v>
      </c>
      <c r="C1288" s="2">
        <v>2008.0</v>
      </c>
      <c r="D1288" s="2" t="s">
        <v>9812</v>
      </c>
      <c r="E1288" s="2" t="s">
        <v>9813</v>
      </c>
      <c r="F1288" s="2" t="s">
        <v>9814</v>
      </c>
      <c r="H1288" s="2" t="s">
        <v>7711</v>
      </c>
      <c r="I1288" s="2" t="s">
        <v>9815</v>
      </c>
      <c r="K1288" s="2" t="s">
        <v>9816</v>
      </c>
      <c r="L1288" s="2" t="s">
        <v>9817</v>
      </c>
      <c r="M1288" s="2" t="s">
        <v>1385</v>
      </c>
      <c r="N1288" s="2" t="s">
        <v>1386</v>
      </c>
      <c r="P1288" s="2" t="s">
        <v>9818</v>
      </c>
      <c r="R1288" s="2">
        <v>4.0</v>
      </c>
      <c r="S1288" s="2">
        <v>65.0</v>
      </c>
      <c r="AN1288" s="2" t="s">
        <v>1368</v>
      </c>
    </row>
    <row r="1289" ht="15.75" customHeight="1">
      <c r="A1289" s="2" t="s">
        <v>9819</v>
      </c>
      <c r="B1289" s="2" t="s">
        <v>1396</v>
      </c>
      <c r="C1289" s="2">
        <v>2013.0</v>
      </c>
      <c r="D1289" s="2" t="s">
        <v>9820</v>
      </c>
      <c r="E1289" s="2" t="s">
        <v>9821</v>
      </c>
      <c r="L1289" s="2" t="s">
        <v>1429</v>
      </c>
      <c r="M1289" s="2" t="s">
        <v>1385</v>
      </c>
      <c r="N1289" s="2" t="s">
        <v>1386</v>
      </c>
      <c r="AA1289" s="2" t="s">
        <v>1771</v>
      </c>
      <c r="AN1289" s="2" t="s">
        <v>1368</v>
      </c>
    </row>
    <row r="1290" ht="15.75" customHeight="1">
      <c r="A1290" s="2" t="s">
        <v>9822</v>
      </c>
      <c r="B1290" s="2" t="s">
        <v>1361</v>
      </c>
      <c r="C1290" s="2">
        <v>2008.0</v>
      </c>
      <c r="D1290" s="2" t="s">
        <v>9823</v>
      </c>
      <c r="E1290" s="2" t="s">
        <v>9824</v>
      </c>
      <c r="F1290" s="2" t="s">
        <v>3148</v>
      </c>
      <c r="H1290" s="2" t="s">
        <v>9825</v>
      </c>
      <c r="I1290" s="2" t="s">
        <v>9826</v>
      </c>
      <c r="K1290" s="2" t="s">
        <v>9827</v>
      </c>
      <c r="L1290" s="2" t="s">
        <v>1458</v>
      </c>
      <c r="M1290" s="2" t="s">
        <v>1385</v>
      </c>
      <c r="N1290" s="2" t="s">
        <v>1386</v>
      </c>
      <c r="P1290" s="2" t="s">
        <v>9828</v>
      </c>
      <c r="R1290" s="2">
        <v>4.0</v>
      </c>
      <c r="S1290" s="2">
        <v>56.0</v>
      </c>
      <c r="AN1290" s="2" t="s">
        <v>1368</v>
      </c>
    </row>
    <row r="1291" ht="15.75" customHeight="1">
      <c r="A1291" s="2" t="s">
        <v>9829</v>
      </c>
      <c r="B1291" s="2" t="s">
        <v>1396</v>
      </c>
      <c r="C1291" s="2">
        <v>2010.0</v>
      </c>
      <c r="D1291" s="2" t="s">
        <v>9830</v>
      </c>
      <c r="E1291" s="2" t="s">
        <v>9831</v>
      </c>
      <c r="L1291" s="2" t="s">
        <v>1449</v>
      </c>
      <c r="M1291" s="2" t="s">
        <v>1385</v>
      </c>
      <c r="N1291" s="2" t="s">
        <v>1386</v>
      </c>
      <c r="AA1291" s="2" t="s">
        <v>7574</v>
      </c>
      <c r="AN1291" s="2" t="s">
        <v>1368</v>
      </c>
    </row>
    <row r="1292" ht="15.75" customHeight="1">
      <c r="A1292" s="2" t="s">
        <v>9832</v>
      </c>
      <c r="B1292" s="2" t="s">
        <v>1361</v>
      </c>
      <c r="C1292" s="2">
        <v>2017.0</v>
      </c>
      <c r="D1292" s="2" t="s">
        <v>9833</v>
      </c>
      <c r="E1292" s="2" t="s">
        <v>9834</v>
      </c>
      <c r="F1292" s="2" t="s">
        <v>1688</v>
      </c>
      <c r="H1292" s="2" t="s">
        <v>1689</v>
      </c>
      <c r="I1292" s="2" t="s">
        <v>71</v>
      </c>
      <c r="K1292" s="2" t="s">
        <v>9835</v>
      </c>
      <c r="L1292" s="2" t="s">
        <v>1658</v>
      </c>
      <c r="M1292" s="2" t="s">
        <v>1385</v>
      </c>
      <c r="N1292" s="2" t="s">
        <v>1386</v>
      </c>
      <c r="AN1292" s="2" t="s">
        <v>1368</v>
      </c>
    </row>
    <row r="1293" ht="15.75" customHeight="1">
      <c r="A1293" s="2" t="s">
        <v>9836</v>
      </c>
      <c r="B1293" s="2" t="s">
        <v>1396</v>
      </c>
      <c r="C1293" s="2">
        <v>2000.0</v>
      </c>
      <c r="D1293" s="2" t="s">
        <v>9837</v>
      </c>
      <c r="E1293" s="2" t="s">
        <v>9838</v>
      </c>
      <c r="L1293" s="2" t="s">
        <v>2429</v>
      </c>
      <c r="M1293" s="2" t="s">
        <v>1385</v>
      </c>
      <c r="N1293" s="2" t="s">
        <v>1386</v>
      </c>
      <c r="S1293" s="2">
        <v>2412.0</v>
      </c>
      <c r="AA1293" s="2" t="s">
        <v>1406</v>
      </c>
      <c r="AN1293" s="2" t="s">
        <v>1368</v>
      </c>
    </row>
    <row r="1294" ht="15.75" customHeight="1">
      <c r="A1294" s="2" t="s">
        <v>9839</v>
      </c>
      <c r="B1294" s="2" t="s">
        <v>1361</v>
      </c>
      <c r="C1294" s="2">
        <v>2010.0</v>
      </c>
      <c r="D1294" s="2" t="s">
        <v>9840</v>
      </c>
      <c r="E1294" s="2" t="s">
        <v>9841</v>
      </c>
      <c r="F1294" s="2" t="s">
        <v>9842</v>
      </c>
      <c r="H1294" s="2" t="s">
        <v>9843</v>
      </c>
      <c r="I1294" s="2" t="s">
        <v>9844</v>
      </c>
      <c r="K1294" s="2" t="s">
        <v>9845</v>
      </c>
      <c r="L1294" s="2" t="s">
        <v>1449</v>
      </c>
      <c r="M1294" s="2" t="s">
        <v>1385</v>
      </c>
      <c r="N1294" s="2" t="s">
        <v>1386</v>
      </c>
      <c r="AN1294" s="2" t="s">
        <v>1368</v>
      </c>
    </row>
    <row r="1295" ht="15.75" customHeight="1">
      <c r="A1295" s="2" t="s">
        <v>9846</v>
      </c>
      <c r="B1295" s="2" t="s">
        <v>1766</v>
      </c>
      <c r="C1295" s="2">
        <v>2016.0</v>
      </c>
      <c r="D1295" s="2" t="s">
        <v>9847</v>
      </c>
      <c r="E1295" s="2" t="s">
        <v>9848</v>
      </c>
      <c r="F1295" s="2" t="s">
        <v>9849</v>
      </c>
      <c r="L1295" s="2" t="s">
        <v>1502</v>
      </c>
      <c r="M1295" s="2" t="s">
        <v>1385</v>
      </c>
      <c r="N1295" s="2" t="s">
        <v>1386</v>
      </c>
      <c r="P1295" s="2" t="s">
        <v>9850</v>
      </c>
      <c r="AA1295" s="2" t="s">
        <v>2441</v>
      </c>
      <c r="AN1295" s="2" t="s">
        <v>1368</v>
      </c>
    </row>
    <row r="1296" ht="15.75" customHeight="1">
      <c r="A1296" s="2" t="s">
        <v>9851</v>
      </c>
      <c r="B1296" s="2" t="s">
        <v>1361</v>
      </c>
      <c r="C1296" s="2">
        <v>2007.0</v>
      </c>
      <c r="D1296" s="2" t="s">
        <v>9852</v>
      </c>
      <c r="E1296" s="2" t="s">
        <v>9853</v>
      </c>
      <c r="F1296" s="2" t="s">
        <v>9854</v>
      </c>
      <c r="H1296" s="2" t="s">
        <v>9855</v>
      </c>
      <c r="I1296" s="2" t="s">
        <v>9856</v>
      </c>
      <c r="L1296" s="2" t="s">
        <v>2380</v>
      </c>
      <c r="M1296" s="2" t="s">
        <v>1385</v>
      </c>
      <c r="N1296" s="2" t="s">
        <v>1386</v>
      </c>
      <c r="P1296" s="2" t="s">
        <v>9857</v>
      </c>
      <c r="R1296" s="2">
        <v>1.0</v>
      </c>
      <c r="S1296" s="2">
        <v>25.0</v>
      </c>
      <c r="AN1296" s="2" t="s">
        <v>1368</v>
      </c>
    </row>
    <row r="1297" ht="15.75" customHeight="1">
      <c r="A1297" s="2" t="s">
        <v>9858</v>
      </c>
      <c r="B1297" s="2" t="s">
        <v>1396</v>
      </c>
      <c r="C1297" s="2">
        <v>2018.0</v>
      </c>
      <c r="D1297" s="2" t="s">
        <v>3197</v>
      </c>
      <c r="E1297" s="2" t="s">
        <v>9859</v>
      </c>
      <c r="J1297" s="2" t="s">
        <v>9860</v>
      </c>
      <c r="L1297" s="2" t="s">
        <v>1420</v>
      </c>
      <c r="M1297" s="2" t="s">
        <v>1385</v>
      </c>
      <c r="N1297" s="2" t="s">
        <v>1386</v>
      </c>
      <c r="O1297" s="2" t="s">
        <v>4906</v>
      </c>
      <c r="AN1297" s="2" t="s">
        <v>1368</v>
      </c>
    </row>
    <row r="1298" ht="15.75" customHeight="1">
      <c r="A1298" s="2" t="s">
        <v>9861</v>
      </c>
      <c r="B1298" s="2" t="s">
        <v>1396</v>
      </c>
      <c r="C1298" s="2">
        <v>2018.0</v>
      </c>
      <c r="D1298" s="2" t="s">
        <v>9862</v>
      </c>
      <c r="E1298" s="2" t="s">
        <v>9863</v>
      </c>
      <c r="L1298" s="2" t="s">
        <v>1420</v>
      </c>
      <c r="M1298" s="2" t="s">
        <v>1385</v>
      </c>
      <c r="N1298" s="2" t="s">
        <v>1386</v>
      </c>
      <c r="AA1298" s="2" t="s">
        <v>9864</v>
      </c>
      <c r="AN1298" s="2" t="s">
        <v>1368</v>
      </c>
    </row>
    <row r="1299" ht="15.75" customHeight="1">
      <c r="A1299" s="2" t="s">
        <v>9865</v>
      </c>
      <c r="B1299" s="2" t="s">
        <v>1361</v>
      </c>
      <c r="C1299" s="2">
        <v>2008.0</v>
      </c>
      <c r="D1299" s="2" t="s">
        <v>9866</v>
      </c>
      <c r="E1299" s="2" t="s">
        <v>9867</v>
      </c>
      <c r="F1299" s="2" t="s">
        <v>9868</v>
      </c>
      <c r="I1299" s="2" t="s">
        <v>9869</v>
      </c>
      <c r="L1299" s="2">
        <v>2008.0</v>
      </c>
      <c r="M1299" s="2" t="s">
        <v>9870</v>
      </c>
      <c r="N1299" s="2" t="s">
        <v>9871</v>
      </c>
      <c r="P1299" s="2" t="s">
        <v>9872</v>
      </c>
      <c r="R1299" s="2">
        <v>5.0</v>
      </c>
      <c r="S1299" s="2">
        <v>9.0</v>
      </c>
      <c r="AN1299" s="2" t="s">
        <v>1368</v>
      </c>
    </row>
    <row r="1300" ht="15.75" customHeight="1">
      <c r="A1300" s="2" t="s">
        <v>9873</v>
      </c>
      <c r="B1300" s="2" t="s">
        <v>1361</v>
      </c>
      <c r="C1300" s="2">
        <v>2015.0</v>
      </c>
      <c r="D1300" s="2" t="s">
        <v>9874</v>
      </c>
      <c r="E1300" s="2" t="s">
        <v>9875</v>
      </c>
      <c r="F1300" s="2" t="s">
        <v>1789</v>
      </c>
      <c r="I1300" s="2" t="s">
        <v>9876</v>
      </c>
      <c r="L1300" s="2">
        <v>2015.0</v>
      </c>
      <c r="M1300" s="2" t="s">
        <v>9877</v>
      </c>
      <c r="N1300" s="2" t="s">
        <v>9878</v>
      </c>
      <c r="P1300" s="2" t="s">
        <v>9879</v>
      </c>
      <c r="S1300" s="2">
        <v>35.0</v>
      </c>
      <c r="AN1300" s="2" t="s">
        <v>1368</v>
      </c>
    </row>
    <row r="1301" ht="15.75" customHeight="1">
      <c r="A1301" s="2" t="s">
        <v>9880</v>
      </c>
      <c r="B1301" s="2" t="s">
        <v>1361</v>
      </c>
      <c r="C1301" s="2">
        <v>1995.0</v>
      </c>
      <c r="D1301" s="2" t="s">
        <v>9881</v>
      </c>
      <c r="E1301" s="2" t="s">
        <v>9882</v>
      </c>
      <c r="F1301" s="2" t="s">
        <v>9883</v>
      </c>
      <c r="I1301" s="2" t="s">
        <v>9884</v>
      </c>
      <c r="L1301" s="2">
        <v>1995.0</v>
      </c>
      <c r="M1301" s="2" t="s">
        <v>9885</v>
      </c>
      <c r="N1301" s="2" t="s">
        <v>9886</v>
      </c>
      <c r="P1301" s="2" t="s">
        <v>9887</v>
      </c>
      <c r="R1301" s="2">
        <v>1.0</v>
      </c>
      <c r="S1301" s="2">
        <v>26.0</v>
      </c>
      <c r="AN1301" s="2" t="s">
        <v>1368</v>
      </c>
    </row>
    <row r="1302" ht="15.75" customHeight="1">
      <c r="A1302" s="2" t="s">
        <v>9888</v>
      </c>
      <c r="B1302" s="2" t="s">
        <v>1361</v>
      </c>
      <c r="C1302" s="2">
        <v>2002.0</v>
      </c>
      <c r="D1302" s="2" t="s">
        <v>9889</v>
      </c>
      <c r="E1302" s="2" t="s">
        <v>9890</v>
      </c>
      <c r="F1302" s="2" t="s">
        <v>2340</v>
      </c>
      <c r="H1302" s="2" t="s">
        <v>2341</v>
      </c>
      <c r="I1302" s="2" t="s">
        <v>9891</v>
      </c>
      <c r="J1302" s="2" t="s">
        <v>9892</v>
      </c>
      <c r="L1302" s="2">
        <v>2002.0</v>
      </c>
      <c r="M1302" s="2" t="s">
        <v>9893</v>
      </c>
      <c r="N1302" s="2" t="s">
        <v>9894</v>
      </c>
      <c r="O1302" s="2" t="s">
        <v>9895</v>
      </c>
      <c r="P1302" s="2" t="s">
        <v>9896</v>
      </c>
      <c r="R1302" s="2">
        <v>5.0</v>
      </c>
      <c r="S1302" s="2">
        <v>23.0</v>
      </c>
      <c r="AH1302" s="2" t="s">
        <v>1541</v>
      </c>
      <c r="AN1302" s="2" t="s">
        <v>1885</v>
      </c>
    </row>
    <row r="1303" ht="15.75" customHeight="1">
      <c r="A1303" s="2" t="s">
        <v>9897</v>
      </c>
      <c r="B1303" s="2" t="s">
        <v>1361</v>
      </c>
      <c r="C1303" s="2">
        <v>2015.0</v>
      </c>
      <c r="D1303" s="2" t="s">
        <v>9898</v>
      </c>
      <c r="E1303" s="2" t="s">
        <v>9899</v>
      </c>
      <c r="F1303" s="2" t="s">
        <v>9900</v>
      </c>
      <c r="H1303" s="2" t="s">
        <v>9901</v>
      </c>
      <c r="I1303" s="2" t="s">
        <v>9902</v>
      </c>
      <c r="K1303" s="2" t="s">
        <v>9903</v>
      </c>
      <c r="L1303" s="2">
        <v>2015.0</v>
      </c>
      <c r="M1303" s="2" t="s">
        <v>1385</v>
      </c>
      <c r="N1303" s="2" t="s">
        <v>1386</v>
      </c>
      <c r="P1303" s="2" t="s">
        <v>9904</v>
      </c>
      <c r="R1303" s="2">
        <v>1.0</v>
      </c>
      <c r="S1303" s="2">
        <v>22.0</v>
      </c>
      <c r="AN1303" s="2" t="s">
        <v>1368</v>
      </c>
    </row>
    <row r="1304" ht="15.75" customHeight="1">
      <c r="A1304" s="2" t="s">
        <v>9905</v>
      </c>
      <c r="B1304" s="2" t="s">
        <v>1396</v>
      </c>
      <c r="C1304" s="2">
        <v>2013.0</v>
      </c>
      <c r="D1304" s="2" t="s">
        <v>9906</v>
      </c>
      <c r="E1304" s="2" t="s">
        <v>9907</v>
      </c>
      <c r="L1304" s="2">
        <v>2013.0</v>
      </c>
      <c r="M1304" s="2" t="s">
        <v>1385</v>
      </c>
      <c r="N1304" s="2" t="s">
        <v>1386</v>
      </c>
      <c r="S1304" s="2">
        <v>8.0</v>
      </c>
      <c r="AA1304" s="2" t="s">
        <v>9908</v>
      </c>
      <c r="AN1304" s="2" t="s">
        <v>1368</v>
      </c>
    </row>
    <row r="1305" ht="15.75" customHeight="1">
      <c r="A1305" s="2" t="s">
        <v>9909</v>
      </c>
      <c r="B1305" s="2" t="s">
        <v>1396</v>
      </c>
      <c r="C1305" s="2">
        <v>2011.0</v>
      </c>
      <c r="D1305" s="2" t="s">
        <v>9910</v>
      </c>
      <c r="E1305" s="2" t="s">
        <v>9911</v>
      </c>
      <c r="G1305" s="2" t="s">
        <v>9912</v>
      </c>
      <c r="K1305" s="2" t="s">
        <v>9913</v>
      </c>
      <c r="L1305" s="2">
        <v>2011.0</v>
      </c>
      <c r="M1305" s="2" t="s">
        <v>1385</v>
      </c>
      <c r="N1305" s="2" t="s">
        <v>1386</v>
      </c>
      <c r="Q1305" s="2">
        <v>239.0</v>
      </c>
      <c r="AA1305" s="2" t="s">
        <v>2441</v>
      </c>
      <c r="AN1305" s="2" t="s">
        <v>1368</v>
      </c>
    </row>
    <row r="1306" ht="15.75" customHeight="1">
      <c r="A1306" s="2" t="s">
        <v>9914</v>
      </c>
      <c r="B1306" s="2" t="s">
        <v>1361</v>
      </c>
      <c r="C1306" s="2">
        <v>2012.0</v>
      </c>
      <c r="D1306" s="2" t="s">
        <v>9915</v>
      </c>
      <c r="E1306" s="2" t="s">
        <v>9916</v>
      </c>
      <c r="F1306" s="2" t="s">
        <v>2665</v>
      </c>
      <c r="H1306" s="2" t="s">
        <v>7103</v>
      </c>
      <c r="I1306" s="2" t="s">
        <v>9917</v>
      </c>
      <c r="K1306" s="2" t="s">
        <v>9918</v>
      </c>
      <c r="L1306" s="2">
        <v>2012.0</v>
      </c>
      <c r="M1306" s="2" t="s">
        <v>1385</v>
      </c>
      <c r="N1306" s="2" t="s">
        <v>1386</v>
      </c>
      <c r="P1306" s="2" t="s">
        <v>9919</v>
      </c>
      <c r="R1306" s="2">
        <v>4.0</v>
      </c>
      <c r="S1306" s="2">
        <v>40.0</v>
      </c>
      <c r="AN1306" s="2" t="s">
        <v>1368</v>
      </c>
    </row>
    <row r="1307" ht="15.75" customHeight="1">
      <c r="A1307" s="2" t="s">
        <v>9920</v>
      </c>
      <c r="B1307" s="2" t="s">
        <v>1396</v>
      </c>
      <c r="C1307" s="2">
        <v>2002.0</v>
      </c>
      <c r="D1307" s="2" t="s">
        <v>9921</v>
      </c>
      <c r="E1307" s="2" t="s">
        <v>9922</v>
      </c>
      <c r="L1307" s="2">
        <v>2002.0</v>
      </c>
      <c r="M1307" s="2" t="s">
        <v>1385</v>
      </c>
      <c r="N1307" s="2" t="s">
        <v>1386</v>
      </c>
      <c r="AA1307" s="2" t="s">
        <v>9923</v>
      </c>
      <c r="AN1307" s="2" t="s">
        <v>1368</v>
      </c>
    </row>
    <row r="1308" ht="15.75" customHeight="1">
      <c r="A1308" s="2" t="s">
        <v>9924</v>
      </c>
      <c r="B1308" s="2" t="s">
        <v>1766</v>
      </c>
      <c r="C1308" s="2">
        <v>2017.0</v>
      </c>
      <c r="D1308" s="2" t="s">
        <v>9925</v>
      </c>
      <c r="E1308" s="2" t="s">
        <v>9926</v>
      </c>
      <c r="F1308" s="2" t="s">
        <v>9927</v>
      </c>
      <c r="L1308" s="2">
        <v>2017.0</v>
      </c>
      <c r="M1308" s="2" t="s">
        <v>1385</v>
      </c>
      <c r="N1308" s="2" t="s">
        <v>1386</v>
      </c>
      <c r="P1308" s="2" t="s">
        <v>9928</v>
      </c>
      <c r="AA1308" s="2" t="s">
        <v>5287</v>
      </c>
      <c r="AN1308" s="2" t="s">
        <v>1368</v>
      </c>
    </row>
    <row r="1309" ht="15.75" customHeight="1">
      <c r="A1309" s="2" t="s">
        <v>9929</v>
      </c>
      <c r="B1309" s="2" t="s">
        <v>1361</v>
      </c>
      <c r="C1309" s="2">
        <v>2017.0</v>
      </c>
      <c r="D1309" s="2" t="s">
        <v>9930</v>
      </c>
      <c r="E1309" s="2" t="s">
        <v>9931</v>
      </c>
      <c r="F1309" s="2" t="s">
        <v>2150</v>
      </c>
      <c r="H1309" s="2" t="s">
        <v>2151</v>
      </c>
      <c r="I1309" s="2" t="s">
        <v>103</v>
      </c>
      <c r="J1309" s="2" t="s">
        <v>9932</v>
      </c>
      <c r="L1309" s="2" t="s">
        <v>9933</v>
      </c>
      <c r="M1309" s="2" t="s">
        <v>9934</v>
      </c>
      <c r="N1309" s="2" t="s">
        <v>9935</v>
      </c>
      <c r="O1309" s="2" t="s">
        <v>2156</v>
      </c>
      <c r="P1309" s="2" t="s">
        <v>9936</v>
      </c>
      <c r="R1309" s="2">
        <v>1.0</v>
      </c>
      <c r="S1309" s="2">
        <v>8.0</v>
      </c>
      <c r="U1309" s="2" t="s">
        <v>2158</v>
      </c>
      <c r="AC1309" s="2" t="s">
        <v>1540</v>
      </c>
      <c r="AH1309" s="2" t="s">
        <v>1541</v>
      </c>
      <c r="AN1309" s="2" t="s">
        <v>1885</v>
      </c>
    </row>
    <row r="1310" ht="15.75" customHeight="1">
      <c r="A1310" s="2" t="s">
        <v>9937</v>
      </c>
      <c r="B1310" s="2" t="s">
        <v>1361</v>
      </c>
      <c r="C1310" s="2">
        <v>2005.0</v>
      </c>
      <c r="D1310" s="2" t="s">
        <v>9938</v>
      </c>
      <c r="E1310" s="2" t="s">
        <v>9939</v>
      </c>
      <c r="F1310" s="2" t="s">
        <v>814</v>
      </c>
      <c r="I1310" s="2" t="s">
        <v>1102</v>
      </c>
      <c r="L1310" s="2" t="s">
        <v>1394</v>
      </c>
      <c r="M1310" s="2" t="s">
        <v>9940</v>
      </c>
      <c r="N1310" s="2" t="s">
        <v>9941</v>
      </c>
      <c r="P1310" s="2" t="s">
        <v>9942</v>
      </c>
      <c r="R1310" s="2">
        <v>1.0</v>
      </c>
      <c r="S1310" s="2">
        <v>86.0</v>
      </c>
      <c r="AN1310" s="2" t="s">
        <v>1368</v>
      </c>
    </row>
    <row r="1311" ht="15.75" customHeight="1">
      <c r="A1311" s="2" t="s">
        <v>9943</v>
      </c>
      <c r="B1311" s="2" t="s">
        <v>1361</v>
      </c>
      <c r="C1311" s="2">
        <v>1999.0</v>
      </c>
      <c r="D1311" s="2" t="s">
        <v>9944</v>
      </c>
      <c r="E1311" s="2" t="s">
        <v>9945</v>
      </c>
      <c r="F1311" s="2" t="s">
        <v>8223</v>
      </c>
      <c r="I1311" s="2" t="s">
        <v>9946</v>
      </c>
      <c r="L1311" s="2" t="s">
        <v>1434</v>
      </c>
      <c r="M1311" s="2" t="s">
        <v>6497</v>
      </c>
      <c r="N1311" s="2" t="s">
        <v>6498</v>
      </c>
      <c r="P1311" s="2" t="s">
        <v>9947</v>
      </c>
      <c r="R1311" s="2">
        <v>2.0</v>
      </c>
      <c r="S1311" s="2">
        <v>27.0</v>
      </c>
      <c r="AN1311" s="2" t="s">
        <v>1368</v>
      </c>
    </row>
    <row r="1312" ht="15.75" customHeight="1">
      <c r="A1312" s="2" t="s">
        <v>9948</v>
      </c>
      <c r="B1312" s="2" t="s">
        <v>1361</v>
      </c>
      <c r="C1312" s="2">
        <v>2015.0</v>
      </c>
      <c r="D1312" s="2" t="s">
        <v>9949</v>
      </c>
      <c r="E1312" s="2" t="s">
        <v>9950</v>
      </c>
      <c r="F1312" s="2" t="s">
        <v>9476</v>
      </c>
      <c r="I1312" s="2" t="s">
        <v>9951</v>
      </c>
      <c r="L1312" s="2" t="s">
        <v>1373</v>
      </c>
      <c r="M1312" s="2" t="s">
        <v>2634</v>
      </c>
      <c r="N1312" s="2" t="s">
        <v>2635</v>
      </c>
      <c r="P1312" s="2" t="s">
        <v>9952</v>
      </c>
      <c r="R1312" s="2">
        <v>4.0</v>
      </c>
      <c r="S1312" s="2">
        <v>16.0</v>
      </c>
      <c r="AN1312" s="2" t="s">
        <v>1368</v>
      </c>
    </row>
    <row r="1313" ht="15.75" customHeight="1">
      <c r="A1313" s="2" t="s">
        <v>9953</v>
      </c>
      <c r="B1313" s="2" t="s">
        <v>1361</v>
      </c>
      <c r="C1313" s="2">
        <v>2009.0</v>
      </c>
      <c r="D1313" s="2" t="s">
        <v>9954</v>
      </c>
      <c r="E1313" s="2" t="s">
        <v>9955</v>
      </c>
      <c r="F1313" s="2" t="s">
        <v>1825</v>
      </c>
      <c r="H1313" s="2" t="s">
        <v>5396</v>
      </c>
      <c r="I1313" s="2" t="s">
        <v>9956</v>
      </c>
      <c r="K1313" s="2" t="s">
        <v>9957</v>
      </c>
      <c r="L1313" s="2" t="s">
        <v>1364</v>
      </c>
      <c r="M1313" s="2" t="s">
        <v>9958</v>
      </c>
      <c r="N1313" s="2" t="s">
        <v>9959</v>
      </c>
      <c r="P1313" s="2" t="s">
        <v>9960</v>
      </c>
      <c r="R1313" s="2">
        <v>2.0</v>
      </c>
      <c r="S1313" s="2">
        <v>91.0</v>
      </c>
      <c r="AN1313" s="2" t="s">
        <v>1368</v>
      </c>
    </row>
    <row r="1314" ht="15.75" customHeight="1">
      <c r="A1314" s="2" t="s">
        <v>9961</v>
      </c>
      <c r="B1314" s="2" t="s">
        <v>1361</v>
      </c>
      <c r="C1314" s="2">
        <v>2012.0</v>
      </c>
      <c r="D1314" s="2" t="s">
        <v>9962</v>
      </c>
      <c r="E1314" s="2" t="s">
        <v>9963</v>
      </c>
      <c r="F1314" s="2" t="s">
        <v>9964</v>
      </c>
      <c r="I1314" s="2" t="s">
        <v>9965</v>
      </c>
      <c r="L1314" s="2" t="s">
        <v>1405</v>
      </c>
      <c r="M1314" s="2" t="s">
        <v>9966</v>
      </c>
      <c r="N1314" s="2" t="s">
        <v>9967</v>
      </c>
      <c r="P1314" s="2" t="s">
        <v>9968</v>
      </c>
      <c r="R1314" s="2">
        <v>4.0</v>
      </c>
      <c r="S1314" s="2">
        <v>5.0</v>
      </c>
      <c r="AN1314" s="2" t="s">
        <v>1368</v>
      </c>
    </row>
    <row r="1315" ht="15.75" customHeight="1">
      <c r="A1315" s="2" t="s">
        <v>9969</v>
      </c>
      <c r="B1315" s="2" t="s">
        <v>1361</v>
      </c>
      <c r="C1315" s="2">
        <v>2014.0</v>
      </c>
      <c r="D1315" s="2" t="s">
        <v>9970</v>
      </c>
      <c r="E1315" s="2" t="s">
        <v>9971</v>
      </c>
      <c r="F1315" s="2" t="s">
        <v>9972</v>
      </c>
      <c r="L1315" s="2" t="s">
        <v>1476</v>
      </c>
      <c r="M1315" s="2" t="s">
        <v>9973</v>
      </c>
      <c r="N1315" s="2" t="s">
        <v>9974</v>
      </c>
      <c r="AN1315" s="2" t="s">
        <v>1368</v>
      </c>
    </row>
    <row r="1316" ht="15.75" customHeight="1">
      <c r="A1316" s="2" t="s">
        <v>9975</v>
      </c>
      <c r="B1316" s="2" t="s">
        <v>1361</v>
      </c>
      <c r="C1316" s="2">
        <v>2008.0</v>
      </c>
      <c r="D1316" s="2" t="s">
        <v>9976</v>
      </c>
      <c r="E1316" s="2" t="s">
        <v>9977</v>
      </c>
      <c r="F1316" s="2" t="s">
        <v>9978</v>
      </c>
      <c r="I1316" s="2" t="s">
        <v>9979</v>
      </c>
      <c r="L1316" s="2" t="s">
        <v>1458</v>
      </c>
      <c r="M1316" s="2" t="s">
        <v>9980</v>
      </c>
      <c r="N1316" s="2" t="s">
        <v>9981</v>
      </c>
      <c r="P1316" s="2" t="s">
        <v>9982</v>
      </c>
      <c r="R1316" s="2">
        <v>1.0</v>
      </c>
      <c r="S1316" s="2">
        <v>49.0</v>
      </c>
      <c r="AN1316" s="2" t="s">
        <v>1368</v>
      </c>
    </row>
    <row r="1317" ht="15.75" customHeight="1">
      <c r="A1317" s="2" t="s">
        <v>9983</v>
      </c>
      <c r="B1317" s="2" t="s">
        <v>1361</v>
      </c>
      <c r="C1317" s="2">
        <v>2001.0</v>
      </c>
      <c r="D1317" s="2" t="s">
        <v>9984</v>
      </c>
      <c r="E1317" s="2" t="s">
        <v>9985</v>
      </c>
      <c r="F1317" s="2" t="s">
        <v>9986</v>
      </c>
      <c r="L1317" s="2" t="s">
        <v>1414</v>
      </c>
      <c r="M1317" s="2" t="s">
        <v>9987</v>
      </c>
      <c r="N1317" s="2" t="s">
        <v>9988</v>
      </c>
      <c r="S1317" s="2">
        <v>11.0</v>
      </c>
      <c r="AN1317" s="2" t="s">
        <v>1368</v>
      </c>
    </row>
    <row r="1318" ht="15.75" customHeight="1">
      <c r="A1318" s="2" t="s">
        <v>9989</v>
      </c>
      <c r="B1318" s="2" t="s">
        <v>1361</v>
      </c>
      <c r="C1318" s="2">
        <v>2010.0</v>
      </c>
      <c r="D1318" s="2" t="s">
        <v>9990</v>
      </c>
      <c r="E1318" s="2" t="s">
        <v>9991</v>
      </c>
      <c r="F1318" s="2" t="s">
        <v>9992</v>
      </c>
      <c r="L1318" s="2" t="s">
        <v>1449</v>
      </c>
      <c r="M1318" s="2" t="s">
        <v>9993</v>
      </c>
      <c r="N1318" s="2" t="s">
        <v>9994</v>
      </c>
      <c r="P1318" s="2" t="s">
        <v>9995</v>
      </c>
      <c r="R1318" s="2">
        <v>2.0</v>
      </c>
      <c r="S1318" s="2">
        <v>1.0</v>
      </c>
      <c r="AN1318" s="2" t="s">
        <v>1368</v>
      </c>
    </row>
    <row r="1319" ht="15.75" customHeight="1">
      <c r="A1319" s="2" t="s">
        <v>9996</v>
      </c>
      <c r="B1319" s="2" t="s">
        <v>1361</v>
      </c>
      <c r="C1319" s="2">
        <v>2014.0</v>
      </c>
      <c r="D1319" s="2" t="s">
        <v>9997</v>
      </c>
      <c r="E1319" s="2" t="s">
        <v>9998</v>
      </c>
      <c r="F1319" s="2" t="s">
        <v>1688</v>
      </c>
      <c r="H1319" s="2" t="s">
        <v>1689</v>
      </c>
      <c r="I1319" s="2" t="s">
        <v>9999</v>
      </c>
      <c r="L1319" s="2" t="s">
        <v>1476</v>
      </c>
      <c r="M1319" s="2" t="s">
        <v>10000</v>
      </c>
      <c r="N1319" s="2" t="s">
        <v>10001</v>
      </c>
      <c r="P1319" s="2" t="s">
        <v>10002</v>
      </c>
      <c r="R1319" s="2">
        <v>51.0</v>
      </c>
      <c r="S1319" s="2">
        <v>111.0</v>
      </c>
      <c r="AN1319" s="2" t="s">
        <v>1368</v>
      </c>
    </row>
    <row r="1320" ht="15.75" customHeight="1">
      <c r="A1320" s="2" t="s">
        <v>10003</v>
      </c>
      <c r="B1320" s="2" t="s">
        <v>1361</v>
      </c>
      <c r="C1320" s="2">
        <v>1991.0</v>
      </c>
      <c r="D1320" s="2" t="s">
        <v>10004</v>
      </c>
      <c r="E1320" s="2" t="s">
        <v>10005</v>
      </c>
      <c r="F1320" s="2" t="s">
        <v>10006</v>
      </c>
      <c r="I1320" s="2" t="s">
        <v>10007</v>
      </c>
      <c r="L1320" s="2" t="s">
        <v>2607</v>
      </c>
      <c r="M1320" s="2" t="s">
        <v>10008</v>
      </c>
      <c r="N1320" s="2" t="s">
        <v>10009</v>
      </c>
      <c r="P1320" s="2" t="s">
        <v>10010</v>
      </c>
      <c r="AN1320" s="2" t="s">
        <v>1368</v>
      </c>
    </row>
    <row r="1321" ht="15.75" customHeight="1">
      <c r="A1321" s="2" t="s">
        <v>10011</v>
      </c>
      <c r="B1321" s="2" t="s">
        <v>1361</v>
      </c>
      <c r="C1321" s="2">
        <v>2008.0</v>
      </c>
      <c r="D1321" s="2" t="s">
        <v>10012</v>
      </c>
      <c r="E1321" s="2" t="s">
        <v>10013</v>
      </c>
      <c r="F1321" s="2" t="s">
        <v>7875</v>
      </c>
      <c r="I1321" s="2" t="s">
        <v>10014</v>
      </c>
      <c r="L1321" s="2" t="s">
        <v>1458</v>
      </c>
      <c r="M1321" s="2" t="s">
        <v>10015</v>
      </c>
      <c r="N1321" s="2" t="s">
        <v>10016</v>
      </c>
      <c r="P1321" s="2" t="s">
        <v>10017</v>
      </c>
      <c r="R1321" s="2">
        <v>4.0</v>
      </c>
      <c r="S1321" s="2">
        <v>46.0</v>
      </c>
      <c r="AN1321" s="2" t="s">
        <v>1368</v>
      </c>
    </row>
    <row r="1322" ht="15.75" customHeight="1">
      <c r="A1322" s="2" t="s">
        <v>10018</v>
      </c>
      <c r="B1322" s="2" t="s">
        <v>1361</v>
      </c>
      <c r="C1322" s="2">
        <v>2013.0</v>
      </c>
      <c r="D1322" s="2" t="s">
        <v>10019</v>
      </c>
      <c r="E1322" s="2" t="s">
        <v>10020</v>
      </c>
      <c r="F1322" s="2" t="s">
        <v>1484</v>
      </c>
      <c r="I1322" s="2" t="s">
        <v>10021</v>
      </c>
      <c r="L1322" s="2" t="s">
        <v>1429</v>
      </c>
      <c r="M1322" s="2" t="s">
        <v>10022</v>
      </c>
      <c r="N1322" s="2" t="s">
        <v>10023</v>
      </c>
      <c r="P1322" s="2" t="s">
        <v>10024</v>
      </c>
      <c r="S1322" s="2">
        <v>160.0</v>
      </c>
      <c r="AN1322" s="2" t="s">
        <v>1368</v>
      </c>
    </row>
    <row r="1323" ht="15.75" customHeight="1">
      <c r="A1323" s="2" t="s">
        <v>10025</v>
      </c>
      <c r="B1323" s="2" t="s">
        <v>1361</v>
      </c>
      <c r="C1323" s="2">
        <v>2009.0</v>
      </c>
      <c r="D1323" s="2" t="s">
        <v>10026</v>
      </c>
      <c r="E1323" s="2" t="s">
        <v>10027</v>
      </c>
      <c r="F1323" s="2" t="s">
        <v>10028</v>
      </c>
      <c r="K1323" s="2" t="s">
        <v>10029</v>
      </c>
      <c r="L1323" s="2" t="s">
        <v>1364</v>
      </c>
      <c r="M1323" s="2" t="s">
        <v>10030</v>
      </c>
      <c r="N1323" s="2" t="s">
        <v>10031</v>
      </c>
      <c r="P1323" s="2" t="s">
        <v>10032</v>
      </c>
      <c r="R1323" s="2">
        <v>70307.0</v>
      </c>
      <c r="AN1323" s="2" t="s">
        <v>1368</v>
      </c>
    </row>
    <row r="1324" ht="15.75" customHeight="1">
      <c r="A1324" s="2" t="s">
        <v>10033</v>
      </c>
      <c r="B1324" s="2" t="s">
        <v>1361</v>
      </c>
      <c r="C1324" s="2">
        <v>2009.0</v>
      </c>
      <c r="D1324" s="2" t="s">
        <v>10034</v>
      </c>
      <c r="E1324" s="2" t="s">
        <v>10035</v>
      </c>
      <c r="F1324" s="2" t="s">
        <v>1825</v>
      </c>
      <c r="I1324" s="2" t="s">
        <v>10036</v>
      </c>
      <c r="L1324" s="2" t="s">
        <v>1364</v>
      </c>
      <c r="M1324" s="2" t="s">
        <v>10037</v>
      </c>
      <c r="N1324" s="2" t="s">
        <v>10038</v>
      </c>
      <c r="P1324" s="2" t="s">
        <v>10039</v>
      </c>
      <c r="R1324" s="2">
        <v>4.0</v>
      </c>
      <c r="S1324" s="2">
        <v>91.0</v>
      </c>
      <c r="AN1324" s="2" t="s">
        <v>1368</v>
      </c>
    </row>
    <row r="1325" ht="15.75" customHeight="1">
      <c r="A1325" s="2" t="s">
        <v>10040</v>
      </c>
      <c r="B1325" s="2" t="s">
        <v>1361</v>
      </c>
      <c r="C1325" s="2">
        <v>2009.0</v>
      </c>
      <c r="D1325" s="2" t="s">
        <v>10041</v>
      </c>
      <c r="E1325" s="2" t="s">
        <v>10042</v>
      </c>
      <c r="F1325" s="2" t="s">
        <v>1474</v>
      </c>
      <c r="I1325" s="2" t="s">
        <v>10043</v>
      </c>
      <c r="L1325" s="2" t="s">
        <v>1364</v>
      </c>
      <c r="M1325" s="2" t="s">
        <v>9109</v>
      </c>
      <c r="N1325" s="2" t="s">
        <v>9110</v>
      </c>
      <c r="P1325" s="2" t="s">
        <v>10044</v>
      </c>
      <c r="R1325" s="2">
        <v>5.0</v>
      </c>
      <c r="S1325" s="2">
        <v>99.0</v>
      </c>
      <c r="AN1325" s="2" t="s">
        <v>1368</v>
      </c>
    </row>
    <row r="1326" ht="15.75" customHeight="1">
      <c r="A1326" s="2" t="s">
        <v>10045</v>
      </c>
      <c r="B1326" s="2" t="s">
        <v>1361</v>
      </c>
      <c r="C1326" s="2">
        <v>2010.0</v>
      </c>
      <c r="D1326" s="2" t="s">
        <v>10046</v>
      </c>
      <c r="E1326" s="2" t="s">
        <v>10047</v>
      </c>
      <c r="F1326" s="2" t="s">
        <v>1980</v>
      </c>
      <c r="I1326" s="2" t="s">
        <v>10048</v>
      </c>
      <c r="L1326" s="2" t="s">
        <v>1449</v>
      </c>
      <c r="M1326" s="2" t="s">
        <v>10049</v>
      </c>
      <c r="N1326" s="2" t="s">
        <v>10050</v>
      </c>
      <c r="P1326" s="2" t="s">
        <v>10051</v>
      </c>
      <c r="R1326" s="2">
        <v>1.0</v>
      </c>
      <c r="S1326" s="2">
        <v>41.0</v>
      </c>
      <c r="AN1326" s="2" t="s">
        <v>1368</v>
      </c>
    </row>
    <row r="1327" ht="15.75" customHeight="1">
      <c r="A1327" s="2" t="s">
        <v>10052</v>
      </c>
      <c r="B1327" s="2" t="s">
        <v>1361</v>
      </c>
      <c r="C1327" s="2">
        <v>2015.0</v>
      </c>
      <c r="D1327" s="2" t="s">
        <v>10053</v>
      </c>
      <c r="E1327" s="2" t="s">
        <v>10054</v>
      </c>
      <c r="F1327" s="2" t="s">
        <v>10055</v>
      </c>
      <c r="H1327" s="2" t="s">
        <v>10056</v>
      </c>
      <c r="L1327" s="2" t="s">
        <v>1373</v>
      </c>
      <c r="M1327" s="2" t="s">
        <v>10057</v>
      </c>
      <c r="N1327" s="2" t="s">
        <v>10058</v>
      </c>
      <c r="P1327" s="2" t="s">
        <v>10059</v>
      </c>
      <c r="R1327" s="2">
        <v>2.0</v>
      </c>
      <c r="S1327" s="2">
        <v>3.0</v>
      </c>
      <c r="AN1327" s="2" t="s">
        <v>1368</v>
      </c>
    </row>
    <row r="1328" ht="15.75" customHeight="1">
      <c r="A1328" s="2" t="s">
        <v>10060</v>
      </c>
      <c r="B1328" s="2" t="s">
        <v>1361</v>
      </c>
      <c r="C1328" s="2">
        <v>2007.0</v>
      </c>
      <c r="D1328" s="2" t="s">
        <v>10061</v>
      </c>
      <c r="E1328" s="2" t="s">
        <v>10062</v>
      </c>
      <c r="F1328" s="2" t="s">
        <v>1633</v>
      </c>
      <c r="I1328" s="2" t="s">
        <v>10063</v>
      </c>
      <c r="L1328" s="2" t="s">
        <v>2380</v>
      </c>
      <c r="M1328" s="2" t="s">
        <v>10064</v>
      </c>
      <c r="N1328" s="2" t="s">
        <v>10065</v>
      </c>
      <c r="P1328" s="2" t="s">
        <v>10066</v>
      </c>
      <c r="R1328" s="2">
        <v>2.0</v>
      </c>
      <c r="S1328" s="2">
        <v>83.0</v>
      </c>
      <c r="AN1328" s="2" t="s">
        <v>1368</v>
      </c>
    </row>
    <row r="1329" ht="15.75" customHeight="1">
      <c r="A1329" s="2" t="s">
        <v>10067</v>
      </c>
      <c r="B1329" s="2" t="s">
        <v>1361</v>
      </c>
      <c r="C1329" s="2">
        <v>1977.0</v>
      </c>
      <c r="D1329" s="2" t="s">
        <v>10068</v>
      </c>
      <c r="E1329" s="2" t="s">
        <v>10069</v>
      </c>
      <c r="F1329" s="2" t="s">
        <v>7987</v>
      </c>
      <c r="I1329" s="2" t="s">
        <v>10070</v>
      </c>
      <c r="L1329" s="2" t="s">
        <v>8665</v>
      </c>
      <c r="M1329" s="2" t="s">
        <v>10071</v>
      </c>
      <c r="N1329" s="2" t="s">
        <v>10072</v>
      </c>
      <c r="P1329" s="2" t="s">
        <v>3780</v>
      </c>
      <c r="R1329" s="2">
        <v>1.0</v>
      </c>
      <c r="S1329" s="2">
        <v>1.0</v>
      </c>
      <c r="AN1329" s="2" t="s">
        <v>1368</v>
      </c>
    </row>
    <row r="1330" ht="15.75" customHeight="1">
      <c r="A1330" s="2" t="s">
        <v>10073</v>
      </c>
      <c r="B1330" s="2" t="s">
        <v>1361</v>
      </c>
      <c r="C1330" s="2">
        <v>2002.0</v>
      </c>
      <c r="D1330" s="2" t="s">
        <v>10074</v>
      </c>
      <c r="E1330" s="2" t="s">
        <v>10075</v>
      </c>
      <c r="F1330" s="2" t="s">
        <v>1863</v>
      </c>
      <c r="I1330" s="2" t="s">
        <v>10076</v>
      </c>
      <c r="L1330" s="2" t="s">
        <v>1493</v>
      </c>
      <c r="M1330" s="2" t="s">
        <v>10077</v>
      </c>
      <c r="N1330" s="2" t="s">
        <v>10078</v>
      </c>
      <c r="P1330" s="2" t="s">
        <v>7984</v>
      </c>
      <c r="R1330" s="2">
        <v>1.0</v>
      </c>
      <c r="S1330" s="2">
        <v>30.0</v>
      </c>
      <c r="AN1330" s="2" t="s">
        <v>1368</v>
      </c>
    </row>
    <row r="1331" ht="15.75" customHeight="1">
      <c r="A1331" s="2" t="s">
        <v>10079</v>
      </c>
      <c r="B1331" s="2" t="s">
        <v>1361</v>
      </c>
      <c r="C1331" s="2">
        <v>2014.0</v>
      </c>
      <c r="D1331" s="2" t="s">
        <v>10080</v>
      </c>
      <c r="E1331" s="2" t="s">
        <v>10081</v>
      </c>
      <c r="F1331" s="2" t="s">
        <v>4123</v>
      </c>
      <c r="I1331" s="2" t="s">
        <v>10082</v>
      </c>
      <c r="L1331" s="2" t="s">
        <v>1476</v>
      </c>
      <c r="M1331" s="2" t="s">
        <v>8277</v>
      </c>
      <c r="N1331" s="2" t="s">
        <v>8278</v>
      </c>
      <c r="P1331" s="2" t="s">
        <v>10083</v>
      </c>
      <c r="R1331" s="2">
        <v>3.0</v>
      </c>
      <c r="S1331" s="2">
        <v>31.0</v>
      </c>
      <c r="AN1331" s="2" t="s">
        <v>1368</v>
      </c>
    </row>
    <row r="1332" ht="15.75" customHeight="1">
      <c r="A1332" s="2" t="s">
        <v>10084</v>
      </c>
      <c r="B1332" s="2" t="s">
        <v>1361</v>
      </c>
      <c r="C1332" s="2">
        <v>2012.0</v>
      </c>
      <c r="D1332" s="2" t="s">
        <v>10085</v>
      </c>
      <c r="E1332" s="2" t="s">
        <v>10086</v>
      </c>
      <c r="F1332" s="2" t="s">
        <v>1941</v>
      </c>
      <c r="I1332" s="2" t="s">
        <v>10087</v>
      </c>
      <c r="L1332" s="2" t="s">
        <v>1405</v>
      </c>
      <c r="M1332" s="2" t="s">
        <v>10088</v>
      </c>
      <c r="N1332" s="2" t="s">
        <v>10089</v>
      </c>
      <c r="P1332" s="2" t="s">
        <v>10090</v>
      </c>
      <c r="R1332" s="2">
        <v>15.0</v>
      </c>
      <c r="S1332" s="2">
        <v>46.0</v>
      </c>
      <c r="AN1332" s="2" t="s">
        <v>1368</v>
      </c>
    </row>
    <row r="1333" ht="15.75" customHeight="1">
      <c r="A1333" s="2" t="s">
        <v>10091</v>
      </c>
      <c r="B1333" s="2" t="s">
        <v>1361</v>
      </c>
      <c r="C1333" s="2">
        <v>2013.0</v>
      </c>
      <c r="D1333" s="2" t="s">
        <v>10092</v>
      </c>
      <c r="E1333" s="2" t="s">
        <v>10093</v>
      </c>
      <c r="F1333" s="2" t="s">
        <v>4053</v>
      </c>
      <c r="I1333" s="2" t="s">
        <v>10094</v>
      </c>
      <c r="L1333" s="2" t="s">
        <v>1429</v>
      </c>
      <c r="M1333" s="2" t="s">
        <v>10095</v>
      </c>
      <c r="N1333" s="2" t="s">
        <v>10096</v>
      </c>
      <c r="P1333" s="2" t="s">
        <v>10097</v>
      </c>
      <c r="R1333" s="2">
        <v>2.0</v>
      </c>
      <c r="S1333" s="2">
        <v>107.0</v>
      </c>
      <c r="AN1333" s="2" t="s">
        <v>1368</v>
      </c>
    </row>
    <row r="1334" ht="15.75" customHeight="1">
      <c r="A1334" s="2" t="s">
        <v>10098</v>
      </c>
      <c r="B1334" s="2" t="s">
        <v>1361</v>
      </c>
      <c r="C1334" s="2">
        <v>2008.0</v>
      </c>
      <c r="D1334" s="2" t="s">
        <v>10012</v>
      </c>
      <c r="E1334" s="2" t="s">
        <v>10099</v>
      </c>
      <c r="F1334" s="2" t="s">
        <v>10100</v>
      </c>
      <c r="I1334" s="2" t="s">
        <v>10101</v>
      </c>
      <c r="L1334" s="2" t="s">
        <v>1458</v>
      </c>
      <c r="M1334" s="2" t="s">
        <v>10102</v>
      </c>
      <c r="N1334" s="2" t="s">
        <v>10103</v>
      </c>
      <c r="P1334" s="2" t="s">
        <v>10104</v>
      </c>
      <c r="R1334" s="2">
        <v>2.0</v>
      </c>
      <c r="S1334" s="2">
        <v>90.0</v>
      </c>
      <c r="AN1334" s="2" t="s">
        <v>1368</v>
      </c>
    </row>
    <row r="1335" ht="15.75" customHeight="1">
      <c r="A1335" s="2" t="s">
        <v>10105</v>
      </c>
      <c r="B1335" s="2" t="s">
        <v>1361</v>
      </c>
      <c r="C1335" s="2">
        <v>2015.0</v>
      </c>
      <c r="D1335" s="2" t="s">
        <v>10106</v>
      </c>
      <c r="E1335" s="2" t="s">
        <v>10107</v>
      </c>
      <c r="F1335" s="2" t="s">
        <v>4021</v>
      </c>
      <c r="I1335" s="2" t="s">
        <v>10108</v>
      </c>
      <c r="L1335" s="2" t="s">
        <v>1373</v>
      </c>
      <c r="M1335" s="2" t="s">
        <v>10109</v>
      </c>
      <c r="N1335" s="2" t="s">
        <v>10110</v>
      </c>
      <c r="P1335" s="2" t="s">
        <v>8560</v>
      </c>
      <c r="R1335" s="2">
        <v>3.0</v>
      </c>
      <c r="S1335" s="2">
        <v>2.0</v>
      </c>
      <c r="AN1335" s="2" t="s">
        <v>1368</v>
      </c>
    </row>
    <row r="1336" ht="15.75" customHeight="1">
      <c r="A1336" s="2" t="s">
        <v>10111</v>
      </c>
      <c r="B1336" s="2" t="s">
        <v>1361</v>
      </c>
      <c r="C1336" s="2">
        <v>2002.0</v>
      </c>
      <c r="D1336" s="2" t="s">
        <v>10112</v>
      </c>
      <c r="E1336" s="2" t="s">
        <v>10113</v>
      </c>
      <c r="F1336" s="2" t="s">
        <v>1863</v>
      </c>
      <c r="I1336" s="2" t="s">
        <v>10114</v>
      </c>
      <c r="L1336" s="2" t="s">
        <v>1493</v>
      </c>
      <c r="M1336" s="2" t="s">
        <v>10115</v>
      </c>
      <c r="N1336" s="2" t="s">
        <v>10116</v>
      </c>
      <c r="P1336" s="2" t="s">
        <v>10117</v>
      </c>
      <c r="R1336" s="2">
        <v>5.0</v>
      </c>
      <c r="S1336" s="2">
        <v>30.0</v>
      </c>
      <c r="AN1336" s="2" t="s">
        <v>1368</v>
      </c>
    </row>
    <row r="1337" ht="15.75" customHeight="1">
      <c r="A1337" s="2" t="s">
        <v>10118</v>
      </c>
      <c r="B1337" s="2" t="s">
        <v>1361</v>
      </c>
      <c r="C1337" s="2">
        <v>2014.0</v>
      </c>
      <c r="D1337" s="2" t="s">
        <v>10119</v>
      </c>
      <c r="E1337" s="2" t="s">
        <v>10120</v>
      </c>
      <c r="F1337" s="2" t="s">
        <v>10121</v>
      </c>
      <c r="L1337" s="2" t="s">
        <v>1476</v>
      </c>
      <c r="M1337" s="2" t="s">
        <v>10122</v>
      </c>
      <c r="N1337" s="2" t="s">
        <v>10123</v>
      </c>
      <c r="P1337" s="2" t="s">
        <v>1462</v>
      </c>
      <c r="R1337" s="2">
        <v>2.0</v>
      </c>
      <c r="S1337" s="2">
        <v>4.0</v>
      </c>
      <c r="AN1337" s="2" t="s">
        <v>1368</v>
      </c>
    </row>
    <row r="1338" ht="15.75" customHeight="1">
      <c r="A1338" s="2" t="s">
        <v>10124</v>
      </c>
      <c r="B1338" s="2" t="s">
        <v>1361</v>
      </c>
      <c r="C1338" s="2">
        <v>2006.0</v>
      </c>
      <c r="D1338" s="2" t="s">
        <v>10125</v>
      </c>
      <c r="E1338" s="2" t="s">
        <v>10126</v>
      </c>
      <c r="L1338" s="2" t="s">
        <v>1727</v>
      </c>
      <c r="M1338" s="2" t="s">
        <v>10127</v>
      </c>
      <c r="N1338" s="2" t="s">
        <v>10128</v>
      </c>
      <c r="AN1338" s="2" t="s">
        <v>1368</v>
      </c>
    </row>
    <row r="1339" ht="15.75" customHeight="1">
      <c r="A1339" s="2" t="s">
        <v>10129</v>
      </c>
      <c r="B1339" s="2" t="s">
        <v>1361</v>
      </c>
      <c r="C1339" s="2">
        <v>1997.0</v>
      </c>
      <c r="D1339" s="2" t="s">
        <v>10130</v>
      </c>
      <c r="E1339" s="2" t="s">
        <v>10131</v>
      </c>
      <c r="F1339" s="2" t="s">
        <v>1825</v>
      </c>
      <c r="I1339" s="2" t="s">
        <v>10132</v>
      </c>
      <c r="L1339" s="2" t="s">
        <v>1804</v>
      </c>
      <c r="M1339" s="2" t="s">
        <v>10133</v>
      </c>
      <c r="N1339" s="2" t="s">
        <v>10134</v>
      </c>
      <c r="P1339" s="2" t="s">
        <v>10135</v>
      </c>
      <c r="R1339" s="2">
        <v>2.0</v>
      </c>
      <c r="S1339" s="2">
        <v>79.0</v>
      </c>
      <c r="AN1339" s="2" t="s">
        <v>1368</v>
      </c>
    </row>
    <row r="1340" ht="15.75" customHeight="1">
      <c r="A1340" s="2" t="s">
        <v>10136</v>
      </c>
      <c r="B1340" s="2" t="s">
        <v>1361</v>
      </c>
      <c r="C1340" s="2">
        <v>2008.0</v>
      </c>
      <c r="D1340" s="2" t="s">
        <v>10137</v>
      </c>
      <c r="E1340" s="2" t="s">
        <v>10138</v>
      </c>
      <c r="F1340" s="2" t="s">
        <v>10139</v>
      </c>
      <c r="L1340" s="2" t="s">
        <v>1458</v>
      </c>
      <c r="M1340" s="2" t="s">
        <v>10140</v>
      </c>
      <c r="N1340" s="2" t="s">
        <v>10141</v>
      </c>
      <c r="P1340" s="2" t="s">
        <v>10142</v>
      </c>
      <c r="S1340" s="2">
        <v>80.0</v>
      </c>
      <c r="AN1340" s="2" t="s">
        <v>1368</v>
      </c>
    </row>
    <row r="1341" ht="15.75" customHeight="1">
      <c r="A1341" s="2" t="s">
        <v>10143</v>
      </c>
      <c r="B1341" s="2" t="s">
        <v>1361</v>
      </c>
      <c r="C1341" s="2">
        <v>2018.0</v>
      </c>
      <c r="D1341" s="2" t="s">
        <v>10144</v>
      </c>
      <c r="E1341" s="2" t="s">
        <v>10145</v>
      </c>
      <c r="F1341" s="2" t="s">
        <v>2205</v>
      </c>
      <c r="I1341" s="2" t="s">
        <v>10146</v>
      </c>
      <c r="L1341" s="2" t="s">
        <v>1420</v>
      </c>
      <c r="M1341" s="2" t="s">
        <v>2804</v>
      </c>
      <c r="N1341" s="2" t="s">
        <v>2805</v>
      </c>
      <c r="P1341" s="2" t="s">
        <v>10147</v>
      </c>
      <c r="S1341" s="2">
        <v>92.0</v>
      </c>
      <c r="AN1341" s="2" t="s">
        <v>1368</v>
      </c>
    </row>
    <row r="1342" ht="15.75" customHeight="1">
      <c r="A1342" s="2" t="s">
        <v>10148</v>
      </c>
      <c r="B1342" s="2" t="s">
        <v>1361</v>
      </c>
      <c r="C1342" s="2">
        <v>2013.0</v>
      </c>
      <c r="D1342" s="2" t="s">
        <v>10149</v>
      </c>
      <c r="E1342" s="2" t="s">
        <v>10150</v>
      </c>
      <c r="F1342" s="2" t="s">
        <v>1760</v>
      </c>
      <c r="I1342" s="2" t="s">
        <v>10151</v>
      </c>
      <c r="L1342" s="2" t="s">
        <v>1429</v>
      </c>
      <c r="M1342" s="2" t="s">
        <v>10152</v>
      </c>
      <c r="N1342" s="2" t="s">
        <v>10153</v>
      </c>
      <c r="P1342" s="2" t="s">
        <v>10154</v>
      </c>
      <c r="S1342" s="2">
        <v>94.0</v>
      </c>
      <c r="AN1342" s="2" t="s">
        <v>1368</v>
      </c>
    </row>
    <row r="1343" ht="15.75" customHeight="1">
      <c r="A1343" s="2" t="s">
        <v>10155</v>
      </c>
      <c r="B1343" s="2" t="s">
        <v>1361</v>
      </c>
      <c r="C1343" s="2">
        <v>1998.0</v>
      </c>
      <c r="D1343" s="2" t="s">
        <v>10156</v>
      </c>
      <c r="E1343" s="2" t="s">
        <v>1258</v>
      </c>
      <c r="F1343" s="2" t="s">
        <v>10157</v>
      </c>
      <c r="I1343" s="2" t="s">
        <v>1261</v>
      </c>
      <c r="L1343" s="2" t="s">
        <v>1958</v>
      </c>
      <c r="M1343" s="2" t="s">
        <v>10158</v>
      </c>
      <c r="N1343" s="2" t="s">
        <v>10159</v>
      </c>
      <c r="P1343" s="2" t="s">
        <v>10160</v>
      </c>
      <c r="S1343" s="2">
        <v>41.0</v>
      </c>
      <c r="AN1343" s="2" t="s">
        <v>1368</v>
      </c>
    </row>
    <row r="1344" ht="15.75" customHeight="1">
      <c r="A1344" s="2" t="s">
        <v>10161</v>
      </c>
      <c r="B1344" s="2" t="s">
        <v>1361</v>
      </c>
      <c r="C1344" s="2">
        <v>2010.0</v>
      </c>
      <c r="D1344" s="2" t="s">
        <v>10162</v>
      </c>
      <c r="E1344" s="2" t="s">
        <v>908</v>
      </c>
      <c r="F1344" s="2" t="s">
        <v>1594</v>
      </c>
      <c r="L1344" s="2" t="s">
        <v>10163</v>
      </c>
      <c r="M1344" s="2" t="s">
        <v>10164</v>
      </c>
      <c r="N1344" s="2" t="s">
        <v>10165</v>
      </c>
      <c r="P1344" s="2" t="s">
        <v>10166</v>
      </c>
      <c r="S1344" s="2">
        <v>3.0</v>
      </c>
      <c r="AN1344" s="2" t="s">
        <v>1368</v>
      </c>
    </row>
    <row r="1345" ht="15.75" customHeight="1">
      <c r="A1345" s="2" t="s">
        <v>10167</v>
      </c>
      <c r="B1345" s="2" t="s">
        <v>1361</v>
      </c>
      <c r="C1345" s="2">
        <v>2017.0</v>
      </c>
      <c r="D1345" s="2" t="s">
        <v>10168</v>
      </c>
      <c r="E1345" s="2" t="s">
        <v>10169</v>
      </c>
      <c r="F1345" s="2" t="s">
        <v>1863</v>
      </c>
      <c r="I1345" s="2" t="s">
        <v>10170</v>
      </c>
      <c r="L1345" s="2" t="s">
        <v>1658</v>
      </c>
      <c r="M1345" s="2" t="s">
        <v>10171</v>
      </c>
      <c r="N1345" s="2" t="s">
        <v>10172</v>
      </c>
      <c r="P1345" s="2" t="s">
        <v>10173</v>
      </c>
      <c r="S1345" s="2">
        <v>92.0</v>
      </c>
      <c r="AN1345" s="2" t="s">
        <v>1368</v>
      </c>
    </row>
    <row r="1346" ht="15.75" customHeight="1">
      <c r="A1346" s="2" t="s">
        <v>10174</v>
      </c>
      <c r="B1346" s="2" t="s">
        <v>1361</v>
      </c>
      <c r="C1346" s="2">
        <v>2011.0</v>
      </c>
      <c r="D1346" s="2" t="s">
        <v>10175</v>
      </c>
      <c r="E1346" s="2" t="s">
        <v>10176</v>
      </c>
      <c r="F1346" s="2" t="s">
        <v>2053</v>
      </c>
      <c r="H1346" s="2" t="s">
        <v>10177</v>
      </c>
      <c r="I1346" s="2" t="s">
        <v>10178</v>
      </c>
      <c r="J1346" s="2" t="s">
        <v>10179</v>
      </c>
      <c r="L1346" s="2" t="s">
        <v>6758</v>
      </c>
      <c r="M1346" s="2" t="s">
        <v>10180</v>
      </c>
      <c r="N1346" s="2" t="s">
        <v>10181</v>
      </c>
      <c r="O1346" s="2" t="s">
        <v>10182</v>
      </c>
      <c r="P1346" s="2" t="s">
        <v>10183</v>
      </c>
      <c r="R1346" s="2">
        <v>9.0</v>
      </c>
      <c r="S1346" s="2">
        <v>9.0</v>
      </c>
      <c r="U1346" s="2" t="s">
        <v>2053</v>
      </c>
      <c r="AC1346" s="2" t="s">
        <v>1540</v>
      </c>
      <c r="AH1346" s="2" t="s">
        <v>1541</v>
      </c>
      <c r="AN1346" s="2" t="s">
        <v>1885</v>
      </c>
    </row>
    <row r="1347" ht="15.75" customHeight="1">
      <c r="A1347" s="2" t="s">
        <v>10184</v>
      </c>
      <c r="B1347" s="2" t="s">
        <v>1361</v>
      </c>
      <c r="C1347" s="2">
        <v>2013.0</v>
      </c>
      <c r="D1347" s="2" t="s">
        <v>10185</v>
      </c>
      <c r="E1347" s="2" t="s">
        <v>587</v>
      </c>
      <c r="F1347" s="2" t="s">
        <v>1688</v>
      </c>
      <c r="H1347" s="2" t="s">
        <v>2892</v>
      </c>
      <c r="I1347" s="2" t="s">
        <v>589</v>
      </c>
      <c r="J1347" s="2" t="s">
        <v>10186</v>
      </c>
      <c r="K1347" s="2" t="s">
        <v>10187</v>
      </c>
      <c r="L1347" s="2" t="s">
        <v>10188</v>
      </c>
      <c r="M1347" s="2" t="s">
        <v>10189</v>
      </c>
      <c r="N1347" s="2" t="s">
        <v>10190</v>
      </c>
      <c r="O1347" s="2" t="s">
        <v>10191</v>
      </c>
      <c r="P1347" s="2" t="s">
        <v>10192</v>
      </c>
      <c r="R1347" s="2">
        <v>25.0</v>
      </c>
      <c r="S1347" s="2">
        <v>110.0</v>
      </c>
      <c r="U1347" s="2" t="s">
        <v>2901</v>
      </c>
      <c r="AC1347" s="2" t="s">
        <v>1540</v>
      </c>
      <c r="AH1347" s="2" t="s">
        <v>1541</v>
      </c>
      <c r="AN1347" s="2" t="s">
        <v>1542</v>
      </c>
    </row>
    <row r="1348" ht="15.75" customHeight="1">
      <c r="A1348" s="2" t="s">
        <v>10193</v>
      </c>
      <c r="B1348" s="2" t="s">
        <v>1361</v>
      </c>
      <c r="C1348" s="2">
        <v>2010.0</v>
      </c>
      <c r="D1348" s="2" t="s">
        <v>10194</v>
      </c>
      <c r="E1348" s="2" t="s">
        <v>10195</v>
      </c>
      <c r="F1348" s="2" t="s">
        <v>6363</v>
      </c>
      <c r="H1348" s="2" t="s">
        <v>6364</v>
      </c>
      <c r="I1348" s="2" t="s">
        <v>812</v>
      </c>
      <c r="J1348" s="2" t="s">
        <v>10196</v>
      </c>
      <c r="L1348" s="2" t="s">
        <v>4218</v>
      </c>
      <c r="M1348" s="2" t="s">
        <v>10197</v>
      </c>
      <c r="N1348" s="2" t="s">
        <v>10198</v>
      </c>
      <c r="O1348" s="2" t="s">
        <v>10199</v>
      </c>
      <c r="P1348" s="2" t="s">
        <v>10200</v>
      </c>
      <c r="R1348" s="2">
        <v>11.0</v>
      </c>
      <c r="S1348" s="2">
        <v>13.0</v>
      </c>
      <c r="V1348" s="2" t="s">
        <v>809</v>
      </c>
      <c r="AC1348" s="2" t="s">
        <v>1540</v>
      </c>
      <c r="AH1348" s="2" t="s">
        <v>1541</v>
      </c>
      <c r="AN1348" s="2" t="s">
        <v>10201</v>
      </c>
    </row>
    <row r="1349" ht="15.75" customHeight="1">
      <c r="A1349" s="2" t="s">
        <v>10202</v>
      </c>
      <c r="B1349" s="2" t="s">
        <v>1361</v>
      </c>
      <c r="C1349" s="2">
        <v>2011.0</v>
      </c>
      <c r="D1349" s="2" t="s">
        <v>10203</v>
      </c>
      <c r="E1349" s="2" t="s">
        <v>10204</v>
      </c>
      <c r="F1349" s="2" t="s">
        <v>1688</v>
      </c>
      <c r="H1349" s="2" t="s">
        <v>1689</v>
      </c>
      <c r="I1349" s="2" t="s">
        <v>10205</v>
      </c>
      <c r="K1349" s="2" t="s">
        <v>10206</v>
      </c>
      <c r="L1349" s="2" t="s">
        <v>1627</v>
      </c>
      <c r="M1349" s="2" t="s">
        <v>10207</v>
      </c>
      <c r="N1349" s="2" t="s">
        <v>10208</v>
      </c>
      <c r="P1349" s="2" t="s">
        <v>10209</v>
      </c>
      <c r="R1349" s="2">
        <v>12.0</v>
      </c>
      <c r="S1349" s="2">
        <v>108.0</v>
      </c>
      <c r="AC1349" s="2" t="s">
        <v>3263</v>
      </c>
      <c r="AN1349" s="2" t="s">
        <v>2169</v>
      </c>
    </row>
    <row r="1350" ht="15.75" customHeight="1">
      <c r="A1350" s="2" t="s">
        <v>10210</v>
      </c>
      <c r="B1350" s="2" t="s">
        <v>1361</v>
      </c>
      <c r="C1350" s="2">
        <v>2009.0</v>
      </c>
      <c r="D1350" s="2" t="s">
        <v>10211</v>
      </c>
      <c r="E1350" s="2" t="s">
        <v>10212</v>
      </c>
      <c r="F1350" s="2" t="s">
        <v>8645</v>
      </c>
      <c r="H1350" s="2" t="s">
        <v>2509</v>
      </c>
      <c r="I1350" s="2" t="s">
        <v>10213</v>
      </c>
      <c r="J1350" s="2" t="s">
        <v>10214</v>
      </c>
      <c r="L1350" s="2" t="s">
        <v>10215</v>
      </c>
      <c r="M1350" s="2" t="s">
        <v>10216</v>
      </c>
      <c r="N1350" s="2" t="s">
        <v>10217</v>
      </c>
      <c r="O1350" s="2" t="s">
        <v>10218</v>
      </c>
      <c r="P1350" s="2" t="s">
        <v>10219</v>
      </c>
      <c r="R1350" s="2">
        <v>12.0</v>
      </c>
      <c r="S1350" s="2">
        <v>24.0</v>
      </c>
      <c r="U1350" s="2" t="s">
        <v>8645</v>
      </c>
      <c r="AC1350" s="2" t="s">
        <v>1540</v>
      </c>
      <c r="AH1350" s="2" t="s">
        <v>1541</v>
      </c>
      <c r="AN1350" s="2" t="s">
        <v>1872</v>
      </c>
    </row>
    <row r="1351" ht="15.75" customHeight="1">
      <c r="A1351" s="2" t="s">
        <v>10220</v>
      </c>
      <c r="B1351" s="2" t="s">
        <v>1361</v>
      </c>
      <c r="C1351" s="2">
        <v>2012.0</v>
      </c>
      <c r="D1351" s="2" t="s">
        <v>10221</v>
      </c>
      <c r="E1351" s="2" t="s">
        <v>10222</v>
      </c>
      <c r="F1351" s="2" t="s">
        <v>1380</v>
      </c>
      <c r="H1351" s="2" t="s">
        <v>2856</v>
      </c>
      <c r="I1351" s="2" t="s">
        <v>10223</v>
      </c>
      <c r="J1351" s="2" t="s">
        <v>10224</v>
      </c>
      <c r="L1351" s="2" t="s">
        <v>9804</v>
      </c>
      <c r="M1351" s="2" t="s">
        <v>10225</v>
      </c>
      <c r="N1351" s="2" t="s">
        <v>10226</v>
      </c>
      <c r="O1351" s="2" t="s">
        <v>10227</v>
      </c>
      <c r="P1351" s="2" t="s">
        <v>10228</v>
      </c>
      <c r="R1351" s="2">
        <v>7401.0</v>
      </c>
      <c r="S1351" s="2">
        <v>486.0</v>
      </c>
      <c r="U1351" s="2" t="s">
        <v>1380</v>
      </c>
      <c r="AC1351" s="2" t="s">
        <v>1540</v>
      </c>
      <c r="AH1351" s="2" t="s">
        <v>1541</v>
      </c>
      <c r="AN1351" s="2" t="s">
        <v>2159</v>
      </c>
    </row>
    <row r="1352" ht="15.75" customHeight="1">
      <c r="A1352" s="2" t="s">
        <v>10229</v>
      </c>
      <c r="B1352" s="2" t="s">
        <v>1361</v>
      </c>
      <c r="C1352" s="2">
        <v>2014.0</v>
      </c>
      <c r="D1352" s="2" t="s">
        <v>10230</v>
      </c>
      <c r="E1352" s="2" t="s">
        <v>10231</v>
      </c>
      <c r="F1352" s="2" t="s">
        <v>1688</v>
      </c>
      <c r="H1352" s="2" t="s">
        <v>2892</v>
      </c>
      <c r="I1352" s="2" t="s">
        <v>10232</v>
      </c>
      <c r="J1352" s="2" t="s">
        <v>10233</v>
      </c>
      <c r="K1352" s="2" t="s">
        <v>10234</v>
      </c>
      <c r="L1352" s="2" t="s">
        <v>10235</v>
      </c>
      <c r="M1352" s="2" t="s">
        <v>10236</v>
      </c>
      <c r="N1352" s="2" t="s">
        <v>10237</v>
      </c>
      <c r="O1352" s="2" t="s">
        <v>10238</v>
      </c>
      <c r="P1352" s="2" t="s">
        <v>10239</v>
      </c>
      <c r="R1352" s="2">
        <v>11.0</v>
      </c>
      <c r="S1352" s="2">
        <v>111.0</v>
      </c>
      <c r="U1352" s="2" t="s">
        <v>2901</v>
      </c>
      <c r="AC1352" s="2" t="s">
        <v>1540</v>
      </c>
      <c r="AH1352" s="2" t="s">
        <v>1541</v>
      </c>
      <c r="AN1352" s="2" t="s">
        <v>10201</v>
      </c>
    </row>
    <row r="1353" ht="15.75" customHeight="1">
      <c r="A1353" s="2" t="s">
        <v>10240</v>
      </c>
      <c r="B1353" s="2" t="s">
        <v>1623</v>
      </c>
      <c r="C1353" s="2">
        <v>2012.0</v>
      </c>
      <c r="D1353" s="2" t="s">
        <v>10241</v>
      </c>
      <c r="E1353" s="2" t="s">
        <v>10242</v>
      </c>
      <c r="J1353" s="2" t="s">
        <v>10243</v>
      </c>
      <c r="K1353" s="2" t="s">
        <v>10244</v>
      </c>
      <c r="L1353" s="2" t="s">
        <v>1405</v>
      </c>
      <c r="M1353" s="2" t="s">
        <v>10245</v>
      </c>
      <c r="N1353" s="2" t="s">
        <v>10246</v>
      </c>
      <c r="AA1353" s="2" t="s">
        <v>10247</v>
      </c>
      <c r="AB1353" s="2" t="s">
        <v>10248</v>
      </c>
      <c r="AC1353" s="2" t="s">
        <v>1540</v>
      </c>
      <c r="AJ1353" s="2" t="s">
        <v>10249</v>
      </c>
      <c r="AN1353" s="2" t="s">
        <v>1885</v>
      </c>
    </row>
    <row r="1354" ht="15.75" customHeight="1">
      <c r="A1354" s="2" t="s">
        <v>10250</v>
      </c>
      <c r="B1354" s="2" t="s">
        <v>1361</v>
      </c>
      <c r="C1354" s="2">
        <v>2008.0</v>
      </c>
      <c r="D1354" s="2" t="s">
        <v>10251</v>
      </c>
      <c r="E1354" s="2" t="s">
        <v>10252</v>
      </c>
      <c r="F1354" s="2" t="s">
        <v>4215</v>
      </c>
      <c r="H1354" s="2" t="s">
        <v>10253</v>
      </c>
      <c r="I1354" s="2" t="s">
        <v>10254</v>
      </c>
      <c r="J1354" s="2" t="s">
        <v>10255</v>
      </c>
      <c r="K1354" s="2" t="s">
        <v>10256</v>
      </c>
      <c r="L1354" s="2" t="s">
        <v>10257</v>
      </c>
      <c r="M1354" s="2" t="s">
        <v>10258</v>
      </c>
      <c r="N1354" s="2" t="s">
        <v>10259</v>
      </c>
      <c r="O1354" s="2" t="s">
        <v>10260</v>
      </c>
      <c r="P1354" s="2" t="s">
        <v>10261</v>
      </c>
      <c r="R1354" s="2">
        <v>1.0</v>
      </c>
      <c r="S1354" s="2">
        <v>33.0</v>
      </c>
      <c r="U1354" s="2" t="s">
        <v>2624</v>
      </c>
      <c r="AC1354" s="2" t="s">
        <v>1540</v>
      </c>
      <c r="AH1354" s="2" t="s">
        <v>1541</v>
      </c>
      <c r="AN1354" s="2" t="s">
        <v>1872</v>
      </c>
    </row>
    <row r="1355" ht="15.75" customHeight="1">
      <c r="A1355" s="2" t="s">
        <v>10262</v>
      </c>
      <c r="B1355" s="2" t="s">
        <v>1361</v>
      </c>
      <c r="C1355" s="2">
        <v>2011.0</v>
      </c>
      <c r="D1355" s="2" t="s">
        <v>10263</v>
      </c>
      <c r="E1355" s="2" t="s">
        <v>755</v>
      </c>
      <c r="F1355" s="2" t="s">
        <v>1688</v>
      </c>
      <c r="H1355" s="2" t="s">
        <v>2892</v>
      </c>
      <c r="I1355" s="2" t="s">
        <v>757</v>
      </c>
      <c r="J1355" s="2" t="s">
        <v>10264</v>
      </c>
      <c r="K1355" s="2" t="s">
        <v>10265</v>
      </c>
      <c r="L1355" s="2" t="s">
        <v>5104</v>
      </c>
      <c r="M1355" s="2" t="s">
        <v>10266</v>
      </c>
      <c r="N1355" s="2" t="s">
        <v>10267</v>
      </c>
      <c r="O1355" s="2" t="s">
        <v>10238</v>
      </c>
      <c r="P1355" s="2" t="s">
        <v>10268</v>
      </c>
      <c r="R1355" s="2">
        <v>9.0</v>
      </c>
      <c r="S1355" s="2">
        <v>108.0</v>
      </c>
      <c r="U1355" s="2" t="s">
        <v>2901</v>
      </c>
      <c r="AC1355" s="2" t="s">
        <v>1540</v>
      </c>
      <c r="AH1355" s="2" t="s">
        <v>1541</v>
      </c>
      <c r="AN1355" s="2" t="s">
        <v>2159</v>
      </c>
    </row>
    <row r="1356" ht="15.75" customHeight="1">
      <c r="A1356" s="2" t="s">
        <v>10269</v>
      </c>
      <c r="B1356" s="2" t="s">
        <v>1361</v>
      </c>
      <c r="C1356" s="2">
        <v>2012.0</v>
      </c>
      <c r="D1356" s="2" t="s">
        <v>10270</v>
      </c>
      <c r="E1356" s="2" t="s">
        <v>10271</v>
      </c>
      <c r="F1356" s="2" t="s">
        <v>1380</v>
      </c>
      <c r="H1356" s="2" t="s">
        <v>2856</v>
      </c>
      <c r="I1356" s="2" t="s">
        <v>10272</v>
      </c>
      <c r="J1356" s="2" t="s">
        <v>10273</v>
      </c>
      <c r="L1356" s="2" t="s">
        <v>10274</v>
      </c>
      <c r="M1356" s="2" t="s">
        <v>10275</v>
      </c>
      <c r="N1356" s="2" t="s">
        <v>10276</v>
      </c>
      <c r="O1356" s="2" t="s">
        <v>7496</v>
      </c>
      <c r="P1356" s="2" t="s">
        <v>10277</v>
      </c>
      <c r="R1356" s="2">
        <v>7415.0</v>
      </c>
      <c r="S1356" s="2">
        <v>489.0</v>
      </c>
      <c r="U1356" s="2" t="s">
        <v>1380</v>
      </c>
      <c r="AC1356" s="2" t="s">
        <v>1540</v>
      </c>
      <c r="AH1356" s="2" t="s">
        <v>1541</v>
      </c>
      <c r="AN1356" s="2" t="s">
        <v>1872</v>
      </c>
    </row>
    <row r="1357" ht="15.75" customHeight="1">
      <c r="A1357" s="2" t="s">
        <v>10278</v>
      </c>
      <c r="B1357" s="2" t="s">
        <v>1361</v>
      </c>
      <c r="C1357" s="2">
        <v>2014.0</v>
      </c>
      <c r="D1357" s="2" t="s">
        <v>10279</v>
      </c>
      <c r="E1357" s="2" t="s">
        <v>10280</v>
      </c>
      <c r="F1357" s="2" t="s">
        <v>1380</v>
      </c>
      <c r="H1357" s="2" t="s">
        <v>2856</v>
      </c>
      <c r="I1357" s="2" t="s">
        <v>10281</v>
      </c>
      <c r="J1357" s="2" t="s">
        <v>10282</v>
      </c>
      <c r="L1357" s="2" t="s">
        <v>10283</v>
      </c>
      <c r="M1357" s="2" t="s">
        <v>10284</v>
      </c>
      <c r="N1357" s="2" t="s">
        <v>10285</v>
      </c>
      <c r="O1357" s="2" t="s">
        <v>10286</v>
      </c>
      <c r="P1357" s="2" t="s">
        <v>10287</v>
      </c>
      <c r="R1357" s="2">
        <v>7517.0</v>
      </c>
      <c r="S1357" s="2">
        <v>513.0</v>
      </c>
      <c r="U1357" s="2" t="s">
        <v>1380</v>
      </c>
      <c r="AC1357" s="2" t="s">
        <v>1540</v>
      </c>
      <c r="AH1357" s="2" t="s">
        <v>1541</v>
      </c>
      <c r="AN1357" s="2" t="s">
        <v>1872</v>
      </c>
    </row>
    <row r="1358" ht="15.75" customHeight="1">
      <c r="A1358" s="2" t="s">
        <v>10288</v>
      </c>
      <c r="B1358" s="2" t="s">
        <v>1361</v>
      </c>
      <c r="C1358" s="2">
        <v>2008.0</v>
      </c>
      <c r="D1358" s="2" t="s">
        <v>10289</v>
      </c>
      <c r="E1358" s="2" t="s">
        <v>10290</v>
      </c>
      <c r="F1358" s="2" t="s">
        <v>1760</v>
      </c>
      <c r="H1358" s="2" t="s">
        <v>7711</v>
      </c>
      <c r="I1358" s="2" t="s">
        <v>10291</v>
      </c>
      <c r="K1358" s="2" t="s">
        <v>10292</v>
      </c>
      <c r="L1358" s="2" t="s">
        <v>1458</v>
      </c>
      <c r="M1358" s="2" t="s">
        <v>1385</v>
      </c>
      <c r="N1358" s="2" t="s">
        <v>1386</v>
      </c>
      <c r="P1358" s="2" t="s">
        <v>10293</v>
      </c>
      <c r="R1358" s="2">
        <v>3.0</v>
      </c>
      <c r="S1358" s="2">
        <v>65.0</v>
      </c>
      <c r="AN1358" s="2" t="s">
        <v>1368</v>
      </c>
    </row>
    <row r="1359" ht="15.75" customHeight="1">
      <c r="A1359" s="2" t="s">
        <v>10294</v>
      </c>
      <c r="B1359" s="2" t="s">
        <v>1361</v>
      </c>
      <c r="C1359" s="2">
        <v>2001.0</v>
      </c>
      <c r="D1359" s="2" t="s">
        <v>10295</v>
      </c>
      <c r="E1359" s="2" t="s">
        <v>10296</v>
      </c>
      <c r="F1359" s="2" t="s">
        <v>10297</v>
      </c>
      <c r="H1359" s="2" t="s">
        <v>10298</v>
      </c>
      <c r="I1359" s="2" t="s">
        <v>10299</v>
      </c>
      <c r="K1359" s="2" t="s">
        <v>10300</v>
      </c>
      <c r="L1359" s="2" t="s">
        <v>1414</v>
      </c>
      <c r="M1359" s="2" t="s">
        <v>1385</v>
      </c>
      <c r="N1359" s="2" t="s">
        <v>1386</v>
      </c>
      <c r="P1359" s="2" t="s">
        <v>10301</v>
      </c>
      <c r="R1359" s="2">
        <v>5.0</v>
      </c>
      <c r="S1359" s="2">
        <v>20.0</v>
      </c>
      <c r="AN1359" s="2" t="s">
        <v>1368</v>
      </c>
    </row>
    <row r="1360" ht="15.75" customHeight="1">
      <c r="A1360" s="2" t="s">
        <v>10302</v>
      </c>
      <c r="B1360" s="2" t="s">
        <v>1361</v>
      </c>
      <c r="C1360" s="2">
        <v>2015.0</v>
      </c>
      <c r="D1360" s="2" t="s">
        <v>10303</v>
      </c>
      <c r="E1360" s="2" t="s">
        <v>307</v>
      </c>
      <c r="F1360" s="2" t="s">
        <v>1380</v>
      </c>
      <c r="H1360" s="2" t="s">
        <v>1381</v>
      </c>
      <c r="I1360" s="2" t="s">
        <v>309</v>
      </c>
      <c r="J1360" s="2" t="s">
        <v>10304</v>
      </c>
      <c r="K1360" s="2" t="s">
        <v>10305</v>
      </c>
      <c r="L1360" s="2" t="s">
        <v>1373</v>
      </c>
      <c r="M1360" s="2" t="s">
        <v>1385</v>
      </c>
      <c r="N1360" s="2" t="s">
        <v>1386</v>
      </c>
      <c r="P1360" s="2" t="s">
        <v>10306</v>
      </c>
      <c r="R1360" s="2">
        <v>7569.0</v>
      </c>
      <c r="S1360" s="2">
        <v>525.0</v>
      </c>
      <c r="AN1360" s="2" t="s">
        <v>2238</v>
      </c>
    </row>
    <row r="1361" ht="15.75" customHeight="1">
      <c r="A1361" s="2" t="s">
        <v>10307</v>
      </c>
      <c r="B1361" s="2" t="s">
        <v>1361</v>
      </c>
      <c r="C1361" s="2">
        <v>2018.0</v>
      </c>
      <c r="D1361" s="2" t="s">
        <v>10308</v>
      </c>
      <c r="E1361" s="2" t="s">
        <v>10309</v>
      </c>
      <c r="F1361" s="2" t="s">
        <v>1510</v>
      </c>
      <c r="H1361" s="2" t="s">
        <v>1917</v>
      </c>
      <c r="I1361" s="2" t="s">
        <v>10310</v>
      </c>
      <c r="J1361" s="2" t="s">
        <v>10311</v>
      </c>
      <c r="K1361" s="2" t="s">
        <v>10312</v>
      </c>
      <c r="L1361" s="2" t="s">
        <v>10313</v>
      </c>
      <c r="M1361" s="2" t="s">
        <v>1385</v>
      </c>
      <c r="N1361" s="2" t="s">
        <v>1386</v>
      </c>
      <c r="P1361" s="2" t="s">
        <v>10314</v>
      </c>
      <c r="R1361" s="2">
        <v>6378.0</v>
      </c>
      <c r="S1361" s="2">
        <v>359.0</v>
      </c>
      <c r="AN1361" s="2" t="s">
        <v>1368</v>
      </c>
    </row>
    <row r="1362" ht="15.75" customHeight="1">
      <c r="A1362" s="2" t="s">
        <v>10315</v>
      </c>
      <c r="B1362" s="2" t="s">
        <v>1396</v>
      </c>
      <c r="C1362" s="2">
        <v>2006.0</v>
      </c>
      <c r="D1362" s="2" t="s">
        <v>10316</v>
      </c>
      <c r="E1362" s="2" t="s">
        <v>10317</v>
      </c>
      <c r="G1362" s="2" t="s">
        <v>10318</v>
      </c>
      <c r="L1362" s="2" t="s">
        <v>1727</v>
      </c>
      <c r="M1362" s="2" t="s">
        <v>1385</v>
      </c>
      <c r="N1362" s="2" t="s">
        <v>1386</v>
      </c>
      <c r="AA1362" s="2" t="s">
        <v>10319</v>
      </c>
      <c r="AB1362" s="2" t="s">
        <v>9394</v>
      </c>
      <c r="AN1362" s="2" t="s">
        <v>1368</v>
      </c>
    </row>
    <row r="1363" ht="15.75" customHeight="1">
      <c r="A1363" s="2" t="s">
        <v>10320</v>
      </c>
      <c r="B1363" s="2" t="s">
        <v>1396</v>
      </c>
      <c r="C1363" s="2">
        <v>2018.0</v>
      </c>
      <c r="D1363" s="2" t="s">
        <v>10321</v>
      </c>
      <c r="E1363" s="2" t="s">
        <v>10322</v>
      </c>
      <c r="J1363" s="2" t="s">
        <v>10323</v>
      </c>
      <c r="L1363" s="2" t="s">
        <v>1420</v>
      </c>
      <c r="M1363" s="2" t="s">
        <v>1385</v>
      </c>
      <c r="N1363" s="2" t="s">
        <v>1386</v>
      </c>
      <c r="AN1363" s="2" t="s">
        <v>1368</v>
      </c>
    </row>
    <row r="1364" ht="15.75" customHeight="1">
      <c r="A1364" s="2" t="s">
        <v>10324</v>
      </c>
      <c r="B1364" s="2" t="s">
        <v>1361</v>
      </c>
      <c r="C1364" s="2">
        <v>2010.0</v>
      </c>
      <c r="D1364" s="2" t="s">
        <v>10325</v>
      </c>
      <c r="E1364" s="2" t="s">
        <v>825</v>
      </c>
      <c r="F1364" s="2" t="s">
        <v>1510</v>
      </c>
      <c r="H1364" s="2" t="s">
        <v>1511</v>
      </c>
      <c r="I1364" s="2" t="s">
        <v>827</v>
      </c>
      <c r="J1364" s="2" t="s">
        <v>10326</v>
      </c>
      <c r="K1364" s="2" t="s">
        <v>10327</v>
      </c>
      <c r="L1364" s="2" t="s">
        <v>7291</v>
      </c>
      <c r="M1364" s="2" t="s">
        <v>1385</v>
      </c>
      <c r="N1364" s="2" t="s">
        <v>1386</v>
      </c>
      <c r="P1364" s="2" t="s">
        <v>10328</v>
      </c>
      <c r="R1364" s="2">
        <v>5996.0</v>
      </c>
      <c r="S1364" s="2">
        <v>329.0</v>
      </c>
      <c r="AN1364" s="2" t="s">
        <v>1368</v>
      </c>
    </row>
    <row r="1365" ht="15.75" customHeight="1">
      <c r="A1365" s="2" t="s">
        <v>10329</v>
      </c>
      <c r="B1365" s="2" t="s">
        <v>1396</v>
      </c>
      <c r="C1365" s="2">
        <v>2009.0</v>
      </c>
      <c r="D1365" s="2" t="s">
        <v>10330</v>
      </c>
      <c r="E1365" s="2" t="s">
        <v>10331</v>
      </c>
      <c r="G1365" s="2" t="s">
        <v>10332</v>
      </c>
      <c r="L1365" s="2" t="s">
        <v>1364</v>
      </c>
      <c r="M1365" s="2" t="s">
        <v>1385</v>
      </c>
      <c r="N1365" s="2" t="s">
        <v>1386</v>
      </c>
      <c r="AA1365" s="2" t="s">
        <v>10333</v>
      </c>
      <c r="AN1365" s="2" t="s">
        <v>1368</v>
      </c>
    </row>
    <row r="1366" ht="15.75" customHeight="1">
      <c r="A1366" s="2" t="s">
        <v>10334</v>
      </c>
      <c r="B1366" s="2" t="s">
        <v>1396</v>
      </c>
      <c r="C1366" s="2">
        <v>2006.0</v>
      </c>
      <c r="D1366" s="2" t="s">
        <v>10335</v>
      </c>
      <c r="E1366" s="2" t="s">
        <v>10336</v>
      </c>
      <c r="G1366" s="2" t="s">
        <v>10337</v>
      </c>
      <c r="L1366" s="2" t="s">
        <v>1727</v>
      </c>
      <c r="M1366" s="2" t="s">
        <v>1385</v>
      </c>
      <c r="N1366" s="2" t="s">
        <v>1386</v>
      </c>
      <c r="Q1366" s="2">
        <v>328.0</v>
      </c>
      <c r="AA1366" s="2" t="s">
        <v>2993</v>
      </c>
      <c r="AN1366" s="2" t="s">
        <v>1368</v>
      </c>
    </row>
    <row r="1367" ht="15.75" customHeight="1">
      <c r="A1367" s="2" t="s">
        <v>10338</v>
      </c>
      <c r="B1367" s="2" t="s">
        <v>1766</v>
      </c>
      <c r="C1367" s="2">
        <v>2018.0</v>
      </c>
      <c r="D1367" s="2" t="s">
        <v>10339</v>
      </c>
      <c r="E1367" s="2" t="s">
        <v>10340</v>
      </c>
      <c r="F1367" s="2" t="s">
        <v>10341</v>
      </c>
      <c r="L1367" s="2" t="s">
        <v>1420</v>
      </c>
      <c r="M1367" s="2" t="s">
        <v>1385</v>
      </c>
      <c r="N1367" s="2" t="s">
        <v>1386</v>
      </c>
      <c r="AA1367" s="2" t="s">
        <v>4843</v>
      </c>
      <c r="AB1367" s="2" t="s">
        <v>1629</v>
      </c>
      <c r="AN1367" s="2" t="s">
        <v>1368</v>
      </c>
      <c r="AP1367" s="2" t="s">
        <v>10342</v>
      </c>
    </row>
    <row r="1368" ht="15.75" customHeight="1">
      <c r="A1368" s="2" t="s">
        <v>10343</v>
      </c>
      <c r="B1368" s="2" t="s">
        <v>1361</v>
      </c>
      <c r="C1368" s="2">
        <v>1966.0</v>
      </c>
      <c r="D1368" s="2" t="s">
        <v>10344</v>
      </c>
      <c r="E1368" s="2" t="s">
        <v>10345</v>
      </c>
      <c r="F1368" s="2" t="s">
        <v>7068</v>
      </c>
      <c r="H1368" s="2" t="s">
        <v>10346</v>
      </c>
      <c r="I1368" s="2" t="s">
        <v>10347</v>
      </c>
      <c r="K1368" s="2" t="s">
        <v>10348</v>
      </c>
      <c r="L1368" s="2" t="s">
        <v>7887</v>
      </c>
      <c r="M1368" s="2" t="s">
        <v>1385</v>
      </c>
      <c r="N1368" s="2" t="s">
        <v>1386</v>
      </c>
      <c r="AN1368" s="2" t="s">
        <v>1368</v>
      </c>
    </row>
    <row r="1369" ht="15.75" customHeight="1">
      <c r="A1369" s="2" t="s">
        <v>10349</v>
      </c>
      <c r="B1369" s="2" t="s">
        <v>1361</v>
      </c>
      <c r="C1369" s="2">
        <v>2010.0</v>
      </c>
      <c r="D1369" s="2" t="s">
        <v>10350</v>
      </c>
      <c r="E1369" s="2" t="s">
        <v>10351</v>
      </c>
      <c r="F1369" s="2" t="s">
        <v>10352</v>
      </c>
      <c r="H1369" s="2" t="s">
        <v>10353</v>
      </c>
      <c r="I1369" s="2" t="s">
        <v>10354</v>
      </c>
      <c r="K1369" s="2" t="s">
        <v>10355</v>
      </c>
      <c r="L1369" s="2" t="s">
        <v>1449</v>
      </c>
      <c r="M1369" s="2" t="s">
        <v>1385</v>
      </c>
      <c r="N1369" s="2" t="s">
        <v>1386</v>
      </c>
      <c r="P1369" s="2" t="s">
        <v>10356</v>
      </c>
      <c r="R1369" s="2">
        <v>37.0</v>
      </c>
      <c r="S1369" s="2">
        <v>44.0</v>
      </c>
      <c r="AN1369" s="2" t="s">
        <v>1368</v>
      </c>
    </row>
    <row r="1370" ht="15.75" customHeight="1">
      <c r="A1370" s="2" t="s">
        <v>10357</v>
      </c>
      <c r="B1370" s="2" t="s">
        <v>1766</v>
      </c>
      <c r="C1370" s="2">
        <v>2014.0</v>
      </c>
      <c r="D1370" s="2" t="s">
        <v>10358</v>
      </c>
      <c r="E1370" s="2" t="s">
        <v>10359</v>
      </c>
      <c r="F1370" s="2" t="s">
        <v>10360</v>
      </c>
      <c r="L1370" s="2" t="s">
        <v>1476</v>
      </c>
      <c r="M1370" s="2" t="s">
        <v>1385</v>
      </c>
      <c r="N1370" s="2" t="s">
        <v>1386</v>
      </c>
      <c r="P1370" s="2" t="s">
        <v>10361</v>
      </c>
      <c r="AA1370" s="2" t="s">
        <v>1771</v>
      </c>
      <c r="AN1370" s="2" t="s">
        <v>1368</v>
      </c>
    </row>
    <row r="1371" ht="15.75" customHeight="1">
      <c r="A1371" s="2" t="s">
        <v>10362</v>
      </c>
      <c r="B1371" s="2" t="s">
        <v>1361</v>
      </c>
      <c r="C1371" s="2">
        <v>2018.0</v>
      </c>
      <c r="D1371" s="2" t="s">
        <v>10363</v>
      </c>
      <c r="E1371" s="2" t="s">
        <v>10364</v>
      </c>
      <c r="F1371" s="2" t="s">
        <v>2650</v>
      </c>
      <c r="H1371" s="2" t="s">
        <v>10365</v>
      </c>
      <c r="I1371" s="2" t="s">
        <v>10366</v>
      </c>
      <c r="K1371" s="2" t="s">
        <v>10367</v>
      </c>
      <c r="L1371" s="2" t="s">
        <v>1420</v>
      </c>
      <c r="M1371" s="2" t="s">
        <v>1385</v>
      </c>
      <c r="N1371" s="2" t="s">
        <v>1386</v>
      </c>
      <c r="P1371" s="2" t="s">
        <v>10368</v>
      </c>
      <c r="R1371" s="2">
        <v>6.0</v>
      </c>
      <c r="S1371" s="2">
        <v>8.0</v>
      </c>
      <c r="AN1371" s="2" t="s">
        <v>1368</v>
      </c>
    </row>
    <row r="1372" ht="15.75" customHeight="1">
      <c r="A1372" s="2" t="s">
        <v>10369</v>
      </c>
      <c r="B1372" s="2" t="s">
        <v>1361</v>
      </c>
      <c r="C1372" s="2">
        <v>2000.0</v>
      </c>
      <c r="D1372" s="2" t="s">
        <v>10370</v>
      </c>
      <c r="E1372" s="2" t="s">
        <v>1234</v>
      </c>
      <c r="F1372" s="2" t="s">
        <v>5024</v>
      </c>
      <c r="H1372" s="2" t="s">
        <v>6987</v>
      </c>
      <c r="I1372" s="2" t="s">
        <v>1237</v>
      </c>
      <c r="K1372" s="2" t="s">
        <v>10371</v>
      </c>
      <c r="L1372" s="2" t="s">
        <v>2429</v>
      </c>
      <c r="M1372" s="2" t="s">
        <v>1385</v>
      </c>
      <c r="N1372" s="2" t="s">
        <v>1386</v>
      </c>
      <c r="AN1372" s="2" t="s">
        <v>1368</v>
      </c>
    </row>
    <row r="1373" ht="15.75" customHeight="1">
      <c r="A1373" s="2" t="s">
        <v>10372</v>
      </c>
      <c r="B1373" s="2" t="s">
        <v>1396</v>
      </c>
      <c r="C1373" s="2">
        <v>1998.0</v>
      </c>
      <c r="D1373" s="2" t="s">
        <v>10373</v>
      </c>
      <c r="E1373" s="2" t="s">
        <v>10374</v>
      </c>
      <c r="L1373" s="2" t="s">
        <v>1958</v>
      </c>
      <c r="M1373" s="2" t="s">
        <v>1385</v>
      </c>
      <c r="N1373" s="2" t="s">
        <v>1386</v>
      </c>
      <c r="AA1373" s="2" t="s">
        <v>10375</v>
      </c>
      <c r="AN1373" s="2" t="s">
        <v>1368</v>
      </c>
    </row>
    <row r="1374" ht="15.75" customHeight="1">
      <c r="A1374" s="2" t="s">
        <v>10376</v>
      </c>
      <c r="B1374" s="2" t="s">
        <v>1361</v>
      </c>
      <c r="C1374" s="2">
        <v>2014.0</v>
      </c>
      <c r="D1374" s="2" t="s">
        <v>10377</v>
      </c>
      <c r="E1374" s="2" t="s">
        <v>10378</v>
      </c>
      <c r="F1374" s="2" t="s">
        <v>3247</v>
      </c>
      <c r="H1374" s="2" t="s">
        <v>3248</v>
      </c>
      <c r="I1374" s="2" t="s">
        <v>10379</v>
      </c>
      <c r="K1374" s="2" t="s">
        <v>10380</v>
      </c>
      <c r="L1374" s="2" t="s">
        <v>1476</v>
      </c>
      <c r="M1374" s="2" t="s">
        <v>1385</v>
      </c>
      <c r="N1374" s="2" t="s">
        <v>1386</v>
      </c>
      <c r="AN1374" s="2" t="s">
        <v>1368</v>
      </c>
    </row>
    <row r="1375" ht="15.75" customHeight="1">
      <c r="A1375" s="2" t="s">
        <v>10381</v>
      </c>
      <c r="B1375" s="2" t="s">
        <v>1361</v>
      </c>
      <c r="C1375" s="2">
        <v>1986.0</v>
      </c>
      <c r="D1375" s="2" t="s">
        <v>10382</v>
      </c>
      <c r="E1375" s="2" t="s">
        <v>10383</v>
      </c>
      <c r="F1375" s="2" t="s">
        <v>1825</v>
      </c>
      <c r="H1375" s="2" t="s">
        <v>4358</v>
      </c>
      <c r="I1375" s="2" t="s">
        <v>10384</v>
      </c>
      <c r="K1375" s="2" t="s">
        <v>10385</v>
      </c>
      <c r="L1375" s="2" t="s">
        <v>3288</v>
      </c>
      <c r="M1375" s="2" t="s">
        <v>1385</v>
      </c>
      <c r="N1375" s="2" t="s">
        <v>1386</v>
      </c>
      <c r="AN1375" s="2" t="s">
        <v>1368</v>
      </c>
    </row>
    <row r="1376" ht="15.75" customHeight="1">
      <c r="A1376" s="2" t="s">
        <v>10386</v>
      </c>
      <c r="B1376" s="2" t="s">
        <v>1361</v>
      </c>
      <c r="C1376" s="2">
        <v>2017.0</v>
      </c>
      <c r="D1376" s="2" t="s">
        <v>10387</v>
      </c>
      <c r="E1376" s="2" t="s">
        <v>10388</v>
      </c>
      <c r="F1376" s="2" t="s">
        <v>10389</v>
      </c>
      <c r="I1376" s="2" t="s">
        <v>10390</v>
      </c>
      <c r="L1376" s="2" t="s">
        <v>1658</v>
      </c>
      <c r="M1376" s="2" t="s">
        <v>1385</v>
      </c>
      <c r="N1376" s="2" t="s">
        <v>1386</v>
      </c>
      <c r="AN1376" s="2" t="s">
        <v>1368</v>
      </c>
    </row>
    <row r="1377" ht="15.75" customHeight="1">
      <c r="A1377" s="2" t="s">
        <v>10391</v>
      </c>
      <c r="B1377" s="2" t="s">
        <v>1361</v>
      </c>
      <c r="C1377" s="2">
        <v>1989.0</v>
      </c>
      <c r="D1377" s="2" t="s">
        <v>10392</v>
      </c>
      <c r="E1377" s="2" t="s">
        <v>10393</v>
      </c>
      <c r="F1377" s="2" t="s">
        <v>10394</v>
      </c>
      <c r="I1377" s="2" t="s">
        <v>10395</v>
      </c>
      <c r="K1377" s="2" t="s">
        <v>10396</v>
      </c>
      <c r="L1377" s="2" t="s">
        <v>2701</v>
      </c>
      <c r="M1377" s="2" t="s">
        <v>1385</v>
      </c>
      <c r="N1377" s="2" t="s">
        <v>1386</v>
      </c>
      <c r="AN1377" s="2" t="s">
        <v>1368</v>
      </c>
    </row>
    <row r="1378" ht="15.75" customHeight="1">
      <c r="A1378" s="2" t="s">
        <v>10397</v>
      </c>
      <c r="B1378" s="2" t="s">
        <v>1766</v>
      </c>
      <c r="C1378" s="2">
        <v>2015.0</v>
      </c>
      <c r="D1378" s="2" t="s">
        <v>10398</v>
      </c>
      <c r="E1378" s="2" t="s">
        <v>10399</v>
      </c>
      <c r="F1378" s="2" t="s">
        <v>10400</v>
      </c>
      <c r="G1378" s="2" t="s">
        <v>10401</v>
      </c>
      <c r="L1378" s="2" t="s">
        <v>1373</v>
      </c>
      <c r="M1378" s="2" t="s">
        <v>1385</v>
      </c>
      <c r="N1378" s="2" t="s">
        <v>1386</v>
      </c>
      <c r="P1378" s="2" t="s">
        <v>10402</v>
      </c>
      <c r="AA1378" s="2" t="s">
        <v>10403</v>
      </c>
      <c r="AB1378" s="2" t="s">
        <v>10404</v>
      </c>
      <c r="AN1378" s="2" t="s">
        <v>1368</v>
      </c>
    </row>
    <row r="1379" ht="15.75" customHeight="1">
      <c r="A1379" s="2" t="s">
        <v>10405</v>
      </c>
      <c r="B1379" s="2" t="s">
        <v>1361</v>
      </c>
      <c r="C1379" s="2">
        <v>2016.0</v>
      </c>
      <c r="D1379" s="2" t="s">
        <v>10406</v>
      </c>
      <c r="E1379" s="2" t="s">
        <v>10407</v>
      </c>
      <c r="F1379" s="2" t="s">
        <v>2267</v>
      </c>
      <c r="H1379" s="2" t="s">
        <v>6932</v>
      </c>
      <c r="I1379" s="2" t="s">
        <v>95</v>
      </c>
      <c r="K1379" s="2" t="s">
        <v>10408</v>
      </c>
      <c r="L1379" s="2" t="s">
        <v>7676</v>
      </c>
      <c r="M1379" s="2" t="s">
        <v>1385</v>
      </c>
      <c r="N1379" s="2" t="s">
        <v>1386</v>
      </c>
      <c r="P1379" s="2" t="s">
        <v>10409</v>
      </c>
      <c r="R1379" s="2">
        <v>7.0</v>
      </c>
      <c r="S1379" s="2">
        <v>98.0</v>
      </c>
      <c r="AN1379" s="2" t="s">
        <v>1368</v>
      </c>
    </row>
    <row r="1380" ht="15.75" customHeight="1">
      <c r="A1380" s="2" t="s">
        <v>10410</v>
      </c>
      <c r="B1380" s="2" t="s">
        <v>1396</v>
      </c>
      <c r="C1380" s="2">
        <v>2009.0</v>
      </c>
      <c r="D1380" s="2" t="s">
        <v>10411</v>
      </c>
      <c r="E1380" s="2" t="s">
        <v>10412</v>
      </c>
      <c r="L1380" s="2" t="s">
        <v>1364</v>
      </c>
      <c r="M1380" s="2" t="s">
        <v>1385</v>
      </c>
      <c r="N1380" s="2" t="s">
        <v>1386</v>
      </c>
      <c r="AA1380" s="2" t="s">
        <v>10413</v>
      </c>
      <c r="AN1380" s="2" t="s">
        <v>1368</v>
      </c>
    </row>
    <row r="1381" ht="15.75" customHeight="1">
      <c r="A1381" s="2" t="s">
        <v>10414</v>
      </c>
      <c r="B1381" s="2" t="s">
        <v>1396</v>
      </c>
      <c r="C1381" s="2">
        <v>2006.0</v>
      </c>
      <c r="D1381" s="2" t="s">
        <v>10415</v>
      </c>
      <c r="E1381" s="2" t="s">
        <v>10416</v>
      </c>
      <c r="G1381" s="2" t="s">
        <v>10417</v>
      </c>
      <c r="K1381" s="2" t="s">
        <v>10418</v>
      </c>
      <c r="L1381" s="2" t="s">
        <v>1727</v>
      </c>
      <c r="M1381" s="2" t="s">
        <v>1385</v>
      </c>
      <c r="N1381" s="2" t="s">
        <v>1386</v>
      </c>
      <c r="Q1381" s="2">
        <v>292.0</v>
      </c>
      <c r="AA1381" s="2" t="s">
        <v>10419</v>
      </c>
      <c r="AN1381" s="2" t="s">
        <v>1368</v>
      </c>
    </row>
    <row r="1382" ht="15.75" customHeight="1">
      <c r="A1382" s="2" t="s">
        <v>10420</v>
      </c>
      <c r="B1382" s="2" t="s">
        <v>1361</v>
      </c>
      <c r="C1382" s="2">
        <v>2009.0</v>
      </c>
      <c r="D1382" s="2" t="s">
        <v>10421</v>
      </c>
      <c r="E1382" s="2" t="s">
        <v>10422</v>
      </c>
      <c r="F1382" s="2" t="s">
        <v>3148</v>
      </c>
      <c r="H1382" s="2" t="s">
        <v>9825</v>
      </c>
      <c r="I1382" s="2" t="s">
        <v>10423</v>
      </c>
      <c r="K1382" s="2" t="s">
        <v>10424</v>
      </c>
      <c r="L1382" s="2" t="s">
        <v>1364</v>
      </c>
      <c r="M1382" s="2" t="s">
        <v>1385</v>
      </c>
      <c r="N1382" s="2" t="s">
        <v>1386</v>
      </c>
      <c r="P1382" s="2" t="s">
        <v>10425</v>
      </c>
      <c r="R1382" s="2">
        <v>4.0</v>
      </c>
      <c r="S1382" s="2">
        <v>57.0</v>
      </c>
      <c r="AN1382" s="2" t="s">
        <v>1368</v>
      </c>
    </row>
    <row r="1383" ht="15.75" customHeight="1">
      <c r="A1383" s="2" t="s">
        <v>10426</v>
      </c>
      <c r="B1383" s="2" t="s">
        <v>1361</v>
      </c>
      <c r="C1383" s="2">
        <v>2015.0</v>
      </c>
      <c r="D1383" s="2" t="s">
        <v>10427</v>
      </c>
      <c r="E1383" s="2" t="s">
        <v>314</v>
      </c>
      <c r="F1383" s="2" t="s">
        <v>2641</v>
      </c>
      <c r="H1383" s="2" t="s">
        <v>5876</v>
      </c>
      <c r="I1383" s="2" t="s">
        <v>317</v>
      </c>
      <c r="L1383" s="2" t="s">
        <v>2220</v>
      </c>
      <c r="M1383" s="2" t="s">
        <v>1385</v>
      </c>
      <c r="N1383" s="2" t="s">
        <v>1386</v>
      </c>
      <c r="P1383" s="2" t="s">
        <v>10428</v>
      </c>
      <c r="R1383" s="2">
        <v>9.0</v>
      </c>
      <c r="S1383" s="2">
        <v>10.0</v>
      </c>
      <c r="AN1383" s="2" t="s">
        <v>1368</v>
      </c>
    </row>
    <row r="1384" ht="15.75" customHeight="1">
      <c r="A1384" s="2" t="s">
        <v>10429</v>
      </c>
      <c r="B1384" s="2" t="s">
        <v>1361</v>
      </c>
      <c r="C1384" s="2">
        <v>2007.0</v>
      </c>
      <c r="D1384" s="2" t="s">
        <v>10430</v>
      </c>
      <c r="E1384" s="2" t="s">
        <v>1028</v>
      </c>
      <c r="F1384" s="2" t="s">
        <v>1688</v>
      </c>
      <c r="H1384" s="2" t="s">
        <v>1689</v>
      </c>
      <c r="I1384" s="2" t="s">
        <v>1030</v>
      </c>
      <c r="K1384" s="2" t="s">
        <v>10431</v>
      </c>
      <c r="L1384" s="2" t="s">
        <v>2380</v>
      </c>
      <c r="M1384" s="2" t="s">
        <v>1385</v>
      </c>
      <c r="N1384" s="2" t="s">
        <v>1386</v>
      </c>
      <c r="P1384" s="2" t="s">
        <v>10432</v>
      </c>
      <c r="R1384" s="2">
        <v>21.0</v>
      </c>
      <c r="S1384" s="2">
        <v>104.0</v>
      </c>
      <c r="AN1384" s="2" t="s">
        <v>1368</v>
      </c>
    </row>
    <row r="1385" ht="15.75" customHeight="1">
      <c r="A1385" s="2" t="s">
        <v>10433</v>
      </c>
      <c r="B1385" s="2" t="s">
        <v>1361</v>
      </c>
      <c r="C1385" s="2">
        <v>2015.0</v>
      </c>
      <c r="D1385" s="2" t="s">
        <v>10434</v>
      </c>
      <c r="E1385" s="2" t="s">
        <v>10435</v>
      </c>
      <c r="F1385" s="2" t="s">
        <v>10436</v>
      </c>
      <c r="H1385" s="2" t="s">
        <v>10437</v>
      </c>
      <c r="I1385" s="2" t="s">
        <v>10438</v>
      </c>
      <c r="K1385" s="2" t="s">
        <v>10439</v>
      </c>
      <c r="L1385" s="2" t="s">
        <v>1373</v>
      </c>
      <c r="M1385" s="2" t="s">
        <v>1385</v>
      </c>
      <c r="N1385" s="2" t="s">
        <v>1386</v>
      </c>
      <c r="AN1385" s="2" t="s">
        <v>1368</v>
      </c>
    </row>
    <row r="1386" ht="15.75" customHeight="1">
      <c r="A1386" s="2" t="s">
        <v>10440</v>
      </c>
      <c r="B1386" s="2" t="s">
        <v>1396</v>
      </c>
      <c r="C1386" s="2">
        <v>2008.0</v>
      </c>
      <c r="D1386" s="2" t="s">
        <v>10441</v>
      </c>
      <c r="E1386" s="2" t="s">
        <v>10442</v>
      </c>
      <c r="L1386" s="2" t="s">
        <v>1458</v>
      </c>
      <c r="M1386" s="2" t="s">
        <v>1385</v>
      </c>
      <c r="N1386" s="2" t="s">
        <v>1386</v>
      </c>
      <c r="S1386" s="2">
        <v>5.0</v>
      </c>
      <c r="AA1386" s="2" t="s">
        <v>10443</v>
      </c>
      <c r="AN1386" s="2" t="s">
        <v>1368</v>
      </c>
    </row>
    <row r="1387" ht="15.75" customHeight="1">
      <c r="A1387" s="2" t="s">
        <v>10444</v>
      </c>
      <c r="B1387" s="2" t="s">
        <v>1361</v>
      </c>
      <c r="C1387" s="2">
        <v>2005.0</v>
      </c>
      <c r="D1387" s="2" t="s">
        <v>10445</v>
      </c>
      <c r="E1387" s="2" t="s">
        <v>10446</v>
      </c>
      <c r="F1387" s="2" t="s">
        <v>10447</v>
      </c>
      <c r="H1387" s="2" t="s">
        <v>10448</v>
      </c>
      <c r="I1387" s="2" t="s">
        <v>10449</v>
      </c>
      <c r="K1387" s="2" t="s">
        <v>10450</v>
      </c>
      <c r="L1387" s="2" t="s">
        <v>10451</v>
      </c>
      <c r="M1387" s="2" t="s">
        <v>1385</v>
      </c>
      <c r="N1387" s="2" t="s">
        <v>1386</v>
      </c>
      <c r="P1387" s="2" t="s">
        <v>10452</v>
      </c>
      <c r="R1387" s="2">
        <v>3.0</v>
      </c>
      <c r="S1387" s="2">
        <v>12.0</v>
      </c>
      <c r="AN1387" s="2" t="s">
        <v>1368</v>
      </c>
    </row>
    <row r="1388" ht="15.75" customHeight="1">
      <c r="A1388" s="2" t="s">
        <v>10453</v>
      </c>
      <c r="B1388" s="2" t="s">
        <v>1361</v>
      </c>
      <c r="C1388" s="2">
        <v>2013.0</v>
      </c>
      <c r="D1388" s="2" t="s">
        <v>10454</v>
      </c>
      <c r="E1388" s="2" t="s">
        <v>10455</v>
      </c>
      <c r="F1388" s="2" t="s">
        <v>2641</v>
      </c>
      <c r="H1388" s="2" t="s">
        <v>5876</v>
      </c>
      <c r="I1388" s="2" t="s">
        <v>620</v>
      </c>
      <c r="K1388" s="2" t="s">
        <v>10456</v>
      </c>
      <c r="L1388" s="2" t="s">
        <v>1429</v>
      </c>
      <c r="M1388" s="2" t="s">
        <v>1385</v>
      </c>
      <c r="N1388" s="2" t="s">
        <v>1386</v>
      </c>
      <c r="AN1388" s="2" t="s">
        <v>1368</v>
      </c>
    </row>
    <row r="1389" ht="15.75" customHeight="1">
      <c r="A1389" s="2" t="s">
        <v>10457</v>
      </c>
      <c r="B1389" s="2" t="s">
        <v>1361</v>
      </c>
      <c r="C1389" s="2">
        <v>2011.0</v>
      </c>
      <c r="D1389" s="2" t="s">
        <v>10458</v>
      </c>
      <c r="E1389" s="2" t="s">
        <v>10459</v>
      </c>
      <c r="F1389" s="2" t="s">
        <v>8164</v>
      </c>
      <c r="H1389" s="2" t="s">
        <v>10460</v>
      </c>
      <c r="I1389" s="2" t="s">
        <v>10461</v>
      </c>
      <c r="K1389" s="2" t="s">
        <v>10462</v>
      </c>
      <c r="L1389" s="2" t="s">
        <v>1627</v>
      </c>
      <c r="M1389" s="2" t="s">
        <v>1385</v>
      </c>
      <c r="N1389" s="2" t="s">
        <v>1386</v>
      </c>
      <c r="P1389" s="2" t="s">
        <v>10463</v>
      </c>
      <c r="R1389" s="2">
        <v>8.0</v>
      </c>
      <c r="S1389" s="2">
        <v>159.0</v>
      </c>
      <c r="AN1389" s="2" t="s">
        <v>1368</v>
      </c>
    </row>
    <row r="1390" ht="15.75" customHeight="1">
      <c r="A1390" s="2" t="s">
        <v>10464</v>
      </c>
      <c r="B1390" s="2" t="s">
        <v>1361</v>
      </c>
      <c r="C1390" s="2">
        <v>2014.0</v>
      </c>
      <c r="D1390" s="2" t="s">
        <v>10465</v>
      </c>
      <c r="E1390" s="2" t="s">
        <v>10466</v>
      </c>
      <c r="F1390" s="2" t="s">
        <v>10467</v>
      </c>
      <c r="H1390" s="2" t="s">
        <v>10468</v>
      </c>
      <c r="I1390" s="2" t="s">
        <v>10469</v>
      </c>
      <c r="K1390" s="2" t="s">
        <v>10470</v>
      </c>
      <c r="L1390" s="2" t="s">
        <v>1476</v>
      </c>
      <c r="M1390" s="2" t="s">
        <v>1385</v>
      </c>
      <c r="N1390" s="2" t="s">
        <v>1386</v>
      </c>
      <c r="P1390" s="2" t="s">
        <v>10471</v>
      </c>
      <c r="R1390" s="2">
        <v>1.0</v>
      </c>
      <c r="S1390" s="2">
        <v>7.0</v>
      </c>
      <c r="AN1390" s="2" t="s">
        <v>1368</v>
      </c>
    </row>
    <row r="1391" ht="15.75" customHeight="1">
      <c r="A1391" s="2" t="s">
        <v>10472</v>
      </c>
      <c r="B1391" s="2" t="s">
        <v>1396</v>
      </c>
      <c r="C1391" s="2">
        <v>1999.0</v>
      </c>
      <c r="D1391" s="2" t="s">
        <v>10473</v>
      </c>
      <c r="E1391" s="2" t="s">
        <v>10474</v>
      </c>
      <c r="L1391" s="2" t="s">
        <v>1434</v>
      </c>
      <c r="M1391" s="2" t="s">
        <v>1385</v>
      </c>
      <c r="N1391" s="2" t="s">
        <v>1386</v>
      </c>
      <c r="S1391" s="2">
        <v>22.0</v>
      </c>
      <c r="AA1391" s="2" t="s">
        <v>10475</v>
      </c>
      <c r="AN1391" s="2" t="s">
        <v>1368</v>
      </c>
    </row>
    <row r="1392" ht="15.75" customHeight="1">
      <c r="A1392" s="2" t="s">
        <v>10476</v>
      </c>
      <c r="B1392" s="2" t="s">
        <v>1361</v>
      </c>
      <c r="C1392" s="2">
        <v>2009.0</v>
      </c>
      <c r="D1392" s="2" t="s">
        <v>10477</v>
      </c>
      <c r="E1392" s="2" t="s">
        <v>10478</v>
      </c>
      <c r="F1392" s="2" t="s">
        <v>1760</v>
      </c>
      <c r="H1392" s="2" t="s">
        <v>1761</v>
      </c>
      <c r="I1392" s="2" t="s">
        <v>10479</v>
      </c>
      <c r="K1392" s="2" t="s">
        <v>10480</v>
      </c>
      <c r="L1392" s="2" t="s">
        <v>1364</v>
      </c>
      <c r="M1392" s="2" t="s">
        <v>1385</v>
      </c>
      <c r="N1392" s="2" t="s">
        <v>1386</v>
      </c>
      <c r="AN1392" s="2" t="s">
        <v>1368</v>
      </c>
    </row>
    <row r="1393" ht="15.75" customHeight="1">
      <c r="A1393" s="2" t="s">
        <v>10481</v>
      </c>
      <c r="B1393" s="2" t="s">
        <v>1766</v>
      </c>
      <c r="C1393" s="2">
        <v>2007.0</v>
      </c>
      <c r="D1393" s="2" t="s">
        <v>10482</v>
      </c>
      <c r="E1393" s="2" t="s">
        <v>10483</v>
      </c>
      <c r="F1393" s="2" t="s">
        <v>10484</v>
      </c>
      <c r="L1393" s="2" t="s">
        <v>2380</v>
      </c>
      <c r="M1393" s="2" t="s">
        <v>1385</v>
      </c>
      <c r="N1393" s="2" t="s">
        <v>1386</v>
      </c>
      <c r="P1393" s="2" t="s">
        <v>10485</v>
      </c>
      <c r="AN1393" s="2" t="s">
        <v>1368</v>
      </c>
    </row>
    <row r="1394" ht="15.75" customHeight="1">
      <c r="A1394" s="2" t="s">
        <v>10486</v>
      </c>
      <c r="B1394" s="2" t="s">
        <v>1361</v>
      </c>
      <c r="C1394" s="2">
        <v>2013.0</v>
      </c>
      <c r="D1394" s="2" t="s">
        <v>10487</v>
      </c>
      <c r="E1394" s="2" t="s">
        <v>10488</v>
      </c>
      <c r="F1394" s="2" t="s">
        <v>3224</v>
      </c>
      <c r="H1394" s="2" t="s">
        <v>3225</v>
      </c>
      <c r="I1394" s="2" t="s">
        <v>10489</v>
      </c>
      <c r="J1394" s="2" t="s">
        <v>10490</v>
      </c>
      <c r="K1394" s="2" t="s">
        <v>10491</v>
      </c>
      <c r="L1394" s="2" t="s">
        <v>10492</v>
      </c>
      <c r="M1394" s="2" t="s">
        <v>1385</v>
      </c>
      <c r="N1394" s="2" t="s">
        <v>1386</v>
      </c>
      <c r="P1394" s="2" t="s">
        <v>10493</v>
      </c>
      <c r="R1394" s="2">
        <v>2.0</v>
      </c>
      <c r="S1394" s="2">
        <v>51.0</v>
      </c>
      <c r="AN1394" s="2" t="s">
        <v>1368</v>
      </c>
    </row>
    <row r="1395" ht="15.75" customHeight="1">
      <c r="A1395" s="2" t="s">
        <v>10494</v>
      </c>
      <c r="B1395" s="2" t="s">
        <v>1361</v>
      </c>
      <c r="C1395" s="2">
        <v>2014.0</v>
      </c>
      <c r="D1395" s="2" t="s">
        <v>10495</v>
      </c>
      <c r="E1395" s="2" t="s">
        <v>473</v>
      </c>
      <c r="F1395" s="2" t="s">
        <v>10496</v>
      </c>
      <c r="H1395" s="2" t="s">
        <v>10497</v>
      </c>
      <c r="I1395" s="2" t="s">
        <v>476</v>
      </c>
      <c r="K1395" s="2" t="s">
        <v>10498</v>
      </c>
      <c r="L1395" s="2" t="s">
        <v>1476</v>
      </c>
      <c r="M1395" s="2" t="s">
        <v>1385</v>
      </c>
      <c r="N1395" s="2" t="s">
        <v>1386</v>
      </c>
      <c r="AN1395" s="2" t="s">
        <v>1368</v>
      </c>
    </row>
    <row r="1396" ht="15.75" customHeight="1">
      <c r="A1396" s="2" t="s">
        <v>10499</v>
      </c>
      <c r="B1396" s="2" t="s">
        <v>1361</v>
      </c>
      <c r="C1396" s="2">
        <v>2011.0</v>
      </c>
      <c r="D1396" s="2" t="s">
        <v>10500</v>
      </c>
      <c r="E1396" s="2" t="s">
        <v>10501</v>
      </c>
      <c r="F1396" s="2" t="s">
        <v>3047</v>
      </c>
      <c r="H1396" s="2" t="s">
        <v>3048</v>
      </c>
      <c r="I1396" s="2" t="s">
        <v>10502</v>
      </c>
      <c r="K1396" s="2" t="s">
        <v>10503</v>
      </c>
      <c r="L1396" s="2" t="s">
        <v>1627</v>
      </c>
      <c r="M1396" s="2" t="s">
        <v>1385</v>
      </c>
      <c r="N1396" s="2" t="s">
        <v>1386</v>
      </c>
      <c r="P1396" s="2" t="s">
        <v>2124</v>
      </c>
      <c r="AN1396" s="2" t="s">
        <v>1368</v>
      </c>
    </row>
    <row r="1397" ht="15.75" customHeight="1">
      <c r="A1397" s="2" t="s">
        <v>10504</v>
      </c>
      <c r="B1397" s="2" t="s">
        <v>1361</v>
      </c>
      <c r="C1397" s="2">
        <v>2005.0</v>
      </c>
      <c r="D1397" s="2" t="s">
        <v>10505</v>
      </c>
      <c r="E1397" s="2" t="s">
        <v>10506</v>
      </c>
      <c r="F1397" s="2" t="s">
        <v>10507</v>
      </c>
      <c r="H1397" s="2" t="s">
        <v>10508</v>
      </c>
      <c r="I1397" s="2" t="s">
        <v>10509</v>
      </c>
      <c r="K1397" s="2" t="s">
        <v>10510</v>
      </c>
      <c r="L1397" s="2" t="s">
        <v>1394</v>
      </c>
      <c r="M1397" s="2" t="s">
        <v>1385</v>
      </c>
      <c r="N1397" s="2" t="s">
        <v>1386</v>
      </c>
      <c r="P1397" s="2" t="s">
        <v>10511</v>
      </c>
      <c r="R1397" s="2">
        <v>5.0</v>
      </c>
      <c r="S1397" s="2">
        <v>87.0</v>
      </c>
      <c r="AN1397" s="2" t="s">
        <v>1368</v>
      </c>
    </row>
    <row r="1398" ht="15.75" customHeight="1">
      <c r="A1398" s="2" t="s">
        <v>10512</v>
      </c>
      <c r="B1398" s="2" t="s">
        <v>1361</v>
      </c>
      <c r="C1398" s="2">
        <v>2008.0</v>
      </c>
      <c r="D1398" s="2" t="s">
        <v>10513</v>
      </c>
      <c r="E1398" s="2" t="s">
        <v>998</v>
      </c>
      <c r="F1398" s="2" t="s">
        <v>4186</v>
      </c>
      <c r="H1398" s="2" t="s">
        <v>10514</v>
      </c>
      <c r="I1398" s="2" t="s">
        <v>1001</v>
      </c>
      <c r="K1398" s="2" t="s">
        <v>1000</v>
      </c>
      <c r="L1398" s="2" t="s">
        <v>1458</v>
      </c>
      <c r="M1398" s="2" t="s">
        <v>1385</v>
      </c>
      <c r="N1398" s="2" t="s">
        <v>1386</v>
      </c>
      <c r="AN1398" s="2" t="s">
        <v>1368</v>
      </c>
    </row>
    <row r="1399" ht="15.75" customHeight="1">
      <c r="A1399" s="2" t="s">
        <v>10515</v>
      </c>
      <c r="B1399" s="2" t="s">
        <v>1766</v>
      </c>
      <c r="C1399" s="2">
        <v>1997.0</v>
      </c>
      <c r="D1399" s="2" t="s">
        <v>10516</v>
      </c>
      <c r="E1399" s="2" t="s">
        <v>10517</v>
      </c>
      <c r="F1399" s="2" t="s">
        <v>10518</v>
      </c>
      <c r="L1399" s="2" t="s">
        <v>1804</v>
      </c>
      <c r="M1399" s="2" t="s">
        <v>1385</v>
      </c>
      <c r="N1399" s="2" t="s">
        <v>1386</v>
      </c>
      <c r="P1399" s="2" t="s">
        <v>10519</v>
      </c>
      <c r="AA1399" s="2" t="s">
        <v>1771</v>
      </c>
      <c r="AN1399" s="2" t="s">
        <v>1368</v>
      </c>
    </row>
    <row r="1400" ht="15.75" customHeight="1">
      <c r="A1400" s="2" t="s">
        <v>10520</v>
      </c>
      <c r="B1400" s="2" t="s">
        <v>1361</v>
      </c>
      <c r="C1400" s="2">
        <v>2005.0</v>
      </c>
      <c r="D1400" s="2" t="s">
        <v>10521</v>
      </c>
      <c r="E1400" s="2" t="s">
        <v>10522</v>
      </c>
      <c r="F1400" s="2" t="s">
        <v>10523</v>
      </c>
      <c r="H1400" s="2" t="s">
        <v>10524</v>
      </c>
      <c r="I1400" s="2" t="s">
        <v>10525</v>
      </c>
      <c r="K1400" s="2" t="s">
        <v>10526</v>
      </c>
      <c r="L1400" s="2" t="s">
        <v>1394</v>
      </c>
      <c r="M1400" s="2" t="s">
        <v>1385</v>
      </c>
      <c r="N1400" s="2" t="s">
        <v>1386</v>
      </c>
      <c r="P1400" s="2" t="s">
        <v>10527</v>
      </c>
      <c r="R1400" s="2">
        <v>2.0</v>
      </c>
      <c r="S1400" s="2">
        <v>21.0</v>
      </c>
      <c r="AN1400" s="2" t="s">
        <v>1368</v>
      </c>
    </row>
    <row r="1401" ht="15.75" customHeight="1">
      <c r="A1401" s="2" t="s">
        <v>10528</v>
      </c>
      <c r="B1401" s="2" t="s">
        <v>1361</v>
      </c>
      <c r="C1401" s="2">
        <v>1987.0</v>
      </c>
      <c r="D1401" s="2" t="s">
        <v>10529</v>
      </c>
      <c r="E1401" s="2" t="s">
        <v>10530</v>
      </c>
      <c r="F1401" s="2" t="s">
        <v>10531</v>
      </c>
      <c r="H1401" s="2" t="s">
        <v>10532</v>
      </c>
      <c r="I1401" s="2" t="s">
        <v>1270</v>
      </c>
      <c r="K1401" s="2" t="s">
        <v>1269</v>
      </c>
      <c r="L1401" s="2" t="s">
        <v>8724</v>
      </c>
      <c r="M1401" s="2" t="s">
        <v>1385</v>
      </c>
      <c r="N1401" s="2" t="s">
        <v>1386</v>
      </c>
      <c r="AN1401" s="2" t="s">
        <v>1368</v>
      </c>
    </row>
    <row r="1402" ht="15.75" customHeight="1">
      <c r="A1402" s="2" t="s">
        <v>10533</v>
      </c>
      <c r="B1402" s="2" t="s">
        <v>1361</v>
      </c>
      <c r="C1402" s="2">
        <v>2015.0</v>
      </c>
      <c r="D1402" s="2" t="s">
        <v>10534</v>
      </c>
      <c r="E1402" s="2" t="s">
        <v>10535</v>
      </c>
      <c r="F1402" s="2" t="s">
        <v>10536</v>
      </c>
      <c r="H1402" s="2" t="s">
        <v>10537</v>
      </c>
      <c r="I1402" s="2" t="s">
        <v>10538</v>
      </c>
      <c r="K1402" s="2" t="s">
        <v>10539</v>
      </c>
      <c r="L1402" s="2" t="s">
        <v>1373</v>
      </c>
      <c r="M1402" s="2" t="s">
        <v>1385</v>
      </c>
      <c r="N1402" s="2" t="s">
        <v>1386</v>
      </c>
      <c r="P1402" s="2" t="s">
        <v>10540</v>
      </c>
      <c r="R1402" s="2">
        <v>7.0</v>
      </c>
      <c r="S1402" s="2">
        <v>25.0</v>
      </c>
      <c r="AN1402" s="2" t="s">
        <v>1368</v>
      </c>
    </row>
    <row r="1403" ht="15.75" customHeight="1">
      <c r="A1403" s="2" t="s">
        <v>10541</v>
      </c>
      <c r="B1403" s="2" t="s">
        <v>1361</v>
      </c>
      <c r="C1403" s="2">
        <v>2009.0</v>
      </c>
      <c r="D1403" s="2" t="s">
        <v>10542</v>
      </c>
      <c r="E1403" s="2" t="s">
        <v>10543</v>
      </c>
      <c r="F1403" s="2" t="s">
        <v>2590</v>
      </c>
      <c r="H1403" s="2" t="s">
        <v>2591</v>
      </c>
      <c r="I1403" s="2" t="s">
        <v>10544</v>
      </c>
      <c r="K1403" s="2" t="s">
        <v>10545</v>
      </c>
      <c r="L1403" s="2" t="s">
        <v>1364</v>
      </c>
      <c r="M1403" s="2" t="s">
        <v>1385</v>
      </c>
      <c r="N1403" s="2" t="s">
        <v>1386</v>
      </c>
      <c r="AN1403" s="2" t="s">
        <v>1368</v>
      </c>
    </row>
    <row r="1404" ht="15.75" customHeight="1">
      <c r="A1404" s="2" t="s">
        <v>10546</v>
      </c>
      <c r="B1404" s="2" t="s">
        <v>1361</v>
      </c>
      <c r="C1404" s="2">
        <v>1999.0</v>
      </c>
      <c r="D1404" s="2" t="s">
        <v>10547</v>
      </c>
      <c r="E1404" s="2" t="s">
        <v>10548</v>
      </c>
      <c r="F1404" s="2" t="s">
        <v>8888</v>
      </c>
      <c r="H1404" s="2" t="s">
        <v>10549</v>
      </c>
      <c r="I1404" s="2" t="s">
        <v>1252</v>
      </c>
      <c r="K1404" s="2" t="s">
        <v>10550</v>
      </c>
      <c r="L1404" s="2" t="s">
        <v>1434</v>
      </c>
      <c r="M1404" s="2" t="s">
        <v>1385</v>
      </c>
      <c r="N1404" s="2" t="s">
        <v>1386</v>
      </c>
      <c r="AN1404" s="2" t="s">
        <v>1368</v>
      </c>
    </row>
    <row r="1405" ht="15.75" customHeight="1">
      <c r="A1405" s="2" t="s">
        <v>10551</v>
      </c>
      <c r="B1405" s="2" t="s">
        <v>1361</v>
      </c>
      <c r="C1405" s="2">
        <v>2015.0</v>
      </c>
      <c r="D1405" s="2" t="s">
        <v>10552</v>
      </c>
      <c r="E1405" s="2" t="s">
        <v>10553</v>
      </c>
      <c r="F1405" s="2" t="s">
        <v>10554</v>
      </c>
      <c r="H1405" s="2" t="s">
        <v>10555</v>
      </c>
      <c r="I1405" s="2" t="s">
        <v>10556</v>
      </c>
      <c r="K1405" s="2" t="s">
        <v>10557</v>
      </c>
      <c r="L1405" s="2" t="s">
        <v>5599</v>
      </c>
      <c r="M1405" s="2" t="s">
        <v>1385</v>
      </c>
      <c r="N1405" s="2" t="s">
        <v>1386</v>
      </c>
      <c r="P1405" s="2" t="s">
        <v>10558</v>
      </c>
      <c r="R1405" s="2">
        <v>2.0</v>
      </c>
      <c r="S1405" s="2">
        <v>7.0</v>
      </c>
      <c r="AN1405" s="2" t="s">
        <v>1368</v>
      </c>
    </row>
    <row r="1406" ht="15.75" customHeight="1">
      <c r="A1406" s="2" t="s">
        <v>10559</v>
      </c>
      <c r="B1406" s="2" t="s">
        <v>1361</v>
      </c>
      <c r="C1406" s="2">
        <v>1998.0</v>
      </c>
      <c r="D1406" s="2" t="s">
        <v>10560</v>
      </c>
      <c r="E1406" s="2" t="s">
        <v>10561</v>
      </c>
      <c r="F1406" s="2" t="s">
        <v>2340</v>
      </c>
      <c r="H1406" s="2" t="s">
        <v>10562</v>
      </c>
      <c r="I1406" s="2" t="s">
        <v>10563</v>
      </c>
      <c r="K1406" s="2" t="s">
        <v>10564</v>
      </c>
      <c r="L1406" s="2" t="s">
        <v>1958</v>
      </c>
      <c r="M1406" s="2" t="s">
        <v>1385</v>
      </c>
      <c r="N1406" s="2" t="s">
        <v>1386</v>
      </c>
      <c r="P1406" s="2" t="s">
        <v>10565</v>
      </c>
      <c r="R1406" s="2">
        <v>3.0</v>
      </c>
      <c r="S1406" s="2">
        <v>19.0</v>
      </c>
      <c r="AN1406" s="2" t="s">
        <v>1368</v>
      </c>
    </row>
    <row r="1407" ht="15.75" customHeight="1">
      <c r="A1407" s="2" t="s">
        <v>10566</v>
      </c>
      <c r="B1407" s="2" t="s">
        <v>1361</v>
      </c>
      <c r="C1407" s="2">
        <v>2013.0</v>
      </c>
      <c r="D1407" s="2" t="s">
        <v>10567</v>
      </c>
      <c r="E1407" s="2" t="s">
        <v>10568</v>
      </c>
      <c r="F1407" s="2" t="s">
        <v>10569</v>
      </c>
      <c r="H1407" s="2" t="s">
        <v>10570</v>
      </c>
      <c r="I1407" s="2" t="s">
        <v>10571</v>
      </c>
      <c r="K1407" s="2" t="s">
        <v>10572</v>
      </c>
      <c r="L1407" s="2" t="s">
        <v>1429</v>
      </c>
      <c r="M1407" s="2" t="s">
        <v>1385</v>
      </c>
      <c r="N1407" s="2" t="s">
        <v>1386</v>
      </c>
      <c r="P1407" s="2" t="s">
        <v>10573</v>
      </c>
      <c r="R1407" s="2">
        <v>12.0</v>
      </c>
      <c r="S1407" s="2">
        <v>13.0</v>
      </c>
      <c r="AN1407" s="2" t="s">
        <v>1368</v>
      </c>
    </row>
    <row r="1408" ht="15.75" customHeight="1">
      <c r="A1408" s="2" t="s">
        <v>10574</v>
      </c>
      <c r="B1408" s="2" t="s">
        <v>1396</v>
      </c>
      <c r="C1408" s="2">
        <v>2018.0</v>
      </c>
      <c r="D1408" s="2" t="s">
        <v>10342</v>
      </c>
      <c r="E1408" s="2" t="s">
        <v>4899</v>
      </c>
      <c r="L1408" s="2" t="s">
        <v>1420</v>
      </c>
      <c r="M1408" s="2" t="s">
        <v>1385</v>
      </c>
      <c r="N1408" s="2" t="s">
        <v>1386</v>
      </c>
      <c r="AA1408" s="2" t="s">
        <v>1406</v>
      </c>
      <c r="AN1408" s="2" t="s">
        <v>1368</v>
      </c>
    </row>
    <row r="1409" ht="15.75" customHeight="1">
      <c r="A1409" s="2" t="s">
        <v>10575</v>
      </c>
      <c r="B1409" s="2" t="s">
        <v>1361</v>
      </c>
      <c r="C1409" s="2">
        <v>2010.0</v>
      </c>
      <c r="D1409" s="2" t="s">
        <v>10576</v>
      </c>
      <c r="E1409" s="2" t="s">
        <v>10577</v>
      </c>
      <c r="F1409" s="2" t="s">
        <v>3841</v>
      </c>
      <c r="I1409" s="2" t="s">
        <v>10578</v>
      </c>
      <c r="L1409" s="2">
        <v>2010.0</v>
      </c>
      <c r="M1409" s="2" t="s">
        <v>10579</v>
      </c>
      <c r="N1409" s="2" t="s">
        <v>10580</v>
      </c>
      <c r="P1409" s="2" t="s">
        <v>10581</v>
      </c>
      <c r="R1409" s="2" t="s">
        <v>1462</v>
      </c>
      <c r="S1409" s="2">
        <v>106.0</v>
      </c>
      <c r="AN1409" s="2" t="s">
        <v>1368</v>
      </c>
    </row>
    <row r="1410" ht="15.75" customHeight="1">
      <c r="A1410" s="2" t="s">
        <v>10582</v>
      </c>
      <c r="B1410" s="2" t="s">
        <v>1361</v>
      </c>
      <c r="C1410" s="2">
        <v>2010.0</v>
      </c>
      <c r="D1410" s="2" t="s">
        <v>10583</v>
      </c>
      <c r="E1410" s="2" t="s">
        <v>10584</v>
      </c>
      <c r="F1410" s="2" t="s">
        <v>2216</v>
      </c>
      <c r="I1410" s="2" t="s">
        <v>10585</v>
      </c>
      <c r="L1410" s="2">
        <v>2010.0</v>
      </c>
      <c r="M1410" s="2" t="s">
        <v>10586</v>
      </c>
      <c r="N1410" s="2" t="s">
        <v>10587</v>
      </c>
      <c r="P1410" s="2" t="s">
        <v>10588</v>
      </c>
      <c r="R1410" s="2" t="s">
        <v>2646</v>
      </c>
      <c r="S1410" s="2">
        <v>12.0</v>
      </c>
      <c r="AN1410" s="2" t="s">
        <v>1368</v>
      </c>
    </row>
    <row r="1411" ht="15.75" customHeight="1">
      <c r="A1411" s="2" t="s">
        <v>10589</v>
      </c>
      <c r="B1411" s="2" t="s">
        <v>1361</v>
      </c>
      <c r="C1411" s="2">
        <v>2011.0</v>
      </c>
      <c r="D1411" s="2" t="s">
        <v>10590</v>
      </c>
      <c r="E1411" s="2" t="s">
        <v>10591</v>
      </c>
      <c r="F1411" s="2" t="s">
        <v>10592</v>
      </c>
      <c r="I1411" s="2" t="s">
        <v>10593</v>
      </c>
      <c r="L1411" s="2">
        <v>2011.0</v>
      </c>
      <c r="M1411" s="2" t="s">
        <v>4132</v>
      </c>
      <c r="N1411" s="2" t="s">
        <v>4133</v>
      </c>
      <c r="P1411" s="2" t="s">
        <v>10594</v>
      </c>
      <c r="R1411" s="2" t="s">
        <v>10595</v>
      </c>
      <c r="S1411" s="2">
        <v>95.0</v>
      </c>
      <c r="AN1411" s="2" t="s">
        <v>1368</v>
      </c>
    </row>
    <row r="1412" ht="15.75" customHeight="1">
      <c r="A1412" s="2" t="s">
        <v>10596</v>
      </c>
      <c r="B1412" s="2" t="s">
        <v>1361</v>
      </c>
      <c r="C1412" s="2">
        <v>2014.0</v>
      </c>
      <c r="D1412" s="2" t="s">
        <v>10597</v>
      </c>
      <c r="E1412" s="2" t="s">
        <v>10598</v>
      </c>
      <c r="F1412" s="2" t="s">
        <v>1474</v>
      </c>
      <c r="I1412" s="2" t="s">
        <v>10599</v>
      </c>
      <c r="L1412" s="2">
        <v>2014.0</v>
      </c>
      <c r="M1412" s="2" t="s">
        <v>10600</v>
      </c>
      <c r="N1412" s="2" t="s">
        <v>10601</v>
      </c>
      <c r="P1412" s="2" t="s">
        <v>10602</v>
      </c>
      <c r="R1412" s="2" t="s">
        <v>1537</v>
      </c>
      <c r="S1412" s="2">
        <v>104.0</v>
      </c>
      <c r="AN1412" s="2" t="s">
        <v>1368</v>
      </c>
    </row>
    <row r="1413" ht="15.75" customHeight="1">
      <c r="A1413" s="2" t="s">
        <v>10603</v>
      </c>
      <c r="B1413" s="2" t="s">
        <v>1361</v>
      </c>
      <c r="C1413" s="2">
        <v>2012.0</v>
      </c>
      <c r="D1413" s="2" t="s">
        <v>10604</v>
      </c>
      <c r="E1413" s="2" t="s">
        <v>10605</v>
      </c>
      <c r="F1413" s="2" t="s">
        <v>10606</v>
      </c>
      <c r="L1413" s="2">
        <v>2012.0</v>
      </c>
      <c r="M1413" s="2" t="s">
        <v>10607</v>
      </c>
      <c r="N1413" s="2" t="s">
        <v>10608</v>
      </c>
      <c r="AN1413" s="2" t="s">
        <v>1368</v>
      </c>
    </row>
    <row r="1414" ht="15.75" customHeight="1">
      <c r="A1414" s="2" t="s">
        <v>10609</v>
      </c>
      <c r="B1414" s="2" t="s">
        <v>1361</v>
      </c>
      <c r="C1414" s="2">
        <v>2015.0</v>
      </c>
      <c r="D1414" s="2" t="s">
        <v>10610</v>
      </c>
      <c r="E1414" s="2" t="s">
        <v>282</v>
      </c>
      <c r="F1414" s="2" t="s">
        <v>1789</v>
      </c>
      <c r="H1414" s="2" t="s">
        <v>1790</v>
      </c>
      <c r="I1414" s="2" t="s">
        <v>285</v>
      </c>
      <c r="J1414" s="2" t="s">
        <v>10611</v>
      </c>
      <c r="K1414" s="2" t="s">
        <v>10612</v>
      </c>
      <c r="L1414" s="2">
        <v>2015.0</v>
      </c>
      <c r="M1414" s="2" t="s">
        <v>1385</v>
      </c>
      <c r="N1414" s="2" t="s">
        <v>1386</v>
      </c>
      <c r="P1414" s="2" t="s">
        <v>10613</v>
      </c>
      <c r="S1414" s="2">
        <v>35.0</v>
      </c>
      <c r="AN1414" s="2" t="s">
        <v>1368</v>
      </c>
    </row>
    <row r="1415" ht="15.75" customHeight="1">
      <c r="A1415" s="2" t="s">
        <v>10614</v>
      </c>
      <c r="B1415" s="2" t="s">
        <v>1361</v>
      </c>
      <c r="C1415" s="2">
        <v>2012.0</v>
      </c>
      <c r="D1415" s="2" t="s">
        <v>10615</v>
      </c>
      <c r="E1415" s="2" t="s">
        <v>675</v>
      </c>
      <c r="F1415" s="2" t="s">
        <v>2358</v>
      </c>
      <c r="H1415" s="2" t="s">
        <v>2359</v>
      </c>
      <c r="I1415" s="2" t="s">
        <v>678</v>
      </c>
      <c r="K1415" s="2" t="s">
        <v>10616</v>
      </c>
      <c r="L1415" s="2">
        <v>2012.0</v>
      </c>
      <c r="M1415" s="2" t="s">
        <v>1385</v>
      </c>
      <c r="N1415" s="2" t="s">
        <v>1386</v>
      </c>
      <c r="AN1415" s="2" t="s">
        <v>1368</v>
      </c>
    </row>
    <row r="1416" ht="15.75" customHeight="1">
      <c r="A1416" s="2" t="s">
        <v>10617</v>
      </c>
      <c r="B1416" s="2" t="s">
        <v>1396</v>
      </c>
      <c r="C1416" s="2">
        <v>1994.0</v>
      </c>
      <c r="D1416" s="2" t="s">
        <v>10618</v>
      </c>
      <c r="E1416" s="2" t="s">
        <v>10619</v>
      </c>
      <c r="L1416" s="2">
        <v>1994.0</v>
      </c>
      <c r="M1416" s="2" t="s">
        <v>1385</v>
      </c>
      <c r="N1416" s="2" t="s">
        <v>1386</v>
      </c>
      <c r="AA1416" s="2" t="s">
        <v>2430</v>
      </c>
      <c r="AN1416" s="2" t="s">
        <v>1368</v>
      </c>
    </row>
    <row r="1417" ht="15.75" customHeight="1">
      <c r="A1417" s="2" t="s">
        <v>10620</v>
      </c>
      <c r="B1417" s="2" t="s">
        <v>1361</v>
      </c>
      <c r="C1417" s="2">
        <v>2003.0</v>
      </c>
      <c r="D1417" s="2" t="s">
        <v>10621</v>
      </c>
      <c r="E1417" s="2" t="s">
        <v>10622</v>
      </c>
      <c r="F1417" s="2" t="s">
        <v>5178</v>
      </c>
      <c r="H1417" s="2" t="s">
        <v>5179</v>
      </c>
      <c r="I1417" s="2" t="s">
        <v>10623</v>
      </c>
      <c r="K1417" s="2" t="s">
        <v>10624</v>
      </c>
      <c r="L1417" s="2">
        <v>2003.0</v>
      </c>
      <c r="M1417" s="2" t="s">
        <v>1385</v>
      </c>
      <c r="N1417" s="2" t="s">
        <v>1386</v>
      </c>
      <c r="AN1417" s="2" t="s">
        <v>1368</v>
      </c>
    </row>
    <row r="1418" ht="15.75" customHeight="1">
      <c r="A1418" s="2" t="s">
        <v>10625</v>
      </c>
      <c r="B1418" s="2" t="s">
        <v>1361</v>
      </c>
      <c r="C1418" s="2">
        <v>2005.0</v>
      </c>
      <c r="D1418" s="2" t="s">
        <v>10626</v>
      </c>
      <c r="E1418" s="2" t="s">
        <v>10627</v>
      </c>
      <c r="F1418" s="2" t="s">
        <v>1863</v>
      </c>
      <c r="H1418" s="2" t="s">
        <v>2434</v>
      </c>
      <c r="I1418" s="2" t="s">
        <v>10628</v>
      </c>
      <c r="K1418" s="2" t="s">
        <v>10629</v>
      </c>
      <c r="L1418" s="2">
        <v>2005.0</v>
      </c>
      <c r="M1418" s="2" t="s">
        <v>1385</v>
      </c>
      <c r="N1418" s="2" t="s">
        <v>1386</v>
      </c>
      <c r="P1418" s="2" t="s">
        <v>10630</v>
      </c>
      <c r="R1418" s="2" t="s">
        <v>1453</v>
      </c>
      <c r="S1418" s="2">
        <v>33.0</v>
      </c>
      <c r="AN1418" s="2" t="s">
        <v>1368</v>
      </c>
    </row>
    <row r="1419" ht="15.75" customHeight="1">
      <c r="A1419" s="2" t="s">
        <v>10631</v>
      </c>
      <c r="B1419" s="2" t="s">
        <v>1361</v>
      </c>
      <c r="C1419" s="2">
        <v>1993.0</v>
      </c>
      <c r="D1419" s="2" t="s">
        <v>10632</v>
      </c>
      <c r="E1419" s="2" t="s">
        <v>10633</v>
      </c>
      <c r="F1419" s="2" t="s">
        <v>3944</v>
      </c>
      <c r="I1419" s="2" t="s">
        <v>10634</v>
      </c>
      <c r="L1419" s="2" t="s">
        <v>2735</v>
      </c>
      <c r="M1419" s="2" t="s">
        <v>10635</v>
      </c>
      <c r="N1419" s="2" t="s">
        <v>10636</v>
      </c>
      <c r="P1419" s="2" t="s">
        <v>10637</v>
      </c>
      <c r="AN1419" s="2" t="s">
        <v>1368</v>
      </c>
    </row>
    <row r="1420" ht="15.75" customHeight="1">
      <c r="A1420" s="2" t="s">
        <v>10638</v>
      </c>
      <c r="B1420" s="2" t="s">
        <v>1361</v>
      </c>
      <c r="C1420" s="2">
        <v>2017.0</v>
      </c>
      <c r="D1420" s="2" t="s">
        <v>10639</v>
      </c>
      <c r="E1420" s="2" t="s">
        <v>10640</v>
      </c>
      <c r="I1420" s="2" t="s">
        <v>10641</v>
      </c>
      <c r="L1420" s="2" t="s">
        <v>1658</v>
      </c>
      <c r="M1420" s="2" t="s">
        <v>10642</v>
      </c>
      <c r="N1420" s="2" t="s">
        <v>10643</v>
      </c>
      <c r="AN1420" s="2" t="s">
        <v>1368</v>
      </c>
    </row>
    <row r="1421" ht="15.75" customHeight="1">
      <c r="A1421" s="2" t="s">
        <v>10644</v>
      </c>
      <c r="B1421" s="2" t="s">
        <v>1361</v>
      </c>
      <c r="C1421" s="2">
        <v>2015.0</v>
      </c>
      <c r="D1421" s="2" t="s">
        <v>10645</v>
      </c>
      <c r="E1421" s="2" t="s">
        <v>10646</v>
      </c>
      <c r="F1421" s="2" t="s">
        <v>10647</v>
      </c>
      <c r="I1421" s="2" t="s">
        <v>10648</v>
      </c>
      <c r="L1421" s="2" t="s">
        <v>1373</v>
      </c>
      <c r="M1421" s="2" t="s">
        <v>10649</v>
      </c>
      <c r="N1421" s="2" t="s">
        <v>10650</v>
      </c>
      <c r="P1421" s="2" t="s">
        <v>10651</v>
      </c>
      <c r="R1421" s="2" t="s">
        <v>1453</v>
      </c>
      <c r="S1421" s="2">
        <v>59.0</v>
      </c>
      <c r="AN1421" s="2" t="s">
        <v>1368</v>
      </c>
    </row>
    <row r="1422" ht="15.75" customHeight="1">
      <c r="A1422" s="2" t="s">
        <v>10652</v>
      </c>
      <c r="B1422" s="2" t="s">
        <v>1361</v>
      </c>
      <c r="C1422" s="2">
        <v>1973.0</v>
      </c>
      <c r="D1422" s="2" t="s">
        <v>10653</v>
      </c>
      <c r="E1422" s="2" t="s">
        <v>10654</v>
      </c>
      <c r="F1422" s="2" t="s">
        <v>4007</v>
      </c>
      <c r="I1422" s="2" t="s">
        <v>10655</v>
      </c>
      <c r="L1422" s="2" t="s">
        <v>3607</v>
      </c>
      <c r="M1422" s="2" t="s">
        <v>10656</v>
      </c>
      <c r="N1422" s="2" t="s">
        <v>10657</v>
      </c>
      <c r="P1422" s="2" t="s">
        <v>10658</v>
      </c>
      <c r="R1422" s="2" t="s">
        <v>2271</v>
      </c>
      <c r="S1422" s="2">
        <v>30.0</v>
      </c>
      <c r="AN1422" s="2" t="s">
        <v>1368</v>
      </c>
    </row>
    <row r="1423" ht="15.75" customHeight="1">
      <c r="A1423" s="2" t="s">
        <v>10659</v>
      </c>
      <c r="B1423" s="2" t="s">
        <v>1361</v>
      </c>
      <c r="C1423" s="2">
        <v>2014.0</v>
      </c>
      <c r="D1423" s="2" t="s">
        <v>10660</v>
      </c>
      <c r="E1423" s="2" t="s">
        <v>519</v>
      </c>
      <c r="F1423" s="2" t="s">
        <v>10661</v>
      </c>
      <c r="I1423" s="2" t="s">
        <v>522</v>
      </c>
      <c r="L1423" s="2" t="s">
        <v>1476</v>
      </c>
      <c r="M1423" s="2" t="s">
        <v>10057</v>
      </c>
      <c r="N1423" s="2" t="s">
        <v>10058</v>
      </c>
      <c r="P1423" s="2" t="s">
        <v>10662</v>
      </c>
      <c r="R1423" s="2" t="s">
        <v>1453</v>
      </c>
      <c r="S1423" s="2">
        <v>2.0</v>
      </c>
      <c r="AN1423" s="2" t="s">
        <v>1368</v>
      </c>
    </row>
    <row r="1424" ht="15.75" customHeight="1">
      <c r="A1424" s="2" t="s">
        <v>10663</v>
      </c>
      <c r="B1424" s="2" t="s">
        <v>1361</v>
      </c>
      <c r="C1424" s="2">
        <v>1994.0</v>
      </c>
      <c r="D1424" s="2" t="s">
        <v>10664</v>
      </c>
      <c r="E1424" s="2" t="s">
        <v>10665</v>
      </c>
      <c r="F1424" s="2" t="s">
        <v>7834</v>
      </c>
      <c r="L1424" s="2" t="s">
        <v>2327</v>
      </c>
      <c r="M1424" s="2" t="s">
        <v>10666</v>
      </c>
      <c r="N1424" s="2" t="s">
        <v>10667</v>
      </c>
      <c r="P1424" s="2" t="s">
        <v>10668</v>
      </c>
      <c r="AN1424" s="2" t="s">
        <v>1368</v>
      </c>
    </row>
    <row r="1425" ht="15.75" customHeight="1">
      <c r="A1425" s="2" t="s">
        <v>10669</v>
      </c>
      <c r="B1425" s="2" t="s">
        <v>1361</v>
      </c>
      <c r="C1425" s="2">
        <v>2014.0</v>
      </c>
      <c r="D1425" s="2" t="s">
        <v>10670</v>
      </c>
      <c r="E1425" s="2" t="s">
        <v>10671</v>
      </c>
      <c r="F1425" s="2" t="s">
        <v>3386</v>
      </c>
      <c r="I1425" s="2" t="s">
        <v>10672</v>
      </c>
      <c r="L1425" s="2" t="s">
        <v>1476</v>
      </c>
      <c r="M1425" s="2" t="s">
        <v>10673</v>
      </c>
      <c r="N1425" s="2" t="s">
        <v>10674</v>
      </c>
      <c r="P1425" s="2" t="s">
        <v>10675</v>
      </c>
      <c r="R1425" s="2" t="s">
        <v>1600</v>
      </c>
      <c r="S1425" s="2">
        <v>31.0</v>
      </c>
      <c r="AN1425" s="2" t="s">
        <v>1368</v>
      </c>
    </row>
    <row r="1426" ht="15.75" customHeight="1">
      <c r="A1426" s="2" t="s">
        <v>10676</v>
      </c>
      <c r="B1426" s="2" t="s">
        <v>1361</v>
      </c>
      <c r="C1426" s="2">
        <v>2002.0</v>
      </c>
      <c r="D1426" s="2" t="s">
        <v>10677</v>
      </c>
      <c r="E1426" s="2" t="s">
        <v>10678</v>
      </c>
      <c r="F1426" s="2" t="s">
        <v>10679</v>
      </c>
      <c r="I1426" s="2" t="s">
        <v>10680</v>
      </c>
      <c r="L1426" s="2" t="s">
        <v>1493</v>
      </c>
      <c r="M1426" s="2" t="s">
        <v>10681</v>
      </c>
      <c r="N1426" s="2" t="s">
        <v>10682</v>
      </c>
      <c r="P1426" s="2" t="s">
        <v>10683</v>
      </c>
      <c r="R1426" s="2" t="s">
        <v>1506</v>
      </c>
      <c r="S1426" s="2">
        <v>15.0</v>
      </c>
      <c r="AN1426" s="2" t="s">
        <v>1368</v>
      </c>
    </row>
    <row r="1427" ht="15.75" customHeight="1">
      <c r="A1427" s="2" t="s">
        <v>10684</v>
      </c>
      <c r="B1427" s="2" t="s">
        <v>1361</v>
      </c>
      <c r="C1427" s="2">
        <v>2010.0</v>
      </c>
      <c r="D1427" s="2" t="s">
        <v>10685</v>
      </c>
      <c r="E1427" s="2" t="s">
        <v>10686</v>
      </c>
      <c r="F1427" s="2" t="s">
        <v>10687</v>
      </c>
      <c r="L1427" s="2" t="s">
        <v>1449</v>
      </c>
      <c r="M1427" s="2" t="s">
        <v>10688</v>
      </c>
      <c r="N1427" s="2" t="s">
        <v>10689</v>
      </c>
      <c r="P1427" s="2" t="s">
        <v>10690</v>
      </c>
      <c r="R1427" s="2" t="s">
        <v>1506</v>
      </c>
      <c r="S1427" s="2">
        <v>24.0</v>
      </c>
      <c r="AN1427" s="2" t="s">
        <v>1368</v>
      </c>
    </row>
    <row r="1428" ht="15.75" customHeight="1">
      <c r="A1428" s="2" t="s">
        <v>10691</v>
      </c>
      <c r="B1428" s="2" t="s">
        <v>1361</v>
      </c>
      <c r="C1428" s="2">
        <v>2011.0</v>
      </c>
      <c r="D1428" s="2" t="s">
        <v>10692</v>
      </c>
      <c r="E1428" s="2" t="s">
        <v>10693</v>
      </c>
      <c r="F1428" s="2" t="s">
        <v>10694</v>
      </c>
      <c r="I1428" s="2" t="s">
        <v>10695</v>
      </c>
      <c r="L1428" s="2" t="s">
        <v>1627</v>
      </c>
      <c r="M1428" s="2" t="s">
        <v>10696</v>
      </c>
      <c r="N1428" s="2" t="s">
        <v>10697</v>
      </c>
      <c r="P1428" s="2" t="s">
        <v>10698</v>
      </c>
      <c r="R1428" s="2" t="s">
        <v>5192</v>
      </c>
      <c r="S1428" s="2">
        <v>101.0</v>
      </c>
      <c r="AN1428" s="2" t="s">
        <v>1368</v>
      </c>
    </row>
    <row r="1429" ht="15.75" customHeight="1">
      <c r="A1429" s="2" t="s">
        <v>10699</v>
      </c>
      <c r="B1429" s="2" t="s">
        <v>1361</v>
      </c>
      <c r="C1429" s="2">
        <v>2010.0</v>
      </c>
      <c r="D1429" s="2" t="s">
        <v>10700</v>
      </c>
      <c r="E1429" s="2" t="s">
        <v>10701</v>
      </c>
      <c r="F1429" s="2" t="s">
        <v>10702</v>
      </c>
      <c r="I1429" s="2" t="s">
        <v>925</v>
      </c>
      <c r="L1429" s="2" t="s">
        <v>1449</v>
      </c>
      <c r="M1429" s="2" t="s">
        <v>10703</v>
      </c>
      <c r="N1429" s="2" t="s">
        <v>10704</v>
      </c>
      <c r="P1429" s="2" t="s">
        <v>10705</v>
      </c>
      <c r="S1429" s="2">
        <v>2.0</v>
      </c>
      <c r="AN1429" s="2" t="s">
        <v>1368</v>
      </c>
    </row>
    <row r="1430" ht="15.75" customHeight="1">
      <c r="A1430" s="2" t="s">
        <v>10706</v>
      </c>
      <c r="B1430" s="2" t="s">
        <v>1361</v>
      </c>
      <c r="C1430" s="2">
        <v>2011.0</v>
      </c>
      <c r="D1430" s="2" t="s">
        <v>10670</v>
      </c>
      <c r="E1430" s="2" t="s">
        <v>10707</v>
      </c>
      <c r="F1430" s="2" t="s">
        <v>10708</v>
      </c>
      <c r="I1430" s="2" t="s">
        <v>10709</v>
      </c>
      <c r="L1430" s="2" t="s">
        <v>1627</v>
      </c>
      <c r="M1430" s="2" t="s">
        <v>10710</v>
      </c>
      <c r="N1430" s="2" t="s">
        <v>10711</v>
      </c>
      <c r="P1430" s="2" t="s">
        <v>10712</v>
      </c>
      <c r="AN1430" s="2" t="s">
        <v>1368</v>
      </c>
    </row>
    <row r="1431" ht="15.75" customHeight="1">
      <c r="A1431" s="2" t="s">
        <v>10713</v>
      </c>
      <c r="B1431" s="2" t="s">
        <v>1361</v>
      </c>
      <c r="C1431" s="2">
        <v>2007.0</v>
      </c>
      <c r="D1431" s="2" t="s">
        <v>10714</v>
      </c>
      <c r="E1431" s="2" t="s">
        <v>10715</v>
      </c>
      <c r="F1431" s="2" t="s">
        <v>10716</v>
      </c>
      <c r="I1431" s="2" t="s">
        <v>10717</v>
      </c>
      <c r="L1431" s="2" t="s">
        <v>2380</v>
      </c>
      <c r="M1431" s="2" t="s">
        <v>10718</v>
      </c>
      <c r="N1431" s="2" t="s">
        <v>10719</v>
      </c>
      <c r="P1431" s="2" t="s">
        <v>10720</v>
      </c>
      <c r="AN1431" s="2" t="s">
        <v>1368</v>
      </c>
    </row>
    <row r="1432" ht="15.75" customHeight="1">
      <c r="A1432" s="2" t="s">
        <v>10721</v>
      </c>
      <c r="B1432" s="2" t="s">
        <v>1361</v>
      </c>
      <c r="C1432" s="2">
        <v>2008.0</v>
      </c>
      <c r="D1432" s="2" t="s">
        <v>10722</v>
      </c>
      <c r="E1432" s="2" t="s">
        <v>10723</v>
      </c>
      <c r="F1432" s="2" t="s">
        <v>1688</v>
      </c>
      <c r="H1432" s="2" t="s">
        <v>2892</v>
      </c>
      <c r="I1432" s="2" t="s">
        <v>10724</v>
      </c>
      <c r="J1432" s="2" t="s">
        <v>10725</v>
      </c>
      <c r="K1432" s="2" t="s">
        <v>10726</v>
      </c>
      <c r="L1432" s="2" t="s">
        <v>10727</v>
      </c>
      <c r="M1432" s="2" t="s">
        <v>10728</v>
      </c>
      <c r="N1432" s="2" t="s">
        <v>10729</v>
      </c>
      <c r="O1432" s="2" t="s">
        <v>10730</v>
      </c>
      <c r="P1432" s="2" t="s">
        <v>10731</v>
      </c>
      <c r="R1432" s="2" t="s">
        <v>2714</v>
      </c>
      <c r="S1432" s="2">
        <v>105.0</v>
      </c>
      <c r="U1432" s="2" t="s">
        <v>2901</v>
      </c>
      <c r="AC1432" s="2" t="s">
        <v>1540</v>
      </c>
      <c r="AH1432" s="2" t="s">
        <v>1541</v>
      </c>
      <c r="AN1432" s="2" t="s">
        <v>1872</v>
      </c>
    </row>
    <row r="1433" ht="15.75" customHeight="1">
      <c r="A1433" s="2" t="s">
        <v>10732</v>
      </c>
      <c r="B1433" s="2" t="s">
        <v>1361</v>
      </c>
      <c r="C1433" s="2">
        <v>2003.0</v>
      </c>
      <c r="D1433" s="2" t="s">
        <v>10733</v>
      </c>
      <c r="E1433" s="2" t="s">
        <v>10734</v>
      </c>
      <c r="F1433" s="2" t="s">
        <v>1688</v>
      </c>
      <c r="H1433" s="2" t="s">
        <v>2892</v>
      </c>
      <c r="I1433" s="2" t="s">
        <v>10735</v>
      </c>
      <c r="J1433" s="2" t="s">
        <v>10736</v>
      </c>
      <c r="K1433" s="2" t="s">
        <v>10737</v>
      </c>
      <c r="L1433" s="2" t="s">
        <v>10738</v>
      </c>
      <c r="M1433" s="2" t="s">
        <v>10739</v>
      </c>
      <c r="N1433" s="2" t="s">
        <v>10740</v>
      </c>
      <c r="O1433" s="2" t="s">
        <v>4804</v>
      </c>
      <c r="P1433" s="2" t="s">
        <v>10741</v>
      </c>
      <c r="R1433" s="2" t="s">
        <v>6310</v>
      </c>
      <c r="S1433" s="2">
        <v>100.0</v>
      </c>
      <c r="U1433" s="2" t="s">
        <v>2901</v>
      </c>
      <c r="AC1433" s="2" t="s">
        <v>1540</v>
      </c>
      <c r="AH1433" s="2" t="s">
        <v>1541</v>
      </c>
      <c r="AN1433" s="2" t="s">
        <v>1872</v>
      </c>
    </row>
    <row r="1434" ht="15.75" customHeight="1">
      <c r="A1434" s="2" t="s">
        <v>10742</v>
      </c>
      <c r="B1434" s="2" t="s">
        <v>1361</v>
      </c>
      <c r="C1434" s="2">
        <v>2016.0</v>
      </c>
      <c r="D1434" s="2" t="s">
        <v>10743</v>
      </c>
      <c r="E1434" s="2" t="s">
        <v>10744</v>
      </c>
      <c r="F1434" s="2" t="s">
        <v>1789</v>
      </c>
      <c r="H1434" s="2" t="s">
        <v>1790</v>
      </c>
      <c r="I1434" s="2" t="s">
        <v>10745</v>
      </c>
      <c r="K1434" s="2" t="s">
        <v>10746</v>
      </c>
      <c r="L1434" s="2" t="s">
        <v>1502</v>
      </c>
      <c r="M1434" s="2" t="s">
        <v>10747</v>
      </c>
      <c r="N1434" s="2" t="s">
        <v>10748</v>
      </c>
      <c r="P1434" s="2" t="s">
        <v>10749</v>
      </c>
      <c r="S1434" s="2">
        <v>38.0</v>
      </c>
      <c r="AN1434" s="2" t="s">
        <v>2188</v>
      </c>
    </row>
    <row r="1435" ht="15.75" customHeight="1">
      <c r="A1435" s="2" t="s">
        <v>10750</v>
      </c>
      <c r="B1435" s="2" t="s">
        <v>1361</v>
      </c>
      <c r="C1435" s="2">
        <v>2011.0</v>
      </c>
      <c r="D1435" s="2" t="s">
        <v>10751</v>
      </c>
      <c r="E1435" s="2" t="s">
        <v>778</v>
      </c>
      <c r="F1435" s="2" t="s">
        <v>4215</v>
      </c>
      <c r="H1435" s="2" t="s">
        <v>4216</v>
      </c>
      <c r="I1435" s="2" t="s">
        <v>781</v>
      </c>
      <c r="J1435" s="2" t="s">
        <v>10752</v>
      </c>
      <c r="K1435" s="2" t="s">
        <v>10753</v>
      </c>
      <c r="L1435" s="2" t="s">
        <v>6758</v>
      </c>
      <c r="M1435" s="2" t="s">
        <v>10754</v>
      </c>
      <c r="N1435" s="2" t="s">
        <v>10755</v>
      </c>
      <c r="P1435" s="2" t="s">
        <v>10756</v>
      </c>
      <c r="R1435" s="2" t="s">
        <v>1462</v>
      </c>
      <c r="S1435" s="2">
        <v>36.0</v>
      </c>
      <c r="U1435" s="2" t="s">
        <v>2624</v>
      </c>
      <c r="AN1435" s="2" t="s">
        <v>2169</v>
      </c>
    </row>
    <row r="1436" ht="15.75" customHeight="1">
      <c r="A1436" s="2" t="s">
        <v>10757</v>
      </c>
      <c r="B1436" s="2" t="s">
        <v>1361</v>
      </c>
      <c r="C1436" s="2">
        <v>2009.0</v>
      </c>
      <c r="D1436" s="2" t="s">
        <v>10722</v>
      </c>
      <c r="E1436" s="2" t="s">
        <v>10758</v>
      </c>
      <c r="F1436" s="2" t="s">
        <v>1688</v>
      </c>
      <c r="H1436" s="2" t="s">
        <v>2892</v>
      </c>
      <c r="I1436" s="2" t="s">
        <v>10759</v>
      </c>
      <c r="J1436" s="2" t="s">
        <v>10760</v>
      </c>
      <c r="K1436" s="2" t="s">
        <v>10761</v>
      </c>
      <c r="L1436" s="2" t="s">
        <v>10762</v>
      </c>
      <c r="M1436" s="2" t="s">
        <v>10763</v>
      </c>
      <c r="N1436" s="2" t="s">
        <v>10764</v>
      </c>
      <c r="O1436" s="2" t="s">
        <v>10765</v>
      </c>
      <c r="P1436" s="2" t="s">
        <v>10766</v>
      </c>
      <c r="R1436" s="2" t="s">
        <v>6094</v>
      </c>
      <c r="S1436" s="2">
        <v>106.0</v>
      </c>
      <c r="U1436" s="2" t="s">
        <v>2901</v>
      </c>
      <c r="AC1436" s="2" t="s">
        <v>1540</v>
      </c>
      <c r="AH1436" s="2" t="s">
        <v>1541</v>
      </c>
      <c r="AN1436" s="2" t="s">
        <v>8021</v>
      </c>
    </row>
    <row r="1437" ht="15.75" customHeight="1">
      <c r="A1437" s="2" t="s">
        <v>10767</v>
      </c>
      <c r="B1437" s="2" t="s">
        <v>1361</v>
      </c>
      <c r="C1437" s="2">
        <v>2016.0</v>
      </c>
      <c r="D1437" s="2" t="s">
        <v>10768</v>
      </c>
      <c r="E1437" s="2" t="s">
        <v>10769</v>
      </c>
      <c r="F1437" s="2" t="s">
        <v>1688</v>
      </c>
      <c r="H1437" s="2" t="s">
        <v>2892</v>
      </c>
      <c r="I1437" s="2" t="s">
        <v>10770</v>
      </c>
      <c r="J1437" s="2" t="s">
        <v>10771</v>
      </c>
      <c r="K1437" s="2" t="s">
        <v>10772</v>
      </c>
      <c r="L1437" s="2" t="s">
        <v>10773</v>
      </c>
      <c r="M1437" s="2" t="s">
        <v>10774</v>
      </c>
      <c r="N1437" s="2" t="s">
        <v>10775</v>
      </c>
      <c r="O1437" s="2" t="s">
        <v>10776</v>
      </c>
      <c r="P1437" s="2" t="s">
        <v>10777</v>
      </c>
      <c r="R1437" s="2" t="s">
        <v>1937</v>
      </c>
      <c r="S1437" s="2">
        <v>113.0</v>
      </c>
      <c r="U1437" s="2" t="s">
        <v>10778</v>
      </c>
      <c r="V1437" s="2" t="s">
        <v>10779</v>
      </c>
      <c r="AC1437" s="2" t="s">
        <v>1540</v>
      </c>
      <c r="AH1437" s="2" t="s">
        <v>10780</v>
      </c>
      <c r="AJ1437" s="2" t="s">
        <v>10781</v>
      </c>
      <c r="AN1437" s="2" t="s">
        <v>10782</v>
      </c>
    </row>
    <row r="1438" ht="15.75" customHeight="1">
      <c r="A1438" s="2" t="s">
        <v>10783</v>
      </c>
      <c r="B1438" s="2" t="s">
        <v>1361</v>
      </c>
      <c r="C1438" s="2">
        <v>2014.0</v>
      </c>
      <c r="D1438" s="2" t="s">
        <v>10784</v>
      </c>
      <c r="E1438" s="2" t="s">
        <v>10785</v>
      </c>
      <c r="F1438" s="2" t="s">
        <v>10536</v>
      </c>
      <c r="H1438" s="2" t="s">
        <v>10537</v>
      </c>
      <c r="I1438" s="2" t="s">
        <v>10786</v>
      </c>
      <c r="J1438" s="2" t="s">
        <v>10787</v>
      </c>
      <c r="L1438" s="2" t="s">
        <v>10788</v>
      </c>
      <c r="M1438" s="2" t="s">
        <v>10789</v>
      </c>
      <c r="N1438" s="2" t="s">
        <v>10790</v>
      </c>
      <c r="O1438" s="2" t="s">
        <v>5895</v>
      </c>
      <c r="P1438" s="2" t="s">
        <v>10791</v>
      </c>
      <c r="R1438" s="2" t="s">
        <v>2565</v>
      </c>
      <c r="S1438" s="2">
        <v>24.0</v>
      </c>
      <c r="U1438" s="2" t="s">
        <v>10536</v>
      </c>
      <c r="AC1438" s="2" t="s">
        <v>1540</v>
      </c>
      <c r="AH1438" s="2" t="s">
        <v>1541</v>
      </c>
      <c r="AN1438" s="2" t="s">
        <v>1872</v>
      </c>
    </row>
    <row r="1439" ht="15.75" customHeight="1">
      <c r="A1439" s="2" t="s">
        <v>10792</v>
      </c>
      <c r="B1439" s="2" t="s">
        <v>1361</v>
      </c>
      <c r="C1439" s="2">
        <v>2005.0</v>
      </c>
      <c r="D1439" s="2" t="s">
        <v>10793</v>
      </c>
      <c r="E1439" s="2" t="s">
        <v>10794</v>
      </c>
      <c r="F1439" s="2" t="s">
        <v>1363</v>
      </c>
      <c r="H1439" s="2" t="s">
        <v>3465</v>
      </c>
      <c r="I1439" s="2" t="s">
        <v>10795</v>
      </c>
      <c r="J1439" s="2" t="s">
        <v>10796</v>
      </c>
      <c r="K1439" s="2" t="s">
        <v>10797</v>
      </c>
      <c r="L1439" s="2" t="s">
        <v>10798</v>
      </c>
      <c r="M1439" s="2" t="s">
        <v>10799</v>
      </c>
      <c r="N1439" s="2" t="s">
        <v>10800</v>
      </c>
      <c r="O1439" s="2" t="s">
        <v>10801</v>
      </c>
      <c r="P1439" s="2" t="s">
        <v>10802</v>
      </c>
      <c r="R1439" s="2" t="s">
        <v>10803</v>
      </c>
      <c r="S1439" s="2">
        <v>360.0</v>
      </c>
      <c r="U1439" s="2" t="s">
        <v>3476</v>
      </c>
      <c r="AC1439" s="2" t="s">
        <v>1540</v>
      </c>
      <c r="AH1439" s="2" t="s">
        <v>1541</v>
      </c>
      <c r="AN1439" s="2" t="s">
        <v>1872</v>
      </c>
    </row>
    <row r="1440" ht="15.75" customHeight="1">
      <c r="A1440" s="2" t="s">
        <v>10804</v>
      </c>
      <c r="B1440" s="2" t="s">
        <v>1396</v>
      </c>
      <c r="C1440" s="2">
        <v>2014.0</v>
      </c>
      <c r="D1440" s="2" t="s">
        <v>10805</v>
      </c>
      <c r="E1440" s="2" t="s">
        <v>10806</v>
      </c>
      <c r="J1440" s="2" t="s">
        <v>10807</v>
      </c>
      <c r="L1440" s="2" t="s">
        <v>1476</v>
      </c>
      <c r="M1440" s="2" t="s">
        <v>1562</v>
      </c>
      <c r="N1440" s="2" t="s">
        <v>1563</v>
      </c>
      <c r="Q1440" s="2">
        <v>175.0</v>
      </c>
      <c r="AA1440" s="2" t="s">
        <v>10808</v>
      </c>
      <c r="AB1440" s="2" t="s">
        <v>10809</v>
      </c>
      <c r="AN1440" s="2" t="s">
        <v>10810</v>
      </c>
    </row>
    <row r="1441" ht="15.75" customHeight="1">
      <c r="A1441" s="2" t="s">
        <v>10811</v>
      </c>
      <c r="B1441" s="2" t="s">
        <v>1361</v>
      </c>
      <c r="C1441" s="2">
        <v>2017.0</v>
      </c>
      <c r="D1441" s="2" t="s">
        <v>10812</v>
      </c>
      <c r="E1441" s="2" t="s">
        <v>10813</v>
      </c>
      <c r="F1441" s="2" t="s">
        <v>3295</v>
      </c>
      <c r="H1441" s="2" t="s">
        <v>3296</v>
      </c>
      <c r="I1441" s="2" t="s">
        <v>10814</v>
      </c>
      <c r="J1441" s="2" t="s">
        <v>10815</v>
      </c>
      <c r="L1441" s="2" t="s">
        <v>10816</v>
      </c>
      <c r="M1441" s="2" t="s">
        <v>1385</v>
      </c>
      <c r="N1441" s="2" t="s">
        <v>1386</v>
      </c>
      <c r="P1441" s="2" t="s">
        <v>10817</v>
      </c>
      <c r="R1441" s="2" t="s">
        <v>1462</v>
      </c>
      <c r="S1441" s="2">
        <v>10.0</v>
      </c>
      <c r="AN1441" s="2" t="s">
        <v>1621</v>
      </c>
    </row>
    <row r="1442" ht="15.75" customHeight="1">
      <c r="A1442" s="2" t="s">
        <v>10818</v>
      </c>
      <c r="B1442" s="2" t="s">
        <v>1623</v>
      </c>
      <c r="C1442" s="2">
        <v>2012.0</v>
      </c>
      <c r="D1442" s="2" t="s">
        <v>10805</v>
      </c>
      <c r="E1442" s="2" t="s">
        <v>10819</v>
      </c>
      <c r="J1442" s="2" t="s">
        <v>10820</v>
      </c>
      <c r="L1442" s="2" t="s">
        <v>1405</v>
      </c>
      <c r="M1442" s="2" t="s">
        <v>1385</v>
      </c>
      <c r="N1442" s="2" t="s">
        <v>1386</v>
      </c>
      <c r="P1442" s="2" t="s">
        <v>10821</v>
      </c>
      <c r="AA1442" s="2" t="s">
        <v>10808</v>
      </c>
      <c r="AB1442" s="2" t="s">
        <v>10809</v>
      </c>
      <c r="AN1442" s="2" t="s">
        <v>1621</v>
      </c>
    </row>
    <row r="1443" ht="15.75" customHeight="1">
      <c r="A1443" s="2" t="s">
        <v>10822</v>
      </c>
      <c r="B1443" s="2" t="s">
        <v>1361</v>
      </c>
      <c r="C1443" s="2">
        <v>2000.0</v>
      </c>
      <c r="D1443" s="2" t="s">
        <v>10823</v>
      </c>
      <c r="E1443" s="2" t="s">
        <v>10824</v>
      </c>
      <c r="F1443" s="2" t="s">
        <v>1863</v>
      </c>
      <c r="H1443" s="2" t="s">
        <v>2434</v>
      </c>
      <c r="I1443" s="2" t="s">
        <v>10825</v>
      </c>
      <c r="J1443" s="2" t="s">
        <v>10826</v>
      </c>
      <c r="K1443" s="2" t="s">
        <v>10827</v>
      </c>
      <c r="L1443" s="2" t="s">
        <v>10828</v>
      </c>
      <c r="M1443" s="2" t="s">
        <v>1385</v>
      </c>
      <c r="N1443" s="2" t="s">
        <v>1386</v>
      </c>
      <c r="P1443" s="2" t="s">
        <v>10829</v>
      </c>
      <c r="R1443" s="2" t="s">
        <v>1537</v>
      </c>
      <c r="S1443" s="2">
        <v>28.0</v>
      </c>
      <c r="U1443" s="2" t="s">
        <v>1863</v>
      </c>
      <c r="AN1443" s="2" t="s">
        <v>1368</v>
      </c>
    </row>
    <row r="1444" ht="15.75" customHeight="1">
      <c r="A1444" s="2" t="s">
        <v>10830</v>
      </c>
      <c r="B1444" s="2" t="s">
        <v>1396</v>
      </c>
      <c r="C1444" s="2">
        <v>2003.0</v>
      </c>
      <c r="D1444" s="2" t="s">
        <v>10831</v>
      </c>
      <c r="E1444" s="2" t="s">
        <v>10832</v>
      </c>
      <c r="G1444" s="2" t="s">
        <v>10833</v>
      </c>
      <c r="K1444" s="2" t="s">
        <v>10834</v>
      </c>
      <c r="L1444" s="2" t="s">
        <v>1606</v>
      </c>
      <c r="M1444" s="2" t="s">
        <v>1385</v>
      </c>
      <c r="N1444" s="2" t="s">
        <v>1386</v>
      </c>
      <c r="AA1444" s="2" t="s">
        <v>10835</v>
      </c>
      <c r="AN1444" s="2" t="s">
        <v>1368</v>
      </c>
    </row>
    <row r="1445" ht="15.75" customHeight="1">
      <c r="A1445" s="2" t="s">
        <v>10836</v>
      </c>
      <c r="B1445" s="2" t="s">
        <v>1396</v>
      </c>
      <c r="C1445" s="2">
        <v>1960.0</v>
      </c>
      <c r="D1445" s="2" t="s">
        <v>10837</v>
      </c>
      <c r="E1445" s="2" t="s">
        <v>10838</v>
      </c>
      <c r="K1445" s="2" t="s">
        <v>10839</v>
      </c>
      <c r="L1445" s="2" t="s">
        <v>3365</v>
      </c>
      <c r="M1445" s="2" t="s">
        <v>1385</v>
      </c>
      <c r="N1445" s="2" t="s">
        <v>1386</v>
      </c>
      <c r="AA1445" s="2" t="s">
        <v>3290</v>
      </c>
      <c r="AB1445" s="2" t="s">
        <v>10840</v>
      </c>
      <c r="AN1445" s="2" t="s">
        <v>1368</v>
      </c>
    </row>
    <row r="1446" ht="15.75" customHeight="1">
      <c r="A1446" s="2" t="s">
        <v>10841</v>
      </c>
      <c r="B1446" s="2" t="s">
        <v>1396</v>
      </c>
      <c r="C1446" s="2">
        <v>2018.0</v>
      </c>
      <c r="D1446" s="2" t="s">
        <v>10805</v>
      </c>
      <c r="E1446" s="2" t="s">
        <v>10842</v>
      </c>
      <c r="J1446" s="2" t="s">
        <v>10843</v>
      </c>
      <c r="L1446" s="2" t="s">
        <v>1420</v>
      </c>
      <c r="M1446" s="2" t="s">
        <v>1385</v>
      </c>
      <c r="N1446" s="2" t="s">
        <v>1386</v>
      </c>
      <c r="AN1446" s="2" t="s">
        <v>1368</v>
      </c>
    </row>
    <row r="1447" ht="15.75" customHeight="1">
      <c r="A1447" s="2" t="s">
        <v>10844</v>
      </c>
      <c r="B1447" s="2" t="s">
        <v>1623</v>
      </c>
      <c r="C1447" s="2">
        <v>1984.0</v>
      </c>
      <c r="D1447" s="2" t="s">
        <v>10845</v>
      </c>
      <c r="E1447" s="2" t="s">
        <v>10846</v>
      </c>
      <c r="J1447" s="2" t="s">
        <v>10847</v>
      </c>
      <c r="L1447" s="2" t="s">
        <v>10848</v>
      </c>
      <c r="M1447" s="2" t="s">
        <v>1385</v>
      </c>
      <c r="N1447" s="2" t="s">
        <v>1386</v>
      </c>
      <c r="AN1447" s="2" t="s">
        <v>1368</v>
      </c>
    </row>
    <row r="1448" ht="15.75" customHeight="1">
      <c r="A1448" s="2" t="s">
        <v>10849</v>
      </c>
      <c r="B1448" s="2" t="s">
        <v>1361</v>
      </c>
      <c r="C1448" s="2">
        <v>2000.0</v>
      </c>
      <c r="D1448" s="2" t="s">
        <v>10850</v>
      </c>
      <c r="E1448" s="2" t="s">
        <v>10851</v>
      </c>
      <c r="F1448" s="2" t="s">
        <v>4418</v>
      </c>
      <c r="H1448" s="2" t="s">
        <v>4419</v>
      </c>
      <c r="I1448" s="2" t="s">
        <v>10852</v>
      </c>
      <c r="J1448" s="2" t="s">
        <v>10853</v>
      </c>
      <c r="K1448" s="2" t="s">
        <v>10854</v>
      </c>
      <c r="L1448" s="2" t="s">
        <v>10855</v>
      </c>
      <c r="M1448" s="2" t="s">
        <v>1385</v>
      </c>
      <c r="N1448" s="2" t="s">
        <v>1386</v>
      </c>
      <c r="P1448" s="2" t="s">
        <v>10856</v>
      </c>
      <c r="R1448" s="2" t="s">
        <v>1506</v>
      </c>
      <c r="S1448" s="2">
        <v>30.0</v>
      </c>
      <c r="AN1448" s="2" t="s">
        <v>1368</v>
      </c>
    </row>
    <row r="1449" ht="15.75" customHeight="1">
      <c r="A1449" s="2" t="s">
        <v>10857</v>
      </c>
      <c r="B1449" s="2" t="s">
        <v>1396</v>
      </c>
      <c r="C1449" s="2">
        <v>2018.0</v>
      </c>
      <c r="D1449" s="2" t="s">
        <v>10858</v>
      </c>
      <c r="E1449" s="2" t="s">
        <v>10859</v>
      </c>
      <c r="L1449" s="2" t="s">
        <v>1420</v>
      </c>
      <c r="M1449" s="2" t="s">
        <v>1385</v>
      </c>
      <c r="N1449" s="2" t="s">
        <v>1386</v>
      </c>
      <c r="AA1449" s="2" t="s">
        <v>10860</v>
      </c>
      <c r="AN1449" s="2" t="s">
        <v>1368</v>
      </c>
    </row>
    <row r="1450" ht="15.75" customHeight="1">
      <c r="A1450" s="2" t="s">
        <v>10861</v>
      </c>
      <c r="B1450" s="2" t="s">
        <v>1396</v>
      </c>
      <c r="C1450" s="2">
        <v>2018.0</v>
      </c>
      <c r="D1450" s="2" t="s">
        <v>10805</v>
      </c>
      <c r="E1450" s="2" t="s">
        <v>10862</v>
      </c>
      <c r="L1450" s="2" t="s">
        <v>1420</v>
      </c>
      <c r="M1450" s="2" t="s">
        <v>1385</v>
      </c>
      <c r="N1450" s="2" t="s">
        <v>1386</v>
      </c>
      <c r="AN1450" s="2" t="s">
        <v>1368</v>
      </c>
    </row>
    <row r="1451" ht="15.75" customHeight="1">
      <c r="A1451" s="2" t="s">
        <v>10863</v>
      </c>
      <c r="B1451" s="2" t="s">
        <v>1361</v>
      </c>
      <c r="C1451" s="2">
        <v>2003.0</v>
      </c>
      <c r="D1451" s="2" t="s">
        <v>10864</v>
      </c>
      <c r="E1451" s="2" t="s">
        <v>10865</v>
      </c>
      <c r="K1451" s="2" t="s">
        <v>10866</v>
      </c>
      <c r="L1451" s="2" t="s">
        <v>1606</v>
      </c>
      <c r="M1451" s="2" t="s">
        <v>1385</v>
      </c>
      <c r="N1451" s="2" t="s">
        <v>1386</v>
      </c>
      <c r="P1451" s="2" t="s">
        <v>10867</v>
      </c>
      <c r="AN1451" s="2" t="s">
        <v>1368</v>
      </c>
    </row>
    <row r="1452" ht="15.75" customHeight="1">
      <c r="A1452" s="2" t="s">
        <v>10868</v>
      </c>
      <c r="B1452" s="2" t="s">
        <v>1361</v>
      </c>
      <c r="C1452" s="2">
        <v>1988.0</v>
      </c>
      <c r="D1452" s="2" t="s">
        <v>10869</v>
      </c>
      <c r="E1452" s="2" t="s">
        <v>10870</v>
      </c>
      <c r="F1452" s="2" t="s">
        <v>1633</v>
      </c>
      <c r="H1452" s="2" t="s">
        <v>1634</v>
      </c>
      <c r="I1452" s="2" t="s">
        <v>10871</v>
      </c>
      <c r="K1452" s="2" t="s">
        <v>10872</v>
      </c>
      <c r="L1452" s="2" t="s">
        <v>4055</v>
      </c>
      <c r="M1452" s="2" t="s">
        <v>1385</v>
      </c>
      <c r="N1452" s="2" t="s">
        <v>1386</v>
      </c>
      <c r="P1452" s="2" t="s">
        <v>10873</v>
      </c>
      <c r="R1452" s="2" t="s">
        <v>1600</v>
      </c>
      <c r="S1452" s="2">
        <v>64.0</v>
      </c>
      <c r="AN1452" s="2" t="s">
        <v>1368</v>
      </c>
    </row>
    <row r="1453" ht="15.75" customHeight="1">
      <c r="A1453" s="2" t="s">
        <v>10874</v>
      </c>
      <c r="B1453" s="2" t="s">
        <v>1361</v>
      </c>
      <c r="C1453" s="2">
        <v>2017.0</v>
      </c>
      <c r="D1453" s="2" t="s">
        <v>10875</v>
      </c>
      <c r="E1453" s="2" t="s">
        <v>10876</v>
      </c>
      <c r="F1453" s="2" t="s">
        <v>2541</v>
      </c>
      <c r="H1453" s="2" t="s">
        <v>10877</v>
      </c>
      <c r="I1453" s="2" t="s">
        <v>10878</v>
      </c>
      <c r="L1453" s="2" t="s">
        <v>1709</v>
      </c>
      <c r="M1453" s="2" t="s">
        <v>1385</v>
      </c>
      <c r="N1453" s="2" t="s">
        <v>1386</v>
      </c>
      <c r="P1453" s="2" t="s">
        <v>10879</v>
      </c>
      <c r="R1453" s="2" t="s">
        <v>1937</v>
      </c>
      <c r="S1453" s="2">
        <v>25.0</v>
      </c>
      <c r="AN1453" s="2" t="s">
        <v>1368</v>
      </c>
    </row>
    <row r="1454" ht="15.75" customHeight="1">
      <c r="A1454" s="2" t="s">
        <v>10880</v>
      </c>
      <c r="B1454" s="2" t="s">
        <v>1361</v>
      </c>
      <c r="C1454" s="2">
        <v>1998.0</v>
      </c>
      <c r="D1454" s="2" t="s">
        <v>10881</v>
      </c>
      <c r="E1454" s="2" t="s">
        <v>10882</v>
      </c>
      <c r="F1454" s="2" t="s">
        <v>4995</v>
      </c>
      <c r="H1454" s="2" t="s">
        <v>4996</v>
      </c>
      <c r="I1454" s="2" t="s">
        <v>10883</v>
      </c>
      <c r="L1454" s="2" t="s">
        <v>1958</v>
      </c>
      <c r="M1454" s="2" t="s">
        <v>1385</v>
      </c>
      <c r="N1454" s="2" t="s">
        <v>1386</v>
      </c>
      <c r="P1454" s="2" t="s">
        <v>10884</v>
      </c>
      <c r="R1454" s="2" t="s">
        <v>1600</v>
      </c>
      <c r="S1454" s="2">
        <v>29.0</v>
      </c>
      <c r="AN1454" s="2" t="s">
        <v>1368</v>
      </c>
    </row>
    <row r="1455" ht="15.75" customHeight="1">
      <c r="A1455" s="2" t="s">
        <v>10885</v>
      </c>
      <c r="B1455" s="2" t="s">
        <v>1361</v>
      </c>
      <c r="C1455" s="2">
        <v>2009.0</v>
      </c>
      <c r="D1455" s="2" t="s">
        <v>10886</v>
      </c>
      <c r="E1455" s="2" t="s">
        <v>10887</v>
      </c>
      <c r="F1455" s="2" t="s">
        <v>3247</v>
      </c>
      <c r="H1455" s="2" t="s">
        <v>1689</v>
      </c>
      <c r="I1455" s="2" t="s">
        <v>10888</v>
      </c>
      <c r="K1455" s="2" t="s">
        <v>10889</v>
      </c>
      <c r="L1455" s="2" t="s">
        <v>1364</v>
      </c>
      <c r="M1455" s="2" t="s">
        <v>1385</v>
      </c>
      <c r="N1455" s="2" t="s">
        <v>1386</v>
      </c>
      <c r="AN1455" s="2" t="s">
        <v>1368</v>
      </c>
    </row>
    <row r="1456" ht="15.75" customHeight="1">
      <c r="A1456" s="2" t="s">
        <v>10890</v>
      </c>
      <c r="B1456" s="2" t="s">
        <v>1361</v>
      </c>
      <c r="C1456" s="2">
        <v>2010.0</v>
      </c>
      <c r="D1456" s="2" t="s">
        <v>10891</v>
      </c>
      <c r="E1456" s="2" t="s">
        <v>10892</v>
      </c>
      <c r="F1456" s="2" t="s">
        <v>10893</v>
      </c>
      <c r="H1456" s="2" t="s">
        <v>10894</v>
      </c>
      <c r="I1456" s="2" t="s">
        <v>10895</v>
      </c>
      <c r="K1456" s="2" t="s">
        <v>10896</v>
      </c>
      <c r="L1456" s="2" t="s">
        <v>1449</v>
      </c>
      <c r="M1456" s="2" t="s">
        <v>1385</v>
      </c>
      <c r="N1456" s="2" t="s">
        <v>1386</v>
      </c>
      <c r="AN1456" s="2" t="s">
        <v>1368</v>
      </c>
    </row>
    <row r="1457" ht="15.75" customHeight="1">
      <c r="A1457" s="2" t="s">
        <v>10897</v>
      </c>
      <c r="B1457" s="2" t="s">
        <v>1361</v>
      </c>
      <c r="C1457" s="2">
        <v>2013.0</v>
      </c>
      <c r="D1457" s="2" t="s">
        <v>10898</v>
      </c>
      <c r="E1457" s="2" t="s">
        <v>601</v>
      </c>
      <c r="F1457" s="2" t="s">
        <v>10899</v>
      </c>
      <c r="H1457" s="2" t="s">
        <v>10900</v>
      </c>
      <c r="I1457" s="2" t="s">
        <v>604</v>
      </c>
      <c r="K1457" s="2" t="s">
        <v>603</v>
      </c>
      <c r="L1457" s="2" t="s">
        <v>1429</v>
      </c>
      <c r="M1457" s="2" t="s">
        <v>1385</v>
      </c>
      <c r="N1457" s="2" t="s">
        <v>1386</v>
      </c>
      <c r="AN1457" s="2" t="s">
        <v>1368</v>
      </c>
    </row>
    <row r="1458" ht="15.75" customHeight="1">
      <c r="A1458" s="2" t="s">
        <v>10901</v>
      </c>
      <c r="B1458" s="2" t="s">
        <v>1361</v>
      </c>
      <c r="C1458" s="2">
        <v>2010.0</v>
      </c>
      <c r="D1458" s="2" t="s">
        <v>10902</v>
      </c>
      <c r="E1458" s="2" t="s">
        <v>10903</v>
      </c>
      <c r="F1458" s="2" t="s">
        <v>10904</v>
      </c>
      <c r="H1458" s="2" t="s">
        <v>10905</v>
      </c>
      <c r="I1458" s="2" t="s">
        <v>10906</v>
      </c>
      <c r="K1458" s="2" t="s">
        <v>10907</v>
      </c>
      <c r="L1458" s="2" t="s">
        <v>1449</v>
      </c>
      <c r="M1458" s="2" t="s">
        <v>1385</v>
      </c>
      <c r="N1458" s="2" t="s">
        <v>1386</v>
      </c>
      <c r="AN1458" s="2" t="s">
        <v>1368</v>
      </c>
    </row>
    <row r="1459" ht="15.75" customHeight="1">
      <c r="A1459" s="2" t="s">
        <v>10908</v>
      </c>
      <c r="B1459" s="2" t="s">
        <v>1361</v>
      </c>
      <c r="C1459" s="2">
        <v>2010.0</v>
      </c>
      <c r="D1459" s="2" t="s">
        <v>10909</v>
      </c>
      <c r="E1459" s="2" t="s">
        <v>10910</v>
      </c>
      <c r="F1459" s="2" t="s">
        <v>6278</v>
      </c>
      <c r="H1459" s="2" t="s">
        <v>5147</v>
      </c>
      <c r="I1459" s="2" t="s">
        <v>10911</v>
      </c>
      <c r="K1459" s="2" t="s">
        <v>10912</v>
      </c>
      <c r="L1459" s="2" t="s">
        <v>1449</v>
      </c>
      <c r="M1459" s="2" t="s">
        <v>1385</v>
      </c>
      <c r="N1459" s="2" t="s">
        <v>1386</v>
      </c>
      <c r="P1459" s="2" t="s">
        <v>10913</v>
      </c>
      <c r="R1459" s="2" t="s">
        <v>2237</v>
      </c>
      <c r="S1459" s="2">
        <v>53.0</v>
      </c>
      <c r="AN1459" s="2" t="s">
        <v>1368</v>
      </c>
    </row>
    <row r="1460" ht="15.75" customHeight="1">
      <c r="A1460" s="2" t="s">
        <v>10914</v>
      </c>
      <c r="B1460" s="2" t="s">
        <v>1361</v>
      </c>
      <c r="C1460" s="2">
        <v>2006.0</v>
      </c>
      <c r="D1460" s="2" t="s">
        <v>10915</v>
      </c>
      <c r="E1460" s="2" t="s">
        <v>1076</v>
      </c>
      <c r="F1460" s="2" t="s">
        <v>10916</v>
      </c>
      <c r="H1460" s="2" t="s">
        <v>10917</v>
      </c>
      <c r="I1460" s="2" t="s">
        <v>1079</v>
      </c>
      <c r="K1460" s="2" t="s">
        <v>10918</v>
      </c>
      <c r="L1460" s="2" t="s">
        <v>1727</v>
      </c>
      <c r="M1460" s="2" t="s">
        <v>1385</v>
      </c>
      <c r="N1460" s="2" t="s">
        <v>1386</v>
      </c>
      <c r="AN1460" s="2" t="s">
        <v>1368</v>
      </c>
    </row>
    <row r="1461" ht="15.75" customHeight="1">
      <c r="A1461" s="2" t="s">
        <v>10919</v>
      </c>
      <c r="B1461" s="2" t="s">
        <v>1361</v>
      </c>
      <c r="C1461" s="2">
        <v>2015.0</v>
      </c>
      <c r="D1461" s="2" t="s">
        <v>10920</v>
      </c>
      <c r="E1461" s="2" t="s">
        <v>347</v>
      </c>
      <c r="F1461" s="2" t="s">
        <v>1510</v>
      </c>
      <c r="H1461" s="2" t="s">
        <v>1511</v>
      </c>
      <c r="I1461" s="2" t="s">
        <v>349</v>
      </c>
      <c r="J1461" s="2" t="s">
        <v>10921</v>
      </c>
      <c r="K1461" s="2" t="s">
        <v>348</v>
      </c>
      <c r="L1461" s="2" t="s">
        <v>5599</v>
      </c>
      <c r="M1461" s="2" t="s">
        <v>1385</v>
      </c>
      <c r="N1461" s="2" t="s">
        <v>1386</v>
      </c>
      <c r="P1461" s="2" t="s">
        <v>10922</v>
      </c>
      <c r="R1461" s="2" t="s">
        <v>10923</v>
      </c>
      <c r="S1461" s="2">
        <v>348.0</v>
      </c>
      <c r="AN1461" s="2" t="s">
        <v>1368</v>
      </c>
    </row>
    <row r="1462" ht="15.75" customHeight="1">
      <c r="A1462" s="2" t="s">
        <v>10924</v>
      </c>
      <c r="B1462" s="2" t="s">
        <v>1361</v>
      </c>
      <c r="C1462" s="2">
        <v>2010.0</v>
      </c>
      <c r="D1462" s="2" t="s">
        <v>10925</v>
      </c>
      <c r="E1462" s="2" t="s">
        <v>10926</v>
      </c>
      <c r="F1462" s="2" t="s">
        <v>1760</v>
      </c>
      <c r="H1462" s="2" t="s">
        <v>1761</v>
      </c>
      <c r="I1462" s="2" t="s">
        <v>10927</v>
      </c>
      <c r="K1462" s="2" t="s">
        <v>10928</v>
      </c>
      <c r="L1462" s="2" t="s">
        <v>1449</v>
      </c>
      <c r="M1462" s="2" t="s">
        <v>1385</v>
      </c>
      <c r="N1462" s="2" t="s">
        <v>1386</v>
      </c>
      <c r="P1462" s="2" t="s">
        <v>10929</v>
      </c>
      <c r="R1462" s="2" t="s">
        <v>1600</v>
      </c>
      <c r="S1462" s="2">
        <v>69.0</v>
      </c>
      <c r="AN1462" s="2" t="s">
        <v>1368</v>
      </c>
    </row>
    <row r="1463" ht="15.75" customHeight="1">
      <c r="A1463" s="2" t="s">
        <v>10930</v>
      </c>
      <c r="B1463" s="2" t="s">
        <v>1396</v>
      </c>
      <c r="C1463" s="2">
        <v>2004.0</v>
      </c>
      <c r="D1463" s="2" t="s">
        <v>10931</v>
      </c>
      <c r="E1463" s="2" t="s">
        <v>10932</v>
      </c>
      <c r="L1463" s="2" t="s">
        <v>2373</v>
      </c>
      <c r="M1463" s="2" t="s">
        <v>1385</v>
      </c>
      <c r="N1463" s="2" t="s">
        <v>1386</v>
      </c>
      <c r="AA1463" s="2" t="s">
        <v>3004</v>
      </c>
      <c r="AN1463" s="2" t="s">
        <v>1368</v>
      </c>
    </row>
    <row r="1464" ht="15.75" customHeight="1">
      <c r="A1464" s="2" t="s">
        <v>10933</v>
      </c>
      <c r="B1464" s="2" t="s">
        <v>1361</v>
      </c>
      <c r="C1464" s="2">
        <v>2009.0</v>
      </c>
      <c r="D1464" s="2" t="s">
        <v>10934</v>
      </c>
      <c r="E1464" s="2" t="s">
        <v>10935</v>
      </c>
      <c r="F1464" s="2" t="s">
        <v>3274</v>
      </c>
      <c r="H1464" s="2" t="s">
        <v>10936</v>
      </c>
      <c r="I1464" s="2" t="s">
        <v>10937</v>
      </c>
      <c r="K1464" s="2" t="s">
        <v>10938</v>
      </c>
      <c r="L1464" s="2" t="s">
        <v>1364</v>
      </c>
      <c r="M1464" s="2" t="s">
        <v>1385</v>
      </c>
      <c r="N1464" s="2" t="s">
        <v>1386</v>
      </c>
      <c r="P1464" s="2" t="s">
        <v>10939</v>
      </c>
      <c r="R1464" s="2" t="s">
        <v>1462</v>
      </c>
      <c r="S1464" s="2">
        <v>4.0</v>
      </c>
      <c r="AN1464" s="2" t="s">
        <v>1368</v>
      </c>
    </row>
    <row r="1465" ht="15.75" customHeight="1">
      <c r="A1465" s="2" t="s">
        <v>10940</v>
      </c>
      <c r="B1465" s="2" t="s">
        <v>1361</v>
      </c>
      <c r="C1465" s="2">
        <v>2005.0</v>
      </c>
      <c r="D1465" s="2" t="s">
        <v>10941</v>
      </c>
      <c r="E1465" s="2" t="s">
        <v>10942</v>
      </c>
      <c r="F1465" s="2" t="s">
        <v>2590</v>
      </c>
      <c r="H1465" s="2" t="s">
        <v>2591</v>
      </c>
      <c r="I1465" s="2" t="s">
        <v>10943</v>
      </c>
      <c r="K1465" s="2" t="s">
        <v>10944</v>
      </c>
      <c r="L1465" s="2" t="s">
        <v>1394</v>
      </c>
      <c r="M1465" s="2" t="s">
        <v>1385</v>
      </c>
      <c r="N1465" s="2" t="s">
        <v>1386</v>
      </c>
      <c r="AN1465" s="2" t="s">
        <v>1368</v>
      </c>
    </row>
    <row r="1466" ht="15.75" customHeight="1">
      <c r="A1466" s="2" t="s">
        <v>10945</v>
      </c>
      <c r="B1466" s="2" t="s">
        <v>1361</v>
      </c>
      <c r="C1466" s="2">
        <v>2013.0</v>
      </c>
      <c r="D1466" s="2" t="s">
        <v>10946</v>
      </c>
      <c r="E1466" s="2" t="s">
        <v>10947</v>
      </c>
      <c r="F1466" s="2" t="s">
        <v>1425</v>
      </c>
      <c r="H1466" s="2" t="s">
        <v>1426</v>
      </c>
      <c r="I1466" s="2" t="s">
        <v>10948</v>
      </c>
      <c r="K1466" s="2" t="s">
        <v>10949</v>
      </c>
      <c r="L1466" s="2" t="s">
        <v>1429</v>
      </c>
      <c r="M1466" s="2" t="s">
        <v>1385</v>
      </c>
      <c r="N1466" s="2" t="s">
        <v>1386</v>
      </c>
      <c r="P1466" s="2" t="s">
        <v>10950</v>
      </c>
      <c r="R1466" s="2" t="s">
        <v>1600</v>
      </c>
      <c r="S1466" s="2">
        <v>65.0</v>
      </c>
      <c r="AN1466" s="2" t="s">
        <v>1368</v>
      </c>
    </row>
    <row r="1467" ht="15.75" customHeight="1">
      <c r="A1467" s="2" t="s">
        <v>10951</v>
      </c>
      <c r="B1467" s="2" t="s">
        <v>1361</v>
      </c>
      <c r="C1467" s="2">
        <v>2007.0</v>
      </c>
      <c r="D1467" s="2" t="s">
        <v>10952</v>
      </c>
      <c r="E1467" s="2" t="s">
        <v>10953</v>
      </c>
      <c r="F1467" s="2" t="s">
        <v>10954</v>
      </c>
      <c r="H1467" s="2" t="s">
        <v>10955</v>
      </c>
      <c r="I1467" s="2" t="s">
        <v>10956</v>
      </c>
      <c r="K1467" s="2" t="s">
        <v>10957</v>
      </c>
      <c r="L1467" s="2" t="s">
        <v>10958</v>
      </c>
      <c r="M1467" s="2" t="s">
        <v>1385</v>
      </c>
      <c r="N1467" s="2" t="s">
        <v>1386</v>
      </c>
      <c r="P1467" s="2" t="s">
        <v>3368</v>
      </c>
      <c r="R1467" s="2" t="s">
        <v>1462</v>
      </c>
      <c r="S1467" s="2">
        <v>7.0</v>
      </c>
      <c r="AN1467" s="2" t="s">
        <v>1368</v>
      </c>
    </row>
    <row r="1468" ht="15.75" customHeight="1">
      <c r="A1468" s="2" t="s">
        <v>10959</v>
      </c>
      <c r="B1468" s="2" t="s">
        <v>1361</v>
      </c>
      <c r="C1468" s="2">
        <v>2013.0</v>
      </c>
      <c r="D1468" s="2" t="s">
        <v>10960</v>
      </c>
      <c r="E1468" s="2" t="s">
        <v>10961</v>
      </c>
      <c r="F1468" s="2" t="s">
        <v>5909</v>
      </c>
      <c r="I1468" s="2" t="s">
        <v>10962</v>
      </c>
      <c r="L1468" s="2" t="s">
        <v>1429</v>
      </c>
      <c r="M1468" s="2" t="s">
        <v>1385</v>
      </c>
      <c r="N1468" s="2" t="s">
        <v>1386</v>
      </c>
      <c r="P1468" s="2" t="s">
        <v>2806</v>
      </c>
      <c r="R1468" s="2" t="s">
        <v>1480</v>
      </c>
      <c r="S1468" s="2">
        <v>26.0</v>
      </c>
      <c r="AN1468" s="2" t="s">
        <v>1368</v>
      </c>
    </row>
    <row r="1469" ht="15.75" customHeight="1">
      <c r="A1469" s="2" t="s">
        <v>10963</v>
      </c>
      <c r="B1469" s="2" t="s">
        <v>1361</v>
      </c>
      <c r="C1469" s="2">
        <v>2007.0</v>
      </c>
      <c r="D1469" s="2" t="s">
        <v>10964</v>
      </c>
      <c r="E1469" s="2" t="s">
        <v>10965</v>
      </c>
      <c r="F1469" s="2" t="s">
        <v>4086</v>
      </c>
      <c r="H1469" s="2" t="s">
        <v>7313</v>
      </c>
      <c r="I1469" s="2" t="s">
        <v>10966</v>
      </c>
      <c r="L1469" s="2" t="s">
        <v>2380</v>
      </c>
      <c r="M1469" s="2" t="s">
        <v>10967</v>
      </c>
      <c r="N1469" s="2" t="s">
        <v>10968</v>
      </c>
      <c r="P1469" s="2" t="s">
        <v>10969</v>
      </c>
      <c r="R1469" s="2" t="s">
        <v>1462</v>
      </c>
      <c r="S1469" s="2">
        <v>97.0</v>
      </c>
      <c r="AN1469" s="2" t="s">
        <v>1368</v>
      </c>
    </row>
    <row r="1470" ht="15.75" customHeight="1">
      <c r="A1470" s="2" t="s">
        <v>10970</v>
      </c>
      <c r="B1470" s="2" t="s">
        <v>1361</v>
      </c>
      <c r="C1470" s="2">
        <v>2015.0</v>
      </c>
      <c r="D1470" s="2" t="s">
        <v>10971</v>
      </c>
      <c r="E1470" s="2" t="s">
        <v>10972</v>
      </c>
      <c r="F1470" s="2" t="s">
        <v>2650</v>
      </c>
      <c r="I1470" s="2" t="s">
        <v>10973</v>
      </c>
      <c r="L1470" s="2" t="s">
        <v>1373</v>
      </c>
      <c r="M1470" s="2" t="s">
        <v>10974</v>
      </c>
      <c r="N1470" s="2" t="s">
        <v>10975</v>
      </c>
      <c r="P1470" s="2" t="s">
        <v>10976</v>
      </c>
      <c r="R1470" s="2" t="s">
        <v>1453</v>
      </c>
      <c r="S1470" s="2">
        <v>5.0</v>
      </c>
      <c r="AN1470" s="2" t="s">
        <v>1368</v>
      </c>
    </row>
    <row r="1471" ht="15.75" customHeight="1">
      <c r="A1471" s="2" t="s">
        <v>10977</v>
      </c>
      <c r="B1471" s="2" t="s">
        <v>1361</v>
      </c>
      <c r="C1471" s="2">
        <v>2010.0</v>
      </c>
      <c r="D1471" s="2" t="s">
        <v>10978</v>
      </c>
      <c r="E1471" s="2" t="s">
        <v>879</v>
      </c>
      <c r="F1471" s="2" t="s">
        <v>1510</v>
      </c>
      <c r="H1471" s="2" t="s">
        <v>1546</v>
      </c>
      <c r="I1471" s="2" t="s">
        <v>881</v>
      </c>
      <c r="J1471" s="2" t="s">
        <v>10979</v>
      </c>
      <c r="K1471" s="2" t="s">
        <v>10980</v>
      </c>
      <c r="L1471" s="2" t="s">
        <v>10981</v>
      </c>
      <c r="M1471" s="2" t="s">
        <v>10982</v>
      </c>
      <c r="N1471" s="2" t="s">
        <v>10983</v>
      </c>
      <c r="O1471" s="2" t="s">
        <v>2229</v>
      </c>
      <c r="P1471" s="2" t="s">
        <v>10984</v>
      </c>
      <c r="R1471" s="2" t="s">
        <v>10985</v>
      </c>
      <c r="S1471" s="2">
        <v>328.0</v>
      </c>
      <c r="U1471" s="2" t="s">
        <v>1510</v>
      </c>
      <c r="V1471" s="2" t="s">
        <v>10986</v>
      </c>
      <c r="AC1471" s="2" t="s">
        <v>1540</v>
      </c>
      <c r="AH1471" s="2" t="s">
        <v>1541</v>
      </c>
      <c r="AN1471" s="2" t="s">
        <v>10987</v>
      </c>
    </row>
    <row r="1472" ht="15.75" customHeight="1">
      <c r="A1472" s="2" t="s">
        <v>10988</v>
      </c>
      <c r="B1472" s="2" t="s">
        <v>1361</v>
      </c>
      <c r="C1472" s="2">
        <v>2012.0</v>
      </c>
      <c r="D1472" s="2" t="s">
        <v>10989</v>
      </c>
      <c r="E1472" s="2" t="s">
        <v>10990</v>
      </c>
      <c r="F1472" s="2" t="s">
        <v>1876</v>
      </c>
      <c r="H1472" s="2" t="s">
        <v>1877</v>
      </c>
      <c r="I1472" s="2" t="s">
        <v>10991</v>
      </c>
      <c r="J1472" s="2" t="s">
        <v>10992</v>
      </c>
      <c r="L1472" s="2" t="s">
        <v>10993</v>
      </c>
      <c r="M1472" s="2" t="s">
        <v>10994</v>
      </c>
      <c r="N1472" s="2" t="s">
        <v>10995</v>
      </c>
      <c r="O1472" s="2" t="s">
        <v>10996</v>
      </c>
      <c r="P1472" s="2" t="s">
        <v>10997</v>
      </c>
      <c r="R1472" s="2" t="s">
        <v>1600</v>
      </c>
      <c r="S1472" s="2">
        <v>7.0</v>
      </c>
      <c r="U1472" s="2" t="s">
        <v>1876</v>
      </c>
      <c r="AC1472" s="2" t="s">
        <v>1540</v>
      </c>
      <c r="AH1472" s="2" t="s">
        <v>1541</v>
      </c>
      <c r="AN1472" s="2" t="s">
        <v>8021</v>
      </c>
      <c r="AP1472" s="2" t="s">
        <v>10998</v>
      </c>
    </row>
    <row r="1473" ht="15.75" customHeight="1">
      <c r="A1473" s="2" t="s">
        <v>10999</v>
      </c>
      <c r="B1473" s="2" t="s">
        <v>1623</v>
      </c>
      <c r="C1473" s="2">
        <v>2013.0</v>
      </c>
      <c r="D1473" s="2" t="s">
        <v>11000</v>
      </c>
      <c r="E1473" s="2" t="s">
        <v>11001</v>
      </c>
      <c r="J1473" s="2" t="s">
        <v>11002</v>
      </c>
      <c r="K1473" s="2" t="s">
        <v>11003</v>
      </c>
      <c r="L1473" s="2" t="s">
        <v>1429</v>
      </c>
      <c r="M1473" s="2" t="s">
        <v>1562</v>
      </c>
      <c r="N1473" s="2" t="s">
        <v>1563</v>
      </c>
      <c r="P1473" s="2" t="s">
        <v>11004</v>
      </c>
      <c r="AA1473" s="2" t="s">
        <v>11005</v>
      </c>
      <c r="AN1473" s="2" t="s">
        <v>6743</v>
      </c>
    </row>
    <row r="1474" ht="15.75" customHeight="1">
      <c r="A1474" s="2" t="s">
        <v>11006</v>
      </c>
      <c r="B1474" s="2" t="s">
        <v>1781</v>
      </c>
      <c r="C1474" s="2">
        <v>2005.0</v>
      </c>
      <c r="D1474" s="2" t="s">
        <v>11007</v>
      </c>
      <c r="E1474" s="2" t="s">
        <v>11008</v>
      </c>
      <c r="L1474" s="2" t="s">
        <v>1394</v>
      </c>
      <c r="M1474" s="2" t="s">
        <v>1385</v>
      </c>
      <c r="N1474" s="2" t="s">
        <v>1386</v>
      </c>
      <c r="AN1474" s="2" t="s">
        <v>1368</v>
      </c>
    </row>
    <row r="1475" ht="15.75" customHeight="1">
      <c r="A1475" s="2" t="s">
        <v>11009</v>
      </c>
      <c r="B1475" s="2" t="s">
        <v>1396</v>
      </c>
      <c r="C1475" s="2">
        <v>1989.0</v>
      </c>
      <c r="D1475" s="2" t="s">
        <v>11010</v>
      </c>
      <c r="E1475" s="2" t="s">
        <v>11011</v>
      </c>
      <c r="G1475" s="2" t="s">
        <v>11012</v>
      </c>
      <c r="L1475" s="2" t="s">
        <v>2701</v>
      </c>
      <c r="M1475" s="2" t="s">
        <v>1385</v>
      </c>
      <c r="N1475" s="2" t="s">
        <v>1386</v>
      </c>
      <c r="Q1475" s="2">
        <v>336.0</v>
      </c>
      <c r="W1475" s="2" t="s">
        <v>11013</v>
      </c>
      <c r="AA1475" s="2" t="s">
        <v>11014</v>
      </c>
      <c r="AN1475" s="2" t="s">
        <v>1368</v>
      </c>
    </row>
    <row r="1476" ht="15.75" customHeight="1">
      <c r="A1476" s="2" t="s">
        <v>11015</v>
      </c>
      <c r="B1476" s="2" t="s">
        <v>1361</v>
      </c>
      <c r="C1476" s="2">
        <v>2013.0</v>
      </c>
      <c r="D1476" s="2" t="s">
        <v>11016</v>
      </c>
      <c r="E1476" s="2" t="s">
        <v>11017</v>
      </c>
      <c r="F1476" s="2" t="s">
        <v>3689</v>
      </c>
      <c r="H1476" s="2" t="s">
        <v>3690</v>
      </c>
      <c r="I1476" s="2" t="s">
        <v>11018</v>
      </c>
      <c r="J1476" s="2" t="s">
        <v>11019</v>
      </c>
      <c r="K1476" s="2" t="s">
        <v>11020</v>
      </c>
      <c r="L1476" s="2" t="s">
        <v>11021</v>
      </c>
      <c r="M1476" s="2" t="s">
        <v>1385</v>
      </c>
      <c r="N1476" s="2" t="s">
        <v>1386</v>
      </c>
      <c r="P1476" s="2" t="s">
        <v>11022</v>
      </c>
      <c r="R1476" s="2" t="s">
        <v>1462</v>
      </c>
      <c r="S1476" s="2">
        <v>5.0</v>
      </c>
      <c r="AN1476" s="2" t="s">
        <v>1368</v>
      </c>
    </row>
    <row r="1477" ht="15.75" customHeight="1">
      <c r="A1477" s="2" t="s">
        <v>11023</v>
      </c>
      <c r="B1477" s="2" t="s">
        <v>1361</v>
      </c>
      <c r="C1477" s="2">
        <v>2001.0</v>
      </c>
      <c r="D1477" s="2" t="s">
        <v>11024</v>
      </c>
      <c r="E1477" s="2" t="s">
        <v>11025</v>
      </c>
      <c r="F1477" s="2" t="s">
        <v>5146</v>
      </c>
      <c r="H1477" s="2" t="s">
        <v>5147</v>
      </c>
      <c r="I1477" s="2" t="s">
        <v>11026</v>
      </c>
      <c r="K1477" s="2" t="s">
        <v>11027</v>
      </c>
      <c r="L1477" s="2" t="s">
        <v>1414</v>
      </c>
      <c r="M1477" s="2" t="s">
        <v>1385</v>
      </c>
      <c r="N1477" s="2" t="s">
        <v>1386</v>
      </c>
      <c r="P1477" s="2" t="s">
        <v>11028</v>
      </c>
      <c r="R1477" s="2" t="s">
        <v>10595</v>
      </c>
      <c r="S1477" s="2">
        <v>44.0</v>
      </c>
      <c r="AN1477" s="2" t="s">
        <v>1368</v>
      </c>
    </row>
    <row r="1478" ht="15.75" customHeight="1">
      <c r="A1478" s="2" t="s">
        <v>11029</v>
      </c>
      <c r="B1478" s="2" t="s">
        <v>1396</v>
      </c>
      <c r="C1478" s="2">
        <v>2006.0</v>
      </c>
      <c r="D1478" s="2" t="s">
        <v>11030</v>
      </c>
      <c r="E1478" s="2" t="s">
        <v>11031</v>
      </c>
      <c r="G1478" s="2" t="s">
        <v>11032</v>
      </c>
      <c r="K1478" s="2" t="s">
        <v>11033</v>
      </c>
      <c r="L1478" s="2" t="s">
        <v>1727</v>
      </c>
      <c r="M1478" s="2" t="s">
        <v>1385</v>
      </c>
      <c r="N1478" s="2" t="s">
        <v>1386</v>
      </c>
      <c r="Q1478" s="2">
        <v>418.0</v>
      </c>
      <c r="AA1478" s="2" t="s">
        <v>1771</v>
      </c>
      <c r="AN1478" s="2" t="s">
        <v>1368</v>
      </c>
    </row>
    <row r="1479" ht="15.75" customHeight="1">
      <c r="A1479" s="2" t="s">
        <v>11034</v>
      </c>
      <c r="B1479" s="2" t="s">
        <v>1361</v>
      </c>
      <c r="C1479" s="2">
        <v>2013.0</v>
      </c>
      <c r="D1479" s="2" t="s">
        <v>11035</v>
      </c>
      <c r="E1479" s="2" t="s">
        <v>11036</v>
      </c>
      <c r="F1479" s="2" t="s">
        <v>1760</v>
      </c>
      <c r="I1479" s="2" t="s">
        <v>11037</v>
      </c>
      <c r="L1479" s="2" t="s">
        <v>1429</v>
      </c>
      <c r="M1479" s="2" t="s">
        <v>1365</v>
      </c>
      <c r="N1479" s="2" t="s">
        <v>1366</v>
      </c>
      <c r="P1479" s="2" t="s">
        <v>11038</v>
      </c>
      <c r="S1479" s="2">
        <v>92.0</v>
      </c>
      <c r="AN1479" s="2" t="s">
        <v>1368</v>
      </c>
    </row>
    <row r="1480" ht="15.75" customHeight="1">
      <c r="A1480" s="2" t="s">
        <v>11039</v>
      </c>
      <c r="B1480" s="2" t="s">
        <v>1361</v>
      </c>
      <c r="C1480" s="2">
        <v>2007.0</v>
      </c>
      <c r="D1480" s="2" t="s">
        <v>11040</v>
      </c>
      <c r="E1480" s="2" t="s">
        <v>11041</v>
      </c>
      <c r="F1480" s="2" t="s">
        <v>11042</v>
      </c>
      <c r="I1480" s="2" t="s">
        <v>11043</v>
      </c>
      <c r="L1480" s="2" t="s">
        <v>2380</v>
      </c>
      <c r="M1480" s="2" t="s">
        <v>11044</v>
      </c>
      <c r="N1480" s="2" t="s">
        <v>11045</v>
      </c>
      <c r="P1480" s="2" t="s">
        <v>11046</v>
      </c>
      <c r="R1480" s="2">
        <v>1.0</v>
      </c>
      <c r="S1480" s="2">
        <v>53.0</v>
      </c>
      <c r="AN1480" s="2" t="s">
        <v>1368</v>
      </c>
    </row>
    <row r="1481" ht="15.75" customHeight="1">
      <c r="A1481" s="2" t="s">
        <v>11047</v>
      </c>
      <c r="B1481" s="2" t="s">
        <v>1361</v>
      </c>
      <c r="C1481" s="2">
        <v>2015.0</v>
      </c>
      <c r="D1481" s="2" t="s">
        <v>11048</v>
      </c>
      <c r="E1481" s="2" t="s">
        <v>11049</v>
      </c>
      <c r="F1481" s="2" t="s">
        <v>2028</v>
      </c>
      <c r="I1481" s="2" t="s">
        <v>395</v>
      </c>
      <c r="L1481" s="2" t="s">
        <v>1373</v>
      </c>
      <c r="M1481" s="2" t="s">
        <v>11050</v>
      </c>
      <c r="N1481" s="2" t="s">
        <v>11051</v>
      </c>
      <c r="P1481" s="2" t="s">
        <v>11052</v>
      </c>
      <c r="R1481" s="2">
        <v>1.0</v>
      </c>
      <c r="S1481" s="2">
        <v>97.0</v>
      </c>
      <c r="AN1481" s="2" t="s">
        <v>1368</v>
      </c>
    </row>
    <row r="1482" ht="15.75" customHeight="1">
      <c r="A1482" s="2" t="s">
        <v>11053</v>
      </c>
      <c r="B1482" s="2" t="s">
        <v>1361</v>
      </c>
      <c r="C1482" s="2">
        <v>2012.0</v>
      </c>
      <c r="D1482" s="2" t="s">
        <v>11054</v>
      </c>
      <c r="E1482" s="2" t="s">
        <v>11055</v>
      </c>
      <c r="F1482" s="2" t="s">
        <v>11056</v>
      </c>
      <c r="H1482" s="2" t="s">
        <v>2434</v>
      </c>
      <c r="I1482" s="2" t="s">
        <v>11057</v>
      </c>
      <c r="K1482" s="2" t="s">
        <v>11058</v>
      </c>
      <c r="L1482" s="2" t="s">
        <v>9804</v>
      </c>
      <c r="M1482" s="2" t="s">
        <v>1385</v>
      </c>
      <c r="N1482" s="2" t="s">
        <v>1386</v>
      </c>
      <c r="P1482" s="2" t="s">
        <v>11059</v>
      </c>
      <c r="R1482" s="2">
        <v>6.0</v>
      </c>
      <c r="S1482" s="2">
        <v>40.0</v>
      </c>
      <c r="AN1482" s="2" t="s">
        <v>1368</v>
      </c>
    </row>
    <row r="1483" ht="15.75" customHeight="1">
      <c r="A1483" s="2" t="s">
        <v>11060</v>
      </c>
      <c r="B1483" s="2" t="s">
        <v>1361</v>
      </c>
      <c r="C1483" s="2">
        <v>2010.0</v>
      </c>
      <c r="D1483" s="2" t="s">
        <v>11061</v>
      </c>
      <c r="E1483" s="2" t="s">
        <v>11062</v>
      </c>
      <c r="F1483" s="2" t="s">
        <v>11063</v>
      </c>
      <c r="H1483" s="2" t="s">
        <v>11064</v>
      </c>
      <c r="I1483" s="2" t="s">
        <v>11065</v>
      </c>
      <c r="J1483" s="2" t="s">
        <v>11066</v>
      </c>
      <c r="K1483" s="2" t="s">
        <v>11067</v>
      </c>
      <c r="L1483" s="2" t="s">
        <v>11068</v>
      </c>
      <c r="M1483" s="2" t="s">
        <v>1385</v>
      </c>
      <c r="N1483" s="2" t="s">
        <v>1386</v>
      </c>
      <c r="P1483" s="2" t="s">
        <v>11069</v>
      </c>
      <c r="R1483" s="2">
        <v>2.0</v>
      </c>
      <c r="S1483" s="2">
        <v>32.0</v>
      </c>
      <c r="U1483" s="2" t="s">
        <v>11070</v>
      </c>
      <c r="AN1483" s="2" t="s">
        <v>1368</v>
      </c>
    </row>
    <row r="1484" ht="15.75" customHeight="1">
      <c r="A1484" s="2" t="s">
        <v>11071</v>
      </c>
      <c r="B1484" s="2" t="s">
        <v>1361</v>
      </c>
      <c r="C1484" s="2">
        <v>1997.0</v>
      </c>
      <c r="D1484" s="2" t="s">
        <v>11072</v>
      </c>
      <c r="E1484" s="2" t="s">
        <v>11073</v>
      </c>
      <c r="F1484" s="2" t="s">
        <v>4728</v>
      </c>
      <c r="H1484" s="2" t="s">
        <v>7722</v>
      </c>
      <c r="I1484" s="2" t="s">
        <v>11074</v>
      </c>
      <c r="K1484" s="2" t="s">
        <v>11075</v>
      </c>
      <c r="L1484" s="2" t="s">
        <v>1804</v>
      </c>
      <c r="M1484" s="2" t="s">
        <v>1385</v>
      </c>
      <c r="N1484" s="2" t="s">
        <v>1386</v>
      </c>
      <c r="AN1484" s="2" t="s">
        <v>1368</v>
      </c>
    </row>
    <row r="1485" ht="15.75" customHeight="1">
      <c r="A1485" s="2" t="s">
        <v>11076</v>
      </c>
      <c r="B1485" s="2" t="s">
        <v>1361</v>
      </c>
      <c r="C1485" s="2">
        <v>1985.0</v>
      </c>
      <c r="D1485" s="2" t="s">
        <v>11077</v>
      </c>
      <c r="E1485" s="2" t="s">
        <v>11078</v>
      </c>
      <c r="F1485" s="2" t="s">
        <v>11079</v>
      </c>
      <c r="H1485" s="2" t="s">
        <v>11080</v>
      </c>
      <c r="I1485" s="2" t="s">
        <v>11081</v>
      </c>
      <c r="K1485" s="2" t="s">
        <v>11082</v>
      </c>
      <c r="L1485" s="2" t="s">
        <v>1820</v>
      </c>
      <c r="M1485" s="2" t="s">
        <v>1385</v>
      </c>
      <c r="N1485" s="2" t="s">
        <v>1386</v>
      </c>
      <c r="AN1485" s="2" t="s">
        <v>1368</v>
      </c>
    </row>
    <row r="1486" ht="15.75" customHeight="1">
      <c r="A1486" s="2" t="s">
        <v>11083</v>
      </c>
      <c r="B1486" s="2" t="s">
        <v>1396</v>
      </c>
      <c r="C1486" s="2">
        <v>2010.0</v>
      </c>
      <c r="D1486" s="2" t="s">
        <v>11084</v>
      </c>
      <c r="E1486" s="2" t="s">
        <v>11085</v>
      </c>
      <c r="L1486" s="2" t="s">
        <v>1449</v>
      </c>
      <c r="M1486" s="2" t="s">
        <v>1385</v>
      </c>
      <c r="N1486" s="2" t="s">
        <v>1386</v>
      </c>
      <c r="AA1486" s="2" t="s">
        <v>7117</v>
      </c>
      <c r="AN1486" s="2" t="s">
        <v>1368</v>
      </c>
    </row>
    <row r="1487" ht="15.75" customHeight="1">
      <c r="A1487" s="2" t="s">
        <v>11086</v>
      </c>
      <c r="B1487" s="2" t="s">
        <v>1396</v>
      </c>
      <c r="C1487" s="2">
        <v>1980.0</v>
      </c>
      <c r="D1487" s="2" t="s">
        <v>11087</v>
      </c>
      <c r="E1487" s="2" t="s">
        <v>11088</v>
      </c>
      <c r="G1487" s="2" t="s">
        <v>11089</v>
      </c>
      <c r="J1487" s="2" t="s">
        <v>11090</v>
      </c>
      <c r="L1487" s="2" t="s">
        <v>5815</v>
      </c>
      <c r="M1487" s="2" t="s">
        <v>1385</v>
      </c>
      <c r="N1487" s="2" t="s">
        <v>1386</v>
      </c>
      <c r="AA1487" s="2" t="s">
        <v>11091</v>
      </c>
      <c r="AN1487" s="2" t="s">
        <v>1368</v>
      </c>
    </row>
    <row r="1488" ht="15.75" customHeight="1">
      <c r="A1488" s="2" t="s">
        <v>11092</v>
      </c>
      <c r="B1488" s="2" t="s">
        <v>1361</v>
      </c>
      <c r="C1488" s="2">
        <v>2004.0</v>
      </c>
      <c r="D1488" s="2" t="s">
        <v>11093</v>
      </c>
      <c r="E1488" s="2" t="s">
        <v>11094</v>
      </c>
      <c r="F1488" s="2" t="s">
        <v>1510</v>
      </c>
      <c r="H1488" s="2" t="s">
        <v>1511</v>
      </c>
      <c r="I1488" s="2" t="s">
        <v>11095</v>
      </c>
      <c r="K1488" s="2" t="s">
        <v>11096</v>
      </c>
      <c r="L1488" s="2" t="s">
        <v>2373</v>
      </c>
      <c r="M1488" s="2" t="s">
        <v>1385</v>
      </c>
      <c r="N1488" s="2" t="s">
        <v>1386</v>
      </c>
      <c r="AN1488" s="2" t="s">
        <v>1368</v>
      </c>
    </row>
    <row r="1489" ht="15.75" customHeight="1">
      <c r="A1489" s="2" t="s">
        <v>11097</v>
      </c>
      <c r="B1489" s="2" t="s">
        <v>1361</v>
      </c>
      <c r="C1489" s="2">
        <v>2004.0</v>
      </c>
      <c r="D1489" s="2" t="s">
        <v>11098</v>
      </c>
      <c r="E1489" s="2" t="s">
        <v>11099</v>
      </c>
      <c r="F1489" s="2" t="s">
        <v>11100</v>
      </c>
      <c r="L1489" s="2" t="s">
        <v>2373</v>
      </c>
      <c r="M1489" s="2" t="s">
        <v>11101</v>
      </c>
      <c r="N1489" s="2" t="s">
        <v>11102</v>
      </c>
      <c r="P1489" s="2" t="s">
        <v>11103</v>
      </c>
      <c r="S1489" s="2" t="s">
        <v>6462</v>
      </c>
      <c r="AN1489" s="2" t="s">
        <v>1368</v>
      </c>
    </row>
    <row r="1490" ht="15.75" customHeight="1">
      <c r="A1490" s="2" t="s">
        <v>11104</v>
      </c>
      <c r="B1490" s="2" t="s">
        <v>1361</v>
      </c>
      <c r="C1490" s="2">
        <v>2000.0</v>
      </c>
      <c r="D1490" s="2" t="s">
        <v>11105</v>
      </c>
      <c r="E1490" s="2" t="s">
        <v>11106</v>
      </c>
      <c r="F1490" s="2" t="s">
        <v>5909</v>
      </c>
      <c r="I1490" s="2" t="s">
        <v>11107</v>
      </c>
      <c r="L1490" s="2" t="s">
        <v>2429</v>
      </c>
      <c r="M1490" s="2" t="s">
        <v>11108</v>
      </c>
      <c r="N1490" s="2" t="s">
        <v>11109</v>
      </c>
      <c r="P1490" s="2" t="s">
        <v>11110</v>
      </c>
      <c r="R1490" s="2" t="s">
        <v>2646</v>
      </c>
      <c r="S1490" s="2" t="s">
        <v>2042</v>
      </c>
      <c r="AN1490" s="2" t="s">
        <v>1368</v>
      </c>
    </row>
    <row r="1491" ht="15.75" customHeight="1">
      <c r="A1491" s="2" t="s">
        <v>11111</v>
      </c>
      <c r="B1491" s="2" t="s">
        <v>1361</v>
      </c>
      <c r="C1491" s="2">
        <v>2017.0</v>
      </c>
      <c r="D1491" s="2" t="s">
        <v>11112</v>
      </c>
      <c r="E1491" s="2" t="s">
        <v>11113</v>
      </c>
      <c r="F1491" s="2" t="s">
        <v>11114</v>
      </c>
      <c r="I1491" s="2" t="s">
        <v>11115</v>
      </c>
      <c r="L1491" s="2" t="s">
        <v>1658</v>
      </c>
      <c r="M1491" s="2" t="s">
        <v>11116</v>
      </c>
      <c r="N1491" s="2" t="s">
        <v>11117</v>
      </c>
      <c r="AN1491" s="2" t="s">
        <v>1368</v>
      </c>
    </row>
    <row r="1492" ht="15.75" customHeight="1">
      <c r="A1492" s="2" t="s">
        <v>11118</v>
      </c>
      <c r="B1492" s="2" t="s">
        <v>1361</v>
      </c>
      <c r="C1492" s="2">
        <v>2017.0</v>
      </c>
      <c r="D1492" s="2" t="s">
        <v>11119</v>
      </c>
      <c r="E1492" s="2" t="s">
        <v>11120</v>
      </c>
      <c r="F1492" s="2" t="s">
        <v>1380</v>
      </c>
      <c r="I1492" s="2" t="s">
        <v>11121</v>
      </c>
      <c r="L1492" s="2" t="s">
        <v>1658</v>
      </c>
      <c r="M1492" s="2" t="s">
        <v>1943</v>
      </c>
      <c r="N1492" s="2" t="s">
        <v>1944</v>
      </c>
      <c r="P1492" s="2" t="s">
        <v>11122</v>
      </c>
      <c r="R1492" s="2" t="s">
        <v>11123</v>
      </c>
      <c r="S1492" s="2" t="s">
        <v>11124</v>
      </c>
      <c r="AN1492" s="2" t="s">
        <v>1368</v>
      </c>
    </row>
    <row r="1493" ht="15.75" customHeight="1">
      <c r="A1493" s="2" t="s">
        <v>11125</v>
      </c>
      <c r="B1493" s="2" t="s">
        <v>1361</v>
      </c>
      <c r="C1493" s="2">
        <v>2008.0</v>
      </c>
      <c r="D1493" s="2" t="s">
        <v>11126</v>
      </c>
      <c r="E1493" s="2" t="s">
        <v>11127</v>
      </c>
      <c r="F1493" s="2" t="s">
        <v>1587</v>
      </c>
      <c r="I1493" s="2" t="s">
        <v>11128</v>
      </c>
      <c r="L1493" s="2" t="s">
        <v>1458</v>
      </c>
      <c r="M1493" s="2" t="s">
        <v>11129</v>
      </c>
      <c r="N1493" s="2" t="s">
        <v>11130</v>
      </c>
      <c r="P1493" s="2" t="s">
        <v>11131</v>
      </c>
      <c r="R1493" s="2" t="s">
        <v>1506</v>
      </c>
      <c r="S1493" s="2" t="s">
        <v>2739</v>
      </c>
      <c r="AC1493" s="2" t="s">
        <v>3263</v>
      </c>
      <c r="AN1493" s="2" t="s">
        <v>1368</v>
      </c>
    </row>
    <row r="1494" ht="15.75" customHeight="1">
      <c r="A1494" s="2" t="s">
        <v>11132</v>
      </c>
      <c r="B1494" s="2" t="s">
        <v>1361</v>
      </c>
      <c r="C1494" s="2">
        <v>2013.0</v>
      </c>
      <c r="D1494" s="2" t="s">
        <v>11133</v>
      </c>
      <c r="E1494" s="2" t="s">
        <v>11134</v>
      </c>
      <c r="F1494" s="2" t="s">
        <v>11135</v>
      </c>
      <c r="I1494" s="2" t="s">
        <v>11136</v>
      </c>
      <c r="L1494" s="2" t="s">
        <v>1429</v>
      </c>
      <c r="M1494" s="2" t="s">
        <v>11137</v>
      </c>
      <c r="N1494" s="2" t="s">
        <v>11138</v>
      </c>
      <c r="P1494" s="2" t="s">
        <v>11139</v>
      </c>
      <c r="R1494" s="2" t="s">
        <v>11140</v>
      </c>
      <c r="S1494" s="2" t="s">
        <v>10821</v>
      </c>
      <c r="AN1494" s="2" t="s">
        <v>1368</v>
      </c>
    </row>
    <row r="1495" ht="15.75" customHeight="1">
      <c r="A1495" s="2" t="s">
        <v>11141</v>
      </c>
      <c r="B1495" s="2" t="s">
        <v>1361</v>
      </c>
      <c r="C1495" s="2">
        <v>1997.0</v>
      </c>
      <c r="D1495" s="2" t="s">
        <v>11142</v>
      </c>
      <c r="E1495" s="2" t="s">
        <v>11143</v>
      </c>
      <c r="F1495" s="2" t="s">
        <v>11144</v>
      </c>
      <c r="H1495" s="2" t="s">
        <v>11145</v>
      </c>
      <c r="I1495" s="2" t="s">
        <v>11146</v>
      </c>
      <c r="K1495" s="2" t="s">
        <v>11147</v>
      </c>
      <c r="L1495" s="2" t="s">
        <v>1804</v>
      </c>
      <c r="M1495" s="2" t="s">
        <v>1851</v>
      </c>
      <c r="N1495" s="2" t="s">
        <v>1852</v>
      </c>
      <c r="AN1495" s="2" t="s">
        <v>1368</v>
      </c>
    </row>
    <row r="1496" ht="15.75" customHeight="1">
      <c r="A1496" s="2" t="s">
        <v>11148</v>
      </c>
      <c r="B1496" s="2" t="s">
        <v>1361</v>
      </c>
      <c r="C1496" s="2">
        <v>2008.0</v>
      </c>
      <c r="D1496" s="2" t="s">
        <v>11149</v>
      </c>
      <c r="E1496" s="2" t="s">
        <v>11150</v>
      </c>
      <c r="F1496" s="2" t="s">
        <v>11151</v>
      </c>
      <c r="I1496" s="2" t="s">
        <v>11152</v>
      </c>
      <c r="L1496" s="2" t="s">
        <v>1458</v>
      </c>
      <c r="M1496" s="2" t="s">
        <v>11153</v>
      </c>
      <c r="N1496" s="2" t="s">
        <v>11154</v>
      </c>
      <c r="P1496" s="2" t="s">
        <v>11155</v>
      </c>
      <c r="R1496" s="2" t="s">
        <v>1600</v>
      </c>
      <c r="S1496" s="2" t="s">
        <v>6310</v>
      </c>
      <c r="AN1496" s="2" t="s">
        <v>1368</v>
      </c>
    </row>
    <row r="1497" ht="15.75" customHeight="1">
      <c r="A1497" s="2" t="s">
        <v>11156</v>
      </c>
      <c r="B1497" s="2" t="s">
        <v>1361</v>
      </c>
      <c r="C1497" s="2">
        <v>1998.0</v>
      </c>
      <c r="D1497" s="2" t="s">
        <v>11157</v>
      </c>
      <c r="E1497" s="2" t="s">
        <v>11158</v>
      </c>
      <c r="F1497" s="2" t="s">
        <v>11159</v>
      </c>
      <c r="L1497" s="2" t="s">
        <v>1958</v>
      </c>
      <c r="M1497" s="2" t="s">
        <v>11160</v>
      </c>
      <c r="N1497" s="2" t="s">
        <v>11161</v>
      </c>
      <c r="P1497" s="2" t="s">
        <v>11162</v>
      </c>
      <c r="AN1497" s="2" t="s">
        <v>1368</v>
      </c>
    </row>
    <row r="1498" ht="15.75" customHeight="1">
      <c r="A1498" s="2" t="s">
        <v>11163</v>
      </c>
      <c r="B1498" s="2" t="s">
        <v>1361</v>
      </c>
      <c r="C1498" s="2">
        <v>2012.0</v>
      </c>
      <c r="D1498" s="2" t="s">
        <v>11164</v>
      </c>
      <c r="E1498" s="2" t="s">
        <v>11165</v>
      </c>
      <c r="F1498" s="2" t="s">
        <v>6356</v>
      </c>
      <c r="H1498" s="2" t="s">
        <v>6357</v>
      </c>
      <c r="K1498" s="2" t="s">
        <v>11166</v>
      </c>
      <c r="L1498" s="2" t="s">
        <v>1405</v>
      </c>
      <c r="M1498" s="2" t="s">
        <v>11167</v>
      </c>
      <c r="N1498" s="2" t="s">
        <v>11168</v>
      </c>
      <c r="P1498" s="2" t="s">
        <v>11169</v>
      </c>
      <c r="R1498" s="2" t="s">
        <v>1453</v>
      </c>
      <c r="S1498" s="2" t="s">
        <v>1480</v>
      </c>
      <c r="AN1498" s="2" t="s">
        <v>1368</v>
      </c>
    </row>
    <row r="1499" ht="15.75" customHeight="1">
      <c r="A1499" s="2" t="s">
        <v>11170</v>
      </c>
      <c r="B1499" s="2" t="s">
        <v>1361</v>
      </c>
      <c r="C1499" s="2">
        <v>2010.0</v>
      </c>
      <c r="D1499" s="2" t="s">
        <v>11171</v>
      </c>
      <c r="E1499" s="2" t="s">
        <v>11172</v>
      </c>
      <c r="F1499" s="2" t="s">
        <v>4956</v>
      </c>
      <c r="I1499" s="2" t="s">
        <v>11173</v>
      </c>
      <c r="L1499" s="2" t="s">
        <v>1449</v>
      </c>
      <c r="M1499" s="2" t="s">
        <v>11174</v>
      </c>
      <c r="N1499" s="2" t="s">
        <v>11175</v>
      </c>
      <c r="P1499" s="2" t="s">
        <v>11176</v>
      </c>
      <c r="R1499" s="2" t="s">
        <v>1462</v>
      </c>
      <c r="S1499" s="2" t="s">
        <v>11177</v>
      </c>
      <c r="AN1499" s="2" t="s">
        <v>1368</v>
      </c>
    </row>
    <row r="1500" ht="15.75" customHeight="1">
      <c r="A1500" s="2" t="s">
        <v>11178</v>
      </c>
      <c r="B1500" s="2" t="s">
        <v>1361</v>
      </c>
      <c r="C1500" s="2">
        <v>1979.0</v>
      </c>
      <c r="D1500" s="2" t="s">
        <v>11179</v>
      </c>
      <c r="E1500" s="2" t="s">
        <v>11180</v>
      </c>
      <c r="F1500" s="2" t="s">
        <v>11181</v>
      </c>
      <c r="I1500" s="2" t="s">
        <v>11182</v>
      </c>
      <c r="L1500" s="2" t="s">
        <v>11183</v>
      </c>
      <c r="M1500" s="2" t="s">
        <v>11184</v>
      </c>
      <c r="N1500" s="2" t="s">
        <v>11185</v>
      </c>
      <c r="P1500" s="2" t="s">
        <v>11186</v>
      </c>
      <c r="R1500" s="2" t="s">
        <v>1506</v>
      </c>
      <c r="S1500" s="2" t="s">
        <v>1443</v>
      </c>
      <c r="AN1500" s="2" t="s">
        <v>1368</v>
      </c>
    </row>
    <row r="1501" ht="15.75" customHeight="1">
      <c r="A1501" s="2" t="s">
        <v>11187</v>
      </c>
      <c r="B1501" s="2" t="s">
        <v>1361</v>
      </c>
      <c r="C1501" s="2">
        <v>1993.0</v>
      </c>
      <c r="D1501" s="2" t="s">
        <v>11188</v>
      </c>
      <c r="E1501" s="2" t="s">
        <v>11189</v>
      </c>
      <c r="F1501" s="2" t="s">
        <v>11190</v>
      </c>
      <c r="H1501" s="2" t="s">
        <v>11191</v>
      </c>
      <c r="I1501" s="2" t="s">
        <v>11192</v>
      </c>
      <c r="K1501" s="2" t="s">
        <v>11193</v>
      </c>
      <c r="L1501" s="2" t="s">
        <v>2735</v>
      </c>
      <c r="M1501" s="2" t="s">
        <v>11194</v>
      </c>
      <c r="N1501" s="2" t="s">
        <v>11195</v>
      </c>
      <c r="P1501" s="2" t="s">
        <v>11196</v>
      </c>
      <c r="R1501" s="2" t="s">
        <v>1453</v>
      </c>
      <c r="S1501" s="2" t="s">
        <v>3665</v>
      </c>
      <c r="AN1501" s="2" t="s">
        <v>1368</v>
      </c>
    </row>
    <row r="1502" ht="15.75" customHeight="1">
      <c r="A1502" s="2" t="s">
        <v>11197</v>
      </c>
      <c r="B1502" s="2" t="s">
        <v>1361</v>
      </c>
      <c r="C1502" s="2">
        <v>2014.0</v>
      </c>
      <c r="D1502" s="2" t="s">
        <v>11198</v>
      </c>
      <c r="E1502" s="2" t="s">
        <v>11199</v>
      </c>
      <c r="F1502" s="2" t="s">
        <v>9142</v>
      </c>
      <c r="H1502" s="2" t="s">
        <v>11200</v>
      </c>
      <c r="I1502" s="2" t="s">
        <v>11201</v>
      </c>
      <c r="K1502" s="2" t="s">
        <v>11202</v>
      </c>
      <c r="L1502" s="2" t="s">
        <v>1476</v>
      </c>
      <c r="M1502" s="2" t="s">
        <v>11203</v>
      </c>
      <c r="N1502" s="2" t="s">
        <v>11204</v>
      </c>
      <c r="P1502" s="2" t="s">
        <v>11205</v>
      </c>
      <c r="R1502" s="2" t="s">
        <v>1453</v>
      </c>
      <c r="S1502" s="2" t="s">
        <v>2646</v>
      </c>
      <c r="AN1502" s="2" t="s">
        <v>1368</v>
      </c>
    </row>
    <row r="1503" ht="15.75" customHeight="1">
      <c r="A1503" s="2" t="s">
        <v>11206</v>
      </c>
      <c r="B1503" s="2" t="s">
        <v>1361</v>
      </c>
      <c r="C1503" s="2">
        <v>2001.0</v>
      </c>
      <c r="D1503" s="2" t="s">
        <v>11207</v>
      </c>
      <c r="E1503" s="2" t="s">
        <v>11208</v>
      </c>
      <c r="F1503" s="2" t="s">
        <v>11209</v>
      </c>
      <c r="I1503" s="2" t="s">
        <v>11210</v>
      </c>
      <c r="L1503" s="2" t="s">
        <v>1414</v>
      </c>
      <c r="M1503" s="2" t="s">
        <v>11211</v>
      </c>
      <c r="N1503" s="2" t="s">
        <v>11212</v>
      </c>
      <c r="P1503" s="2" t="s">
        <v>11213</v>
      </c>
      <c r="R1503" s="2" t="s">
        <v>1462</v>
      </c>
      <c r="S1503" s="2" t="s">
        <v>2739</v>
      </c>
      <c r="AN1503" s="2" t="s">
        <v>1368</v>
      </c>
    </row>
    <row r="1504" ht="15.75" customHeight="1">
      <c r="A1504" s="2" t="s">
        <v>11214</v>
      </c>
      <c r="B1504" s="2" t="s">
        <v>1361</v>
      </c>
      <c r="C1504" s="2">
        <v>2016.0</v>
      </c>
      <c r="D1504" s="2" t="s">
        <v>11215</v>
      </c>
      <c r="E1504" s="2" t="s">
        <v>11216</v>
      </c>
      <c r="F1504" s="2" t="s">
        <v>1613</v>
      </c>
      <c r="I1504" s="2" t="s">
        <v>11217</v>
      </c>
      <c r="L1504" s="2" t="s">
        <v>1502</v>
      </c>
      <c r="M1504" s="2" t="s">
        <v>11218</v>
      </c>
      <c r="N1504" s="2" t="s">
        <v>11219</v>
      </c>
      <c r="R1504" s="2" t="s">
        <v>2271</v>
      </c>
      <c r="S1504" s="2" t="s">
        <v>1453</v>
      </c>
      <c r="AN1504" s="2" t="s">
        <v>1368</v>
      </c>
    </row>
    <row r="1505" ht="15.75" customHeight="1">
      <c r="A1505" s="2" t="s">
        <v>11220</v>
      </c>
      <c r="B1505" s="2" t="s">
        <v>1361</v>
      </c>
      <c r="C1505" s="2">
        <v>2003.0</v>
      </c>
      <c r="D1505" s="2" t="s">
        <v>11221</v>
      </c>
      <c r="E1505" s="2" t="s">
        <v>11222</v>
      </c>
      <c r="F1505" s="2" t="s">
        <v>11223</v>
      </c>
      <c r="I1505" s="2" t="s">
        <v>11224</v>
      </c>
      <c r="L1505" s="2" t="s">
        <v>1606</v>
      </c>
      <c r="M1505" s="2" t="s">
        <v>11225</v>
      </c>
      <c r="N1505" s="2" t="s">
        <v>11226</v>
      </c>
      <c r="P1505" s="2" t="s">
        <v>11227</v>
      </c>
      <c r="R1505" s="2" t="s">
        <v>1462</v>
      </c>
      <c r="S1505" s="2" t="s">
        <v>6462</v>
      </c>
      <c r="AN1505" s="2" t="s">
        <v>1368</v>
      </c>
    </row>
    <row r="1506" ht="15.75" customHeight="1">
      <c r="A1506" s="2" t="s">
        <v>11228</v>
      </c>
      <c r="B1506" s="2" t="s">
        <v>1361</v>
      </c>
      <c r="C1506" s="2">
        <v>2009.0</v>
      </c>
      <c r="D1506" s="2" t="s">
        <v>11229</v>
      </c>
      <c r="E1506" s="2" t="s">
        <v>11230</v>
      </c>
      <c r="F1506" s="2" t="s">
        <v>8645</v>
      </c>
      <c r="I1506" s="2" t="s">
        <v>11231</v>
      </c>
      <c r="L1506" s="2" t="s">
        <v>1364</v>
      </c>
      <c r="M1506" s="2" t="s">
        <v>11232</v>
      </c>
      <c r="N1506" s="2" t="s">
        <v>11233</v>
      </c>
      <c r="P1506" s="2" t="s">
        <v>11234</v>
      </c>
      <c r="R1506" s="2" t="s">
        <v>1506</v>
      </c>
      <c r="S1506" s="2" t="s">
        <v>4442</v>
      </c>
      <c r="AN1506" s="2" t="s">
        <v>1368</v>
      </c>
    </row>
    <row r="1507" ht="15.75" customHeight="1">
      <c r="A1507" s="2" t="s">
        <v>11235</v>
      </c>
      <c r="B1507" s="2" t="s">
        <v>1361</v>
      </c>
      <c r="C1507" s="2">
        <v>1991.0</v>
      </c>
      <c r="D1507" s="2" t="s">
        <v>11236</v>
      </c>
      <c r="E1507" s="2" t="s">
        <v>11237</v>
      </c>
      <c r="F1507" s="2" t="s">
        <v>2781</v>
      </c>
      <c r="I1507" s="2" t="s">
        <v>11238</v>
      </c>
      <c r="L1507" s="2" t="s">
        <v>2607</v>
      </c>
      <c r="M1507" s="2" t="s">
        <v>11239</v>
      </c>
      <c r="N1507" s="2" t="s">
        <v>11240</v>
      </c>
      <c r="P1507" s="2" t="s">
        <v>11241</v>
      </c>
      <c r="R1507" s="2" t="s">
        <v>1600</v>
      </c>
      <c r="S1507" s="2" t="s">
        <v>1537</v>
      </c>
      <c r="AN1507" s="2" t="s">
        <v>1368</v>
      </c>
    </row>
    <row r="1508" ht="15.75" customHeight="1">
      <c r="A1508" s="2" t="s">
        <v>11242</v>
      </c>
      <c r="B1508" s="2" t="s">
        <v>1361</v>
      </c>
      <c r="C1508" s="2">
        <v>2011.0</v>
      </c>
      <c r="D1508" s="2" t="s">
        <v>11243</v>
      </c>
      <c r="E1508" s="2" t="s">
        <v>11244</v>
      </c>
      <c r="F1508" s="2" t="s">
        <v>11245</v>
      </c>
      <c r="I1508" s="2" t="s">
        <v>11246</v>
      </c>
      <c r="L1508" s="2" t="s">
        <v>1627</v>
      </c>
      <c r="M1508" s="2" t="s">
        <v>11247</v>
      </c>
      <c r="N1508" s="2" t="s">
        <v>11248</v>
      </c>
      <c r="P1508" s="2" t="s">
        <v>11249</v>
      </c>
      <c r="R1508" s="2" t="s">
        <v>1453</v>
      </c>
      <c r="S1508" s="2" t="s">
        <v>6310</v>
      </c>
      <c r="AN1508" s="2" t="s">
        <v>1368</v>
      </c>
    </row>
    <row r="1509" ht="15.75" customHeight="1">
      <c r="A1509" s="2" t="s">
        <v>11250</v>
      </c>
      <c r="B1509" s="2" t="s">
        <v>1361</v>
      </c>
      <c r="C1509" s="2">
        <v>1995.0</v>
      </c>
      <c r="D1509" s="2" t="s">
        <v>11251</v>
      </c>
      <c r="E1509" s="2" t="s">
        <v>11252</v>
      </c>
      <c r="F1509" s="2" t="s">
        <v>11253</v>
      </c>
      <c r="L1509" s="2" t="s">
        <v>2089</v>
      </c>
      <c r="M1509" s="2" t="s">
        <v>11254</v>
      </c>
      <c r="N1509" s="2" t="s">
        <v>11255</v>
      </c>
      <c r="P1509" s="2" t="s">
        <v>11256</v>
      </c>
      <c r="R1509" s="2" t="s">
        <v>1462</v>
      </c>
      <c r="S1509" s="2" t="s">
        <v>2877</v>
      </c>
      <c r="AN1509" s="2" t="s">
        <v>1368</v>
      </c>
    </row>
    <row r="1510" ht="15.75" customHeight="1">
      <c r="A1510" s="2" t="s">
        <v>11257</v>
      </c>
      <c r="B1510" s="2" t="s">
        <v>1361</v>
      </c>
      <c r="C1510" s="2">
        <v>2018.0</v>
      </c>
      <c r="D1510" s="2" t="s">
        <v>11258</v>
      </c>
      <c r="E1510" s="2" t="s">
        <v>11259</v>
      </c>
      <c r="F1510" s="2" t="s">
        <v>11260</v>
      </c>
      <c r="I1510" s="2" t="s">
        <v>11261</v>
      </c>
      <c r="L1510" s="2" t="s">
        <v>1420</v>
      </c>
      <c r="M1510" s="2" t="s">
        <v>11262</v>
      </c>
      <c r="N1510" s="2" t="s">
        <v>11263</v>
      </c>
      <c r="P1510" s="2" t="s">
        <v>11264</v>
      </c>
      <c r="R1510" s="2" t="s">
        <v>1462</v>
      </c>
      <c r="S1510" s="2" t="s">
        <v>1537</v>
      </c>
      <c r="AN1510" s="2" t="s">
        <v>1368</v>
      </c>
    </row>
    <row r="1511" ht="15.75" customHeight="1">
      <c r="A1511" s="2" t="s">
        <v>11265</v>
      </c>
      <c r="B1511" s="2" t="s">
        <v>1361</v>
      </c>
      <c r="C1511" s="2">
        <v>2004.0</v>
      </c>
      <c r="D1511" s="2" t="s">
        <v>11266</v>
      </c>
      <c r="E1511" s="2" t="s">
        <v>11267</v>
      </c>
      <c r="F1511" s="2" t="s">
        <v>11268</v>
      </c>
      <c r="I1511" s="2" t="s">
        <v>11269</v>
      </c>
      <c r="L1511" s="2" t="s">
        <v>2373</v>
      </c>
      <c r="M1511" s="2" t="s">
        <v>11270</v>
      </c>
      <c r="N1511" s="2" t="s">
        <v>11271</v>
      </c>
      <c r="P1511" s="2" t="s">
        <v>11272</v>
      </c>
      <c r="R1511" s="2" t="s">
        <v>1480</v>
      </c>
      <c r="S1511" s="2" t="s">
        <v>2739</v>
      </c>
      <c r="AN1511" s="2" t="s">
        <v>1368</v>
      </c>
    </row>
    <row r="1512" ht="15.75" customHeight="1">
      <c r="A1512" s="2" t="s">
        <v>11273</v>
      </c>
      <c r="B1512" s="2" t="s">
        <v>1361</v>
      </c>
      <c r="C1512" s="2">
        <v>2007.0</v>
      </c>
      <c r="D1512" s="2" t="s">
        <v>11274</v>
      </c>
      <c r="E1512" s="2" t="s">
        <v>11275</v>
      </c>
      <c r="F1512" s="2" t="s">
        <v>11276</v>
      </c>
      <c r="I1512" s="2" t="s">
        <v>11277</v>
      </c>
      <c r="L1512" s="2" t="s">
        <v>2380</v>
      </c>
      <c r="M1512" s="2" t="s">
        <v>10600</v>
      </c>
      <c r="N1512" s="2" t="s">
        <v>10601</v>
      </c>
      <c r="P1512" s="2" t="s">
        <v>11278</v>
      </c>
      <c r="R1512" s="2" t="s">
        <v>1462</v>
      </c>
      <c r="S1512" s="2" t="s">
        <v>5953</v>
      </c>
      <c r="AN1512" s="2" t="s">
        <v>1368</v>
      </c>
    </row>
    <row r="1513" ht="15.75" customHeight="1">
      <c r="A1513" s="2" t="s">
        <v>11279</v>
      </c>
      <c r="B1513" s="2" t="s">
        <v>1396</v>
      </c>
      <c r="C1513" s="2">
        <v>2018.0</v>
      </c>
      <c r="D1513" s="2" t="s">
        <v>11280</v>
      </c>
      <c r="E1513" s="2" t="s">
        <v>11281</v>
      </c>
      <c r="L1513" s="2" t="s">
        <v>1420</v>
      </c>
      <c r="M1513" s="2" t="s">
        <v>11282</v>
      </c>
      <c r="N1513" s="2" t="s">
        <v>11283</v>
      </c>
      <c r="AA1513" s="2" t="s">
        <v>11284</v>
      </c>
      <c r="AB1513" s="2" t="s">
        <v>11285</v>
      </c>
      <c r="AC1513" s="2" t="s">
        <v>1540</v>
      </c>
      <c r="AN1513" s="2" t="s">
        <v>11286</v>
      </c>
      <c r="AP1513" s="2" t="s">
        <v>11287</v>
      </c>
    </row>
    <row r="1514" ht="15.75" customHeight="1">
      <c r="A1514" s="2" t="s">
        <v>11288</v>
      </c>
      <c r="B1514" s="2" t="s">
        <v>1361</v>
      </c>
      <c r="C1514" s="2">
        <v>2015.0</v>
      </c>
      <c r="D1514" s="2" t="s">
        <v>11289</v>
      </c>
      <c r="E1514" s="2" t="s">
        <v>408</v>
      </c>
      <c r="F1514" s="2" t="s">
        <v>1510</v>
      </c>
      <c r="H1514" s="2" t="s">
        <v>1511</v>
      </c>
      <c r="I1514" s="2" t="s">
        <v>410</v>
      </c>
      <c r="J1514" s="2" t="s">
        <v>11290</v>
      </c>
      <c r="K1514" s="2" t="s">
        <v>11291</v>
      </c>
      <c r="L1514" s="2" t="s">
        <v>11292</v>
      </c>
      <c r="M1514" s="2" t="s">
        <v>11293</v>
      </c>
      <c r="N1514" s="2" t="s">
        <v>11294</v>
      </c>
      <c r="P1514" s="2" t="s">
        <v>11295</v>
      </c>
      <c r="R1514" s="2" t="s">
        <v>11296</v>
      </c>
      <c r="S1514" s="2" t="s">
        <v>11297</v>
      </c>
      <c r="U1514" s="2" t="s">
        <v>1510</v>
      </c>
      <c r="AC1514" s="2" t="s">
        <v>1540</v>
      </c>
      <c r="AH1514" s="2" t="s">
        <v>1541</v>
      </c>
      <c r="AN1514" s="2" t="s">
        <v>9675</v>
      </c>
    </row>
    <row r="1515" ht="15.75" customHeight="1">
      <c r="A1515" s="2" t="s">
        <v>11298</v>
      </c>
      <c r="B1515" s="2" t="s">
        <v>1361</v>
      </c>
      <c r="C1515" s="2">
        <v>2009.0</v>
      </c>
      <c r="D1515" s="2" t="s">
        <v>11299</v>
      </c>
      <c r="E1515" s="2" t="s">
        <v>11300</v>
      </c>
      <c r="F1515" s="2" t="s">
        <v>6641</v>
      </c>
      <c r="I1515" s="2" t="s">
        <v>11301</v>
      </c>
      <c r="K1515" s="2" t="s">
        <v>11302</v>
      </c>
      <c r="L1515" s="2" t="s">
        <v>1364</v>
      </c>
      <c r="M1515" s="2" t="s">
        <v>11303</v>
      </c>
      <c r="N1515" s="2" t="s">
        <v>11304</v>
      </c>
      <c r="P1515" s="2" t="s">
        <v>11305</v>
      </c>
      <c r="R1515" s="2" t="s">
        <v>1462</v>
      </c>
      <c r="S1515" s="2" t="s">
        <v>3665</v>
      </c>
      <c r="AN1515" s="2" t="s">
        <v>2169</v>
      </c>
    </row>
    <row r="1516" ht="15.75" customHeight="1">
      <c r="A1516" s="2" t="s">
        <v>11306</v>
      </c>
      <c r="B1516" s="2" t="s">
        <v>1623</v>
      </c>
      <c r="C1516" s="2">
        <v>2015.0</v>
      </c>
      <c r="D1516" s="2" t="s">
        <v>11307</v>
      </c>
      <c r="E1516" s="2" t="s">
        <v>11308</v>
      </c>
      <c r="J1516" s="2" t="s">
        <v>11309</v>
      </c>
      <c r="L1516" s="2" t="s">
        <v>1373</v>
      </c>
      <c r="M1516" s="2" t="s">
        <v>1562</v>
      </c>
      <c r="N1516" s="2" t="s">
        <v>1563</v>
      </c>
      <c r="AA1516" s="2" t="s">
        <v>11310</v>
      </c>
      <c r="AB1516" s="2" t="s">
        <v>11311</v>
      </c>
      <c r="AN1516" s="2" t="s">
        <v>2188</v>
      </c>
    </row>
    <row r="1517" ht="15.75" customHeight="1">
      <c r="A1517" s="2" t="s">
        <v>11312</v>
      </c>
      <c r="B1517" s="2" t="s">
        <v>1623</v>
      </c>
      <c r="C1517" s="2">
        <v>2014.0</v>
      </c>
      <c r="D1517" s="2" t="s">
        <v>11313</v>
      </c>
      <c r="E1517" s="2" t="s">
        <v>11314</v>
      </c>
      <c r="J1517" s="2" t="s">
        <v>11315</v>
      </c>
      <c r="L1517" s="2" t="s">
        <v>1476</v>
      </c>
      <c r="M1517" s="2" t="s">
        <v>11316</v>
      </c>
      <c r="N1517" s="2" t="s">
        <v>11317</v>
      </c>
      <c r="AA1517" s="2" t="s">
        <v>11318</v>
      </c>
      <c r="AB1517" s="2" t="s">
        <v>7543</v>
      </c>
      <c r="AC1517" s="2" t="s">
        <v>1540</v>
      </c>
      <c r="AJ1517" s="2" t="s">
        <v>11319</v>
      </c>
      <c r="AN1517" s="2" t="s">
        <v>1885</v>
      </c>
    </row>
    <row r="1518" ht="15.75" customHeight="1">
      <c r="A1518" s="2" t="s">
        <v>11320</v>
      </c>
      <c r="B1518" s="2" t="s">
        <v>1361</v>
      </c>
      <c r="C1518" s="2">
        <v>2017.0</v>
      </c>
      <c r="D1518" s="2" t="s">
        <v>11321</v>
      </c>
      <c r="E1518" s="2" t="s">
        <v>11322</v>
      </c>
      <c r="F1518" s="2" t="s">
        <v>1789</v>
      </c>
      <c r="H1518" s="2" t="s">
        <v>1790</v>
      </c>
      <c r="I1518" s="2" t="s">
        <v>11323</v>
      </c>
      <c r="J1518" s="2" t="s">
        <v>11324</v>
      </c>
      <c r="K1518" s="2" t="s">
        <v>11325</v>
      </c>
      <c r="L1518" s="2" t="s">
        <v>1658</v>
      </c>
      <c r="M1518" s="2" t="s">
        <v>1385</v>
      </c>
      <c r="N1518" s="2" t="s">
        <v>1386</v>
      </c>
      <c r="P1518" s="2" t="s">
        <v>11326</v>
      </c>
      <c r="S1518" s="2" t="s">
        <v>10032</v>
      </c>
      <c r="AN1518" s="2" t="s">
        <v>1368</v>
      </c>
    </row>
    <row r="1519" ht="15.75" customHeight="1">
      <c r="A1519" s="2" t="s">
        <v>11327</v>
      </c>
      <c r="B1519" s="2" t="s">
        <v>1361</v>
      </c>
      <c r="C1519" s="2">
        <v>2012.0</v>
      </c>
      <c r="D1519" s="2" t="s">
        <v>11328</v>
      </c>
      <c r="E1519" s="2" t="s">
        <v>668</v>
      </c>
      <c r="F1519" s="2" t="s">
        <v>2641</v>
      </c>
      <c r="H1519" s="2" t="s">
        <v>5876</v>
      </c>
      <c r="I1519" s="2" t="s">
        <v>670</v>
      </c>
      <c r="J1519" s="2" t="s">
        <v>11329</v>
      </c>
      <c r="L1519" s="2" t="s">
        <v>11330</v>
      </c>
      <c r="M1519" s="2" t="s">
        <v>1385</v>
      </c>
      <c r="N1519" s="2" t="s">
        <v>1386</v>
      </c>
      <c r="O1519" s="2" t="s">
        <v>11331</v>
      </c>
      <c r="P1519" s="2" t="s">
        <v>11332</v>
      </c>
      <c r="R1519" s="2" t="s">
        <v>1506</v>
      </c>
      <c r="S1519" s="2" t="s">
        <v>1443</v>
      </c>
      <c r="U1519" s="2" t="s">
        <v>5884</v>
      </c>
      <c r="AH1519" s="2" t="s">
        <v>1541</v>
      </c>
      <c r="AN1519" s="2" t="s">
        <v>1542</v>
      </c>
    </row>
    <row r="1520" ht="15.75" customHeight="1">
      <c r="A1520" s="2" t="s">
        <v>11333</v>
      </c>
      <c r="B1520" s="2" t="s">
        <v>1361</v>
      </c>
      <c r="C1520" s="2">
        <v>2013.0</v>
      </c>
      <c r="D1520" s="2" t="s">
        <v>11334</v>
      </c>
      <c r="E1520" s="2" t="s">
        <v>565</v>
      </c>
      <c r="F1520" s="2" t="s">
        <v>1380</v>
      </c>
      <c r="H1520" s="2" t="s">
        <v>11335</v>
      </c>
      <c r="I1520" s="2" t="s">
        <v>566</v>
      </c>
      <c r="K1520" s="2" t="s">
        <v>11336</v>
      </c>
      <c r="L1520" s="2" t="s">
        <v>1429</v>
      </c>
      <c r="M1520" s="2" t="s">
        <v>1385</v>
      </c>
      <c r="N1520" s="2" t="s">
        <v>1386</v>
      </c>
      <c r="P1520" s="2" t="s">
        <v>11337</v>
      </c>
      <c r="R1520" s="2" t="s">
        <v>11338</v>
      </c>
      <c r="S1520" s="2" t="s">
        <v>11339</v>
      </c>
      <c r="AN1520" s="2" t="s">
        <v>2169</v>
      </c>
    </row>
    <row r="1521" ht="15.75" customHeight="1">
      <c r="A1521" s="2" t="s">
        <v>11340</v>
      </c>
      <c r="B1521" s="2" t="s">
        <v>1623</v>
      </c>
      <c r="C1521" s="2">
        <v>2015.0</v>
      </c>
      <c r="D1521" s="2" t="s">
        <v>11341</v>
      </c>
      <c r="E1521" s="2" t="s">
        <v>11342</v>
      </c>
      <c r="L1521" s="2" t="s">
        <v>1373</v>
      </c>
      <c r="M1521" s="2" t="s">
        <v>1385</v>
      </c>
      <c r="N1521" s="2" t="s">
        <v>1386</v>
      </c>
      <c r="P1521" s="2" t="s">
        <v>11343</v>
      </c>
      <c r="AB1521" s="2" t="s">
        <v>11344</v>
      </c>
      <c r="AN1521" s="2" t="s">
        <v>2244</v>
      </c>
    </row>
    <row r="1522" ht="15.75" customHeight="1">
      <c r="A1522" s="2" t="s">
        <v>11345</v>
      </c>
      <c r="B1522" s="2" t="s">
        <v>1396</v>
      </c>
      <c r="C1522" s="2">
        <v>2013.0</v>
      </c>
      <c r="D1522" s="2" t="s">
        <v>11280</v>
      </c>
      <c r="E1522" s="2" t="s">
        <v>11346</v>
      </c>
      <c r="L1522" s="2" t="s">
        <v>1429</v>
      </c>
      <c r="M1522" s="2" t="s">
        <v>1385</v>
      </c>
      <c r="N1522" s="2" t="s">
        <v>1386</v>
      </c>
      <c r="AA1522" s="2" t="s">
        <v>2187</v>
      </c>
      <c r="AB1522" s="2" t="s">
        <v>11347</v>
      </c>
      <c r="AN1522" s="2" t="s">
        <v>2244</v>
      </c>
      <c r="AP1522" s="2" t="s">
        <v>11348</v>
      </c>
    </row>
    <row r="1523" ht="15.75" customHeight="1">
      <c r="A1523" s="2" t="s">
        <v>11349</v>
      </c>
      <c r="B1523" s="2" t="s">
        <v>1396</v>
      </c>
      <c r="C1523" s="2">
        <v>2014.0</v>
      </c>
      <c r="D1523" s="2" t="s">
        <v>11280</v>
      </c>
      <c r="E1523" s="2" t="s">
        <v>11350</v>
      </c>
      <c r="L1523" s="2" t="s">
        <v>1476</v>
      </c>
      <c r="M1523" s="2" t="s">
        <v>1385</v>
      </c>
      <c r="N1523" s="2" t="s">
        <v>1386</v>
      </c>
      <c r="Q1523" s="2" t="s">
        <v>11351</v>
      </c>
      <c r="AA1523" s="2" t="s">
        <v>11280</v>
      </c>
      <c r="AB1523" s="2" t="s">
        <v>11285</v>
      </c>
      <c r="AN1523" s="2" t="s">
        <v>11352</v>
      </c>
      <c r="AP1523" s="2" t="s">
        <v>11353</v>
      </c>
    </row>
    <row r="1524" ht="15.75" customHeight="1">
      <c r="A1524" s="2" t="s">
        <v>11354</v>
      </c>
      <c r="B1524" s="2" t="s">
        <v>1396</v>
      </c>
      <c r="C1524" s="2">
        <v>2018.0</v>
      </c>
      <c r="D1524" s="2" t="s">
        <v>11307</v>
      </c>
      <c r="E1524" s="2" t="s">
        <v>11355</v>
      </c>
      <c r="L1524" s="2" t="s">
        <v>1420</v>
      </c>
      <c r="M1524" s="2" t="s">
        <v>1385</v>
      </c>
      <c r="N1524" s="2" t="s">
        <v>1386</v>
      </c>
      <c r="Q1524" s="2" t="s">
        <v>6533</v>
      </c>
      <c r="AA1524" s="2" t="s">
        <v>11356</v>
      </c>
      <c r="AB1524" s="2" t="s">
        <v>11311</v>
      </c>
      <c r="AN1524" s="2" t="s">
        <v>2169</v>
      </c>
      <c r="AP1524" s="2" t="s">
        <v>11357</v>
      </c>
    </row>
    <row r="1525" ht="15.75" customHeight="1">
      <c r="A1525" s="2" t="s">
        <v>11358</v>
      </c>
      <c r="B1525" s="2" t="s">
        <v>1396</v>
      </c>
      <c r="C1525" s="2">
        <v>2018.0</v>
      </c>
      <c r="D1525" s="2" t="s">
        <v>11359</v>
      </c>
      <c r="E1525" s="2" t="s">
        <v>11360</v>
      </c>
      <c r="L1525" s="2" t="s">
        <v>1420</v>
      </c>
      <c r="M1525" s="2" t="s">
        <v>1385</v>
      </c>
      <c r="N1525" s="2" t="s">
        <v>1386</v>
      </c>
      <c r="Q1525" s="2" t="s">
        <v>10032</v>
      </c>
      <c r="AA1525" s="2" t="s">
        <v>11356</v>
      </c>
      <c r="AB1525" s="2" t="s">
        <v>11311</v>
      </c>
      <c r="AN1525" s="2" t="s">
        <v>9692</v>
      </c>
      <c r="AP1525" s="2" t="s">
        <v>11361</v>
      </c>
      <c r="AQ1525" s="2" t="s">
        <v>11362</v>
      </c>
    </row>
    <row r="1526" ht="15.75" customHeight="1">
      <c r="A1526" s="2" t="s">
        <v>11363</v>
      </c>
      <c r="B1526" s="2" t="s">
        <v>1396</v>
      </c>
      <c r="C1526" s="2">
        <v>2018.0</v>
      </c>
      <c r="D1526" s="2" t="s">
        <v>11359</v>
      </c>
      <c r="E1526" s="2" t="s">
        <v>11364</v>
      </c>
      <c r="K1526" s="2" t="s">
        <v>11365</v>
      </c>
      <c r="L1526" s="2" t="s">
        <v>1420</v>
      </c>
      <c r="M1526" s="2" t="s">
        <v>1385</v>
      </c>
      <c r="N1526" s="2" t="s">
        <v>1386</v>
      </c>
      <c r="Q1526" s="2" t="s">
        <v>11366</v>
      </c>
      <c r="X1526" s="2" t="s">
        <v>5633</v>
      </c>
      <c r="AA1526" s="2" t="s">
        <v>11356</v>
      </c>
      <c r="AB1526" s="2" t="s">
        <v>11311</v>
      </c>
      <c r="AN1526" s="2" t="s">
        <v>2169</v>
      </c>
      <c r="AP1526" s="2" t="s">
        <v>11367</v>
      </c>
      <c r="AQ1526" s="2" t="s">
        <v>11368</v>
      </c>
    </row>
    <row r="1527" ht="15.75" customHeight="1">
      <c r="A1527" s="2" t="s">
        <v>11369</v>
      </c>
      <c r="B1527" s="2" t="s">
        <v>1396</v>
      </c>
      <c r="C1527" s="2">
        <v>2018.0</v>
      </c>
      <c r="D1527" s="2" t="s">
        <v>11359</v>
      </c>
      <c r="E1527" s="2" t="s">
        <v>11370</v>
      </c>
      <c r="L1527" s="2" t="s">
        <v>1420</v>
      </c>
      <c r="M1527" s="2" t="s">
        <v>1385</v>
      </c>
      <c r="N1527" s="2" t="s">
        <v>1386</v>
      </c>
      <c r="Q1527" s="2" t="s">
        <v>11371</v>
      </c>
      <c r="X1527" s="2" t="s">
        <v>5633</v>
      </c>
      <c r="AA1527" s="2" t="s">
        <v>11356</v>
      </c>
      <c r="AB1527" s="2" t="s">
        <v>11311</v>
      </c>
      <c r="AN1527" s="2" t="s">
        <v>2169</v>
      </c>
      <c r="AP1527" s="2" t="s">
        <v>11372</v>
      </c>
      <c r="AQ1527" s="2" t="s">
        <v>11373</v>
      </c>
    </row>
    <row r="1528" ht="15.75" customHeight="1">
      <c r="A1528" s="2" t="s">
        <v>11374</v>
      </c>
      <c r="B1528" s="2" t="s">
        <v>1396</v>
      </c>
      <c r="C1528" s="2">
        <v>2018.0</v>
      </c>
      <c r="D1528" s="2" t="s">
        <v>11359</v>
      </c>
      <c r="E1528" s="2" t="s">
        <v>11375</v>
      </c>
      <c r="L1528" s="2" t="s">
        <v>1420</v>
      </c>
      <c r="M1528" s="2" t="s">
        <v>1385</v>
      </c>
      <c r="N1528" s="2" t="s">
        <v>1386</v>
      </c>
      <c r="Q1528" s="2" t="s">
        <v>11376</v>
      </c>
      <c r="AA1528" s="2" t="s">
        <v>11356</v>
      </c>
      <c r="AB1528" s="2" t="s">
        <v>11311</v>
      </c>
      <c r="AN1528" s="2" t="s">
        <v>2169</v>
      </c>
      <c r="AQ1528" s="2" t="s">
        <v>11377</v>
      </c>
    </row>
    <row r="1529" ht="15.75" customHeight="1">
      <c r="A1529" s="2" t="s">
        <v>11378</v>
      </c>
      <c r="B1529" s="2" t="s">
        <v>1623</v>
      </c>
      <c r="C1529" s="2">
        <v>2015.0</v>
      </c>
      <c r="D1529" s="2" t="s">
        <v>11379</v>
      </c>
      <c r="E1529" s="2" t="s">
        <v>11380</v>
      </c>
      <c r="J1529" s="2" t="s">
        <v>11381</v>
      </c>
      <c r="L1529" s="2" t="s">
        <v>1373</v>
      </c>
      <c r="M1529" s="2" t="s">
        <v>1385</v>
      </c>
      <c r="N1529" s="2" t="s">
        <v>1386</v>
      </c>
      <c r="AA1529" s="2" t="s">
        <v>11382</v>
      </c>
      <c r="AB1529" s="2" t="s">
        <v>2146</v>
      </c>
      <c r="AN1529" s="2" t="s">
        <v>1368</v>
      </c>
    </row>
    <row r="1530" ht="15.75" customHeight="1">
      <c r="A1530" s="2" t="s">
        <v>11383</v>
      </c>
      <c r="B1530" s="2" t="s">
        <v>1623</v>
      </c>
      <c r="C1530" s="2">
        <v>2005.0</v>
      </c>
      <c r="D1530" s="2" t="s">
        <v>11384</v>
      </c>
      <c r="E1530" s="2" t="s">
        <v>11385</v>
      </c>
      <c r="J1530" s="2" t="s">
        <v>11386</v>
      </c>
      <c r="L1530" s="2" t="s">
        <v>1394</v>
      </c>
      <c r="M1530" s="2" t="s">
        <v>1385</v>
      </c>
      <c r="N1530" s="2" t="s">
        <v>1386</v>
      </c>
      <c r="AA1530" s="2" t="s">
        <v>1628</v>
      </c>
      <c r="AB1530" s="2" t="s">
        <v>9394</v>
      </c>
      <c r="AN1530" s="2" t="s">
        <v>1368</v>
      </c>
    </row>
    <row r="1531" ht="15.75" customHeight="1">
      <c r="A1531" s="2" t="s">
        <v>11387</v>
      </c>
      <c r="B1531" s="2" t="s">
        <v>1396</v>
      </c>
      <c r="C1531" s="2">
        <v>1989.0</v>
      </c>
      <c r="D1531" s="2" t="s">
        <v>11388</v>
      </c>
      <c r="E1531" s="2" t="s">
        <v>11389</v>
      </c>
      <c r="J1531" s="2" t="s">
        <v>11390</v>
      </c>
      <c r="L1531" s="2" t="s">
        <v>2701</v>
      </c>
      <c r="M1531" s="2" t="s">
        <v>1385</v>
      </c>
      <c r="N1531" s="2" t="s">
        <v>1386</v>
      </c>
      <c r="AN1531" s="2" t="s">
        <v>1368</v>
      </c>
    </row>
    <row r="1532" ht="15.75" customHeight="1">
      <c r="A1532" s="2" t="s">
        <v>11391</v>
      </c>
      <c r="B1532" s="2" t="s">
        <v>1361</v>
      </c>
      <c r="C1532" s="2">
        <v>1972.0</v>
      </c>
      <c r="D1532" s="2" t="s">
        <v>11379</v>
      </c>
      <c r="E1532" s="2" t="s">
        <v>11392</v>
      </c>
      <c r="L1532" s="2" t="s">
        <v>6522</v>
      </c>
      <c r="M1532" s="2" t="s">
        <v>1385</v>
      </c>
      <c r="N1532" s="2" t="s">
        <v>1386</v>
      </c>
      <c r="AN1532" s="2" t="s">
        <v>1368</v>
      </c>
    </row>
    <row r="1533" ht="15.75" customHeight="1">
      <c r="A1533" s="2" t="s">
        <v>11393</v>
      </c>
      <c r="B1533" s="2" t="s">
        <v>1623</v>
      </c>
      <c r="C1533" s="2">
        <v>2012.0</v>
      </c>
      <c r="D1533" s="2" t="s">
        <v>11394</v>
      </c>
      <c r="E1533" s="2" t="s">
        <v>11395</v>
      </c>
      <c r="L1533" s="2" t="s">
        <v>1405</v>
      </c>
      <c r="M1533" s="2" t="s">
        <v>1385</v>
      </c>
      <c r="N1533" s="2" t="s">
        <v>1386</v>
      </c>
      <c r="AA1533" s="2" t="s">
        <v>11396</v>
      </c>
      <c r="AB1533" s="2" t="s">
        <v>11397</v>
      </c>
      <c r="AN1533" s="2" t="s">
        <v>1368</v>
      </c>
    </row>
    <row r="1534" ht="15.75" customHeight="1">
      <c r="A1534" s="2" t="s">
        <v>11398</v>
      </c>
      <c r="B1534" s="2" t="s">
        <v>1623</v>
      </c>
      <c r="C1534" s="2">
        <v>2015.0</v>
      </c>
      <c r="D1534" s="2" t="s">
        <v>11399</v>
      </c>
      <c r="E1534" s="2" t="s">
        <v>11400</v>
      </c>
      <c r="J1534" s="2" t="s">
        <v>11401</v>
      </c>
      <c r="L1534" s="2" t="s">
        <v>1373</v>
      </c>
      <c r="M1534" s="2" t="s">
        <v>1385</v>
      </c>
      <c r="N1534" s="2" t="s">
        <v>1386</v>
      </c>
      <c r="AA1534" s="2" t="s">
        <v>11402</v>
      </c>
      <c r="AB1534" s="2" t="s">
        <v>11403</v>
      </c>
      <c r="AN1534" s="2" t="s">
        <v>1368</v>
      </c>
    </row>
    <row r="1535" ht="15.75" customHeight="1">
      <c r="A1535" s="2" t="s">
        <v>11404</v>
      </c>
      <c r="B1535" s="2" t="s">
        <v>1361</v>
      </c>
      <c r="C1535" s="2">
        <v>2018.0</v>
      </c>
      <c r="D1535" s="2" t="s">
        <v>11405</v>
      </c>
      <c r="E1535" s="2" t="s">
        <v>11406</v>
      </c>
      <c r="F1535" s="2" t="s">
        <v>4533</v>
      </c>
      <c r="H1535" s="2" t="s">
        <v>4534</v>
      </c>
      <c r="I1535" s="2" t="s">
        <v>11407</v>
      </c>
      <c r="J1535" s="2" t="s">
        <v>11408</v>
      </c>
      <c r="K1535" s="2" t="s">
        <v>11409</v>
      </c>
      <c r="L1535" s="2" t="s">
        <v>6058</v>
      </c>
      <c r="M1535" s="2" t="s">
        <v>1385</v>
      </c>
      <c r="N1535" s="2" t="s">
        <v>1386</v>
      </c>
      <c r="P1535" s="2" t="s">
        <v>11410</v>
      </c>
      <c r="S1535" s="2" t="s">
        <v>11411</v>
      </c>
      <c r="AN1535" s="2" t="s">
        <v>1368</v>
      </c>
    </row>
    <row r="1536" ht="15.75" customHeight="1">
      <c r="A1536" s="2" t="s">
        <v>11412</v>
      </c>
      <c r="B1536" s="2" t="s">
        <v>1396</v>
      </c>
      <c r="C1536" s="2">
        <v>2017.0</v>
      </c>
      <c r="D1536" s="2" t="s">
        <v>11413</v>
      </c>
      <c r="E1536" s="2" t="s">
        <v>11414</v>
      </c>
      <c r="L1536" s="2" t="s">
        <v>1658</v>
      </c>
      <c r="M1536" s="2" t="s">
        <v>1385</v>
      </c>
      <c r="N1536" s="2" t="s">
        <v>1386</v>
      </c>
      <c r="AN1536" s="2" t="s">
        <v>1368</v>
      </c>
    </row>
    <row r="1537" ht="15.75" customHeight="1">
      <c r="A1537" s="2" t="s">
        <v>11415</v>
      </c>
      <c r="B1537" s="2" t="s">
        <v>1396</v>
      </c>
      <c r="C1537" s="2">
        <v>2009.0</v>
      </c>
      <c r="D1537" s="2" t="s">
        <v>11416</v>
      </c>
      <c r="E1537" s="2" t="s">
        <v>11417</v>
      </c>
      <c r="G1537" s="2" t="s">
        <v>11418</v>
      </c>
      <c r="J1537" s="2" t="s">
        <v>11419</v>
      </c>
      <c r="L1537" s="2" t="s">
        <v>1364</v>
      </c>
      <c r="M1537" s="2" t="s">
        <v>1385</v>
      </c>
      <c r="N1537" s="2" t="s">
        <v>1386</v>
      </c>
      <c r="AA1537" s="2" t="s">
        <v>11416</v>
      </c>
      <c r="AB1537" s="2" t="s">
        <v>2431</v>
      </c>
      <c r="AN1537" s="2" t="s">
        <v>1368</v>
      </c>
    </row>
    <row r="1538" ht="15.75" customHeight="1">
      <c r="A1538" s="2" t="s">
        <v>11420</v>
      </c>
      <c r="B1538" s="2" t="s">
        <v>1361</v>
      </c>
      <c r="C1538" s="2">
        <v>2015.0</v>
      </c>
      <c r="D1538" s="2" t="s">
        <v>11421</v>
      </c>
      <c r="E1538" s="2" t="s">
        <v>11422</v>
      </c>
      <c r="F1538" s="2" t="s">
        <v>1789</v>
      </c>
      <c r="I1538" s="2" t="s">
        <v>11423</v>
      </c>
      <c r="J1538" s="2" t="s">
        <v>11424</v>
      </c>
      <c r="K1538" s="2" t="s">
        <v>11425</v>
      </c>
      <c r="L1538" s="2" t="s">
        <v>1373</v>
      </c>
      <c r="M1538" s="2" t="s">
        <v>1385</v>
      </c>
      <c r="N1538" s="2" t="s">
        <v>1386</v>
      </c>
      <c r="P1538" s="2" t="s">
        <v>11426</v>
      </c>
      <c r="S1538" s="2" t="s">
        <v>5953</v>
      </c>
      <c r="AN1538" s="2" t="s">
        <v>1368</v>
      </c>
    </row>
    <row r="1539" ht="15.75" customHeight="1">
      <c r="A1539" s="2" t="s">
        <v>11427</v>
      </c>
      <c r="B1539" s="2" t="s">
        <v>1361</v>
      </c>
      <c r="C1539" s="2">
        <v>2018.0</v>
      </c>
      <c r="D1539" s="2" t="s">
        <v>11428</v>
      </c>
      <c r="E1539" s="2" t="s">
        <v>11429</v>
      </c>
      <c r="F1539" s="2" t="s">
        <v>11430</v>
      </c>
      <c r="H1539" s="2" t="s">
        <v>11431</v>
      </c>
      <c r="I1539" s="2" t="s">
        <v>11432</v>
      </c>
      <c r="K1539" s="2" t="s">
        <v>11433</v>
      </c>
      <c r="L1539" s="2" t="s">
        <v>1420</v>
      </c>
      <c r="M1539" s="2" t="s">
        <v>1385</v>
      </c>
      <c r="N1539" s="2" t="s">
        <v>1386</v>
      </c>
      <c r="P1539" s="2" t="s">
        <v>11434</v>
      </c>
      <c r="R1539" s="2" t="s">
        <v>11435</v>
      </c>
      <c r="S1539" s="2" t="s">
        <v>11436</v>
      </c>
      <c r="AN1539" s="2" t="s">
        <v>1368</v>
      </c>
    </row>
    <row r="1540" ht="15.75" customHeight="1">
      <c r="A1540" s="2" t="s">
        <v>11437</v>
      </c>
      <c r="B1540" s="2" t="s">
        <v>1361</v>
      </c>
      <c r="C1540" s="2">
        <v>2017.0</v>
      </c>
      <c r="D1540" s="2" t="s">
        <v>11438</v>
      </c>
      <c r="E1540" s="2" t="s">
        <v>11439</v>
      </c>
      <c r="F1540" s="2" t="s">
        <v>1425</v>
      </c>
      <c r="H1540" s="2" t="s">
        <v>1426</v>
      </c>
      <c r="I1540" s="2" t="s">
        <v>11440</v>
      </c>
      <c r="L1540" s="2" t="s">
        <v>1618</v>
      </c>
      <c r="M1540" s="2" t="s">
        <v>1385</v>
      </c>
      <c r="N1540" s="2" t="s">
        <v>1386</v>
      </c>
      <c r="P1540" s="2" t="s">
        <v>11441</v>
      </c>
      <c r="S1540" s="2" t="s">
        <v>5680</v>
      </c>
      <c r="AN1540" s="2" t="s">
        <v>1368</v>
      </c>
    </row>
    <row r="1541" ht="15.75" customHeight="1">
      <c r="A1541" s="2" t="s">
        <v>11442</v>
      </c>
      <c r="B1541" s="2" t="s">
        <v>1396</v>
      </c>
      <c r="C1541" s="2">
        <v>1998.0</v>
      </c>
      <c r="E1541" s="2" t="s">
        <v>11443</v>
      </c>
      <c r="L1541" s="2" t="s">
        <v>1958</v>
      </c>
      <c r="M1541" s="2" t="s">
        <v>1385</v>
      </c>
      <c r="N1541" s="2" t="s">
        <v>1386</v>
      </c>
      <c r="AA1541" s="2" t="s">
        <v>11444</v>
      </c>
      <c r="AN1541" s="2" t="s">
        <v>1368</v>
      </c>
      <c r="AP1541" s="2" t="s">
        <v>11445</v>
      </c>
    </row>
    <row r="1542" ht="15.75" customHeight="1">
      <c r="A1542" s="2" t="s">
        <v>11446</v>
      </c>
      <c r="B1542" s="2" t="s">
        <v>1781</v>
      </c>
      <c r="C1542" s="2">
        <v>2016.0</v>
      </c>
      <c r="D1542" s="2" t="s">
        <v>11447</v>
      </c>
      <c r="E1542" s="2" t="s">
        <v>11448</v>
      </c>
      <c r="L1542" s="2" t="s">
        <v>1502</v>
      </c>
      <c r="M1542" s="2" t="s">
        <v>1385</v>
      </c>
      <c r="N1542" s="2" t="s">
        <v>1386</v>
      </c>
      <c r="AB1542" s="2" t="s">
        <v>11449</v>
      </c>
      <c r="AN1542" s="2" t="s">
        <v>1368</v>
      </c>
    </row>
    <row r="1543" ht="15.75" customHeight="1">
      <c r="A1543" s="2" t="s">
        <v>11450</v>
      </c>
      <c r="B1543" s="2" t="s">
        <v>1396</v>
      </c>
      <c r="C1543" s="2">
        <v>2015.0</v>
      </c>
      <c r="D1543" s="2" t="s">
        <v>11451</v>
      </c>
      <c r="E1543" s="2" t="s">
        <v>11452</v>
      </c>
      <c r="L1543" s="2" t="s">
        <v>1373</v>
      </c>
      <c r="M1543" s="2" t="s">
        <v>1385</v>
      </c>
      <c r="N1543" s="2" t="s">
        <v>1386</v>
      </c>
      <c r="AN1543" s="2" t="s">
        <v>1368</v>
      </c>
    </row>
    <row r="1544" ht="15.75" customHeight="1">
      <c r="A1544" s="2" t="s">
        <v>11453</v>
      </c>
      <c r="B1544" s="2" t="s">
        <v>1396</v>
      </c>
      <c r="C1544" s="2">
        <v>2008.0</v>
      </c>
      <c r="D1544" s="2" t="s">
        <v>11451</v>
      </c>
      <c r="E1544" s="2" t="s">
        <v>11454</v>
      </c>
      <c r="K1544" s="2" t="s">
        <v>11455</v>
      </c>
      <c r="L1544" s="2" t="s">
        <v>1458</v>
      </c>
      <c r="M1544" s="2" t="s">
        <v>1385</v>
      </c>
      <c r="N1544" s="2" t="s">
        <v>1386</v>
      </c>
      <c r="AB1544" s="2" t="s">
        <v>7822</v>
      </c>
      <c r="AN1544" s="2" t="s">
        <v>1368</v>
      </c>
    </row>
    <row r="1545" ht="15.75" customHeight="1">
      <c r="A1545" s="2" t="s">
        <v>11456</v>
      </c>
      <c r="B1545" s="2" t="s">
        <v>1396</v>
      </c>
      <c r="C1545" s="2">
        <v>1980.0</v>
      </c>
      <c r="D1545" s="2" t="s">
        <v>11451</v>
      </c>
      <c r="E1545" s="2" t="s">
        <v>11457</v>
      </c>
      <c r="L1545" s="2" t="s">
        <v>5815</v>
      </c>
      <c r="M1545" s="2" t="s">
        <v>1385</v>
      </c>
      <c r="N1545" s="2" t="s">
        <v>1386</v>
      </c>
      <c r="AA1545" s="2" t="s">
        <v>11458</v>
      </c>
      <c r="AN1545" s="2" t="s">
        <v>1368</v>
      </c>
    </row>
    <row r="1546" ht="15.75" customHeight="1">
      <c r="A1546" s="2" t="s">
        <v>11459</v>
      </c>
      <c r="B1546" s="2" t="s">
        <v>1396</v>
      </c>
      <c r="C1546" s="2">
        <v>2012.0</v>
      </c>
      <c r="D1546" s="2" t="s">
        <v>11460</v>
      </c>
      <c r="E1546" s="2" t="s">
        <v>11461</v>
      </c>
      <c r="K1546" s="2" t="s">
        <v>11462</v>
      </c>
      <c r="L1546" s="2" t="s">
        <v>1405</v>
      </c>
      <c r="M1546" s="2" t="s">
        <v>1385</v>
      </c>
      <c r="N1546" s="2" t="s">
        <v>1386</v>
      </c>
      <c r="Q1546" s="2" t="s">
        <v>6193</v>
      </c>
      <c r="AA1546" s="2" t="s">
        <v>11463</v>
      </c>
      <c r="AN1546" s="2" t="s">
        <v>1368</v>
      </c>
    </row>
    <row r="1547" ht="15.75" customHeight="1">
      <c r="A1547" s="2" t="s">
        <v>11464</v>
      </c>
      <c r="B1547" s="2" t="s">
        <v>1396</v>
      </c>
      <c r="C1547" s="2">
        <v>2007.0</v>
      </c>
      <c r="D1547" s="2" t="s">
        <v>11280</v>
      </c>
      <c r="E1547" s="2" t="s">
        <v>11465</v>
      </c>
      <c r="L1547" s="2" t="s">
        <v>2380</v>
      </c>
      <c r="M1547" s="2" t="s">
        <v>1385</v>
      </c>
      <c r="N1547" s="2" t="s">
        <v>1386</v>
      </c>
      <c r="Q1547" s="2" t="s">
        <v>6736</v>
      </c>
      <c r="AB1547" s="2" t="s">
        <v>11285</v>
      </c>
      <c r="AN1547" s="2" t="s">
        <v>1368</v>
      </c>
      <c r="AP1547" s="2" t="s">
        <v>11466</v>
      </c>
    </row>
    <row r="1548" ht="15.75" customHeight="1">
      <c r="A1548" s="2" t="s">
        <v>11467</v>
      </c>
      <c r="B1548" s="2" t="s">
        <v>1361</v>
      </c>
      <c r="C1548" s="2">
        <v>2003.0</v>
      </c>
      <c r="D1548" s="2" t="s">
        <v>11468</v>
      </c>
      <c r="E1548" s="2" t="s">
        <v>11469</v>
      </c>
      <c r="F1548" s="2" t="s">
        <v>11470</v>
      </c>
      <c r="H1548" s="2" t="s">
        <v>11471</v>
      </c>
      <c r="I1548" s="2" t="s">
        <v>11472</v>
      </c>
      <c r="K1548" s="2" t="s">
        <v>11473</v>
      </c>
      <c r="L1548" s="2" t="s">
        <v>11474</v>
      </c>
      <c r="M1548" s="2" t="s">
        <v>1385</v>
      </c>
      <c r="N1548" s="2" t="s">
        <v>1386</v>
      </c>
      <c r="P1548" s="2" t="s">
        <v>11475</v>
      </c>
      <c r="R1548" s="2" t="s">
        <v>1600</v>
      </c>
      <c r="S1548" s="2" t="s">
        <v>2899</v>
      </c>
      <c r="AN1548" s="2" t="s">
        <v>1368</v>
      </c>
    </row>
    <row r="1549" ht="15.75" customHeight="1">
      <c r="A1549" s="2" t="s">
        <v>11476</v>
      </c>
      <c r="B1549" s="2" t="s">
        <v>1361</v>
      </c>
      <c r="C1549" s="2">
        <v>2011.0</v>
      </c>
      <c r="D1549" s="2" t="s">
        <v>11477</v>
      </c>
      <c r="E1549" s="2" t="s">
        <v>731</v>
      </c>
      <c r="F1549" s="2" t="s">
        <v>2641</v>
      </c>
      <c r="H1549" s="2" t="s">
        <v>5876</v>
      </c>
      <c r="I1549" s="2" t="s">
        <v>733</v>
      </c>
      <c r="K1549" s="2" t="s">
        <v>11478</v>
      </c>
      <c r="L1549" s="2" t="s">
        <v>1627</v>
      </c>
      <c r="M1549" s="2" t="s">
        <v>1385</v>
      </c>
      <c r="N1549" s="2" t="s">
        <v>1386</v>
      </c>
      <c r="AN1549" s="2" t="s">
        <v>1368</v>
      </c>
    </row>
    <row r="1550" ht="15.75" customHeight="1">
      <c r="A1550" s="2" t="s">
        <v>11479</v>
      </c>
      <c r="B1550" s="2" t="s">
        <v>1361</v>
      </c>
      <c r="C1550" s="2">
        <v>2012.0</v>
      </c>
      <c r="D1550" s="2" t="s">
        <v>11480</v>
      </c>
      <c r="E1550" s="2" t="s">
        <v>11481</v>
      </c>
      <c r="F1550" s="2" t="s">
        <v>11482</v>
      </c>
      <c r="H1550" s="2" t="s">
        <v>11483</v>
      </c>
      <c r="I1550" s="2" t="s">
        <v>11484</v>
      </c>
      <c r="K1550" s="2" t="s">
        <v>11485</v>
      </c>
      <c r="L1550" s="2" t="s">
        <v>1405</v>
      </c>
      <c r="M1550" s="2" t="s">
        <v>1385</v>
      </c>
      <c r="N1550" s="2" t="s">
        <v>1386</v>
      </c>
      <c r="AN1550" s="2" t="s">
        <v>1368</v>
      </c>
    </row>
    <row r="1551" ht="15.75" customHeight="1">
      <c r="A1551" s="2" t="s">
        <v>11486</v>
      </c>
      <c r="B1551" s="2" t="s">
        <v>1361</v>
      </c>
      <c r="C1551" s="2">
        <v>2005.0</v>
      </c>
      <c r="D1551" s="2" t="s">
        <v>11487</v>
      </c>
      <c r="E1551" s="2" t="s">
        <v>11488</v>
      </c>
      <c r="F1551" s="2" t="s">
        <v>1425</v>
      </c>
      <c r="H1551" s="2" t="s">
        <v>1426</v>
      </c>
      <c r="I1551" s="2" t="s">
        <v>11489</v>
      </c>
      <c r="L1551" s="2" t="s">
        <v>11490</v>
      </c>
      <c r="M1551" s="2" t="s">
        <v>1385</v>
      </c>
      <c r="N1551" s="2" t="s">
        <v>1386</v>
      </c>
      <c r="P1551" s="2" t="s">
        <v>11491</v>
      </c>
      <c r="R1551" s="2" t="s">
        <v>1453</v>
      </c>
      <c r="S1551" s="2" t="s">
        <v>3235</v>
      </c>
      <c r="AN1551" s="2" t="s">
        <v>1368</v>
      </c>
    </row>
    <row r="1552" ht="15.75" customHeight="1">
      <c r="A1552" s="2" t="s">
        <v>11492</v>
      </c>
      <c r="B1552" s="2" t="s">
        <v>1361</v>
      </c>
      <c r="C1552" s="2">
        <v>1997.0</v>
      </c>
      <c r="D1552" s="2" t="s">
        <v>11487</v>
      </c>
      <c r="E1552" s="2" t="s">
        <v>11493</v>
      </c>
      <c r="F1552" s="2" t="s">
        <v>1425</v>
      </c>
      <c r="H1552" s="2" t="s">
        <v>1426</v>
      </c>
      <c r="I1552" s="2" t="s">
        <v>11494</v>
      </c>
      <c r="K1552" s="2" t="s">
        <v>11495</v>
      </c>
      <c r="L1552" s="2" t="s">
        <v>1804</v>
      </c>
      <c r="M1552" s="2" t="s">
        <v>1385</v>
      </c>
      <c r="N1552" s="2" t="s">
        <v>1386</v>
      </c>
      <c r="P1552" s="2" t="s">
        <v>11496</v>
      </c>
      <c r="R1552" s="2" t="s">
        <v>1462</v>
      </c>
      <c r="S1552" s="2" t="s">
        <v>2730</v>
      </c>
      <c r="AN1552" s="2" t="s">
        <v>1368</v>
      </c>
    </row>
    <row r="1553" ht="15.75" customHeight="1">
      <c r="A1553" s="2" t="s">
        <v>11497</v>
      </c>
      <c r="B1553" s="2" t="s">
        <v>1781</v>
      </c>
      <c r="C1553" s="2">
        <v>2009.0</v>
      </c>
      <c r="D1553" s="2" t="s">
        <v>11498</v>
      </c>
      <c r="E1553" s="2" t="s">
        <v>11499</v>
      </c>
      <c r="L1553" s="2" t="s">
        <v>9775</v>
      </c>
      <c r="M1553" s="2" t="s">
        <v>1385</v>
      </c>
      <c r="N1553" s="2" t="s">
        <v>1386</v>
      </c>
      <c r="AB1553" s="2" t="s">
        <v>1629</v>
      </c>
      <c r="AN1553" s="2" t="s">
        <v>1368</v>
      </c>
    </row>
    <row r="1554" ht="15.75" customHeight="1">
      <c r="A1554" s="2" t="s">
        <v>11500</v>
      </c>
      <c r="B1554" s="2" t="s">
        <v>1396</v>
      </c>
      <c r="C1554" s="2">
        <v>2005.0</v>
      </c>
      <c r="D1554" s="2" t="s">
        <v>11501</v>
      </c>
      <c r="E1554" s="2" t="s">
        <v>11502</v>
      </c>
      <c r="G1554" s="2" t="s">
        <v>11503</v>
      </c>
      <c r="K1554" s="2" t="s">
        <v>11504</v>
      </c>
      <c r="L1554" s="2" t="s">
        <v>1394</v>
      </c>
      <c r="M1554" s="2" t="s">
        <v>1385</v>
      </c>
      <c r="N1554" s="2" t="s">
        <v>1386</v>
      </c>
      <c r="Q1554" s="2" t="s">
        <v>11505</v>
      </c>
      <c r="AA1554" s="2" t="s">
        <v>11506</v>
      </c>
      <c r="AN1554" s="2" t="s">
        <v>1368</v>
      </c>
    </row>
    <row r="1555" ht="15.75" customHeight="1">
      <c r="A1555" s="2" t="s">
        <v>11507</v>
      </c>
      <c r="B1555" s="2" t="s">
        <v>1361</v>
      </c>
      <c r="C1555" s="2">
        <v>2012.0</v>
      </c>
      <c r="D1555" s="2" t="s">
        <v>11508</v>
      </c>
      <c r="E1555" s="2" t="s">
        <v>11509</v>
      </c>
      <c r="F1555" s="2" t="s">
        <v>1688</v>
      </c>
      <c r="H1555" s="2" t="s">
        <v>1689</v>
      </c>
      <c r="I1555" s="2" t="s">
        <v>11510</v>
      </c>
      <c r="K1555" s="2" t="s">
        <v>11511</v>
      </c>
      <c r="L1555" s="2" t="s">
        <v>1405</v>
      </c>
      <c r="M1555" s="2" t="s">
        <v>1385</v>
      </c>
      <c r="N1555" s="2" t="s">
        <v>1386</v>
      </c>
      <c r="AN1555" s="2" t="s">
        <v>1368</v>
      </c>
    </row>
    <row r="1556" ht="15.75" customHeight="1">
      <c r="A1556" s="2" t="s">
        <v>11512</v>
      </c>
      <c r="B1556" s="2" t="s">
        <v>1396</v>
      </c>
      <c r="C1556" s="2">
        <v>2012.0</v>
      </c>
      <c r="D1556" s="2" t="s">
        <v>11513</v>
      </c>
      <c r="E1556" s="2" t="s">
        <v>11514</v>
      </c>
      <c r="G1556" s="2" t="s">
        <v>11515</v>
      </c>
      <c r="K1556" s="2" t="s">
        <v>11516</v>
      </c>
      <c r="L1556" s="2" t="s">
        <v>1405</v>
      </c>
      <c r="M1556" s="2" t="s">
        <v>1385</v>
      </c>
      <c r="N1556" s="2" t="s">
        <v>1386</v>
      </c>
      <c r="Q1556" s="2" t="s">
        <v>11517</v>
      </c>
      <c r="S1556" s="2" t="s">
        <v>11339</v>
      </c>
      <c r="X1556" s="2" t="s">
        <v>11338</v>
      </c>
      <c r="AA1556" s="2" t="s">
        <v>4843</v>
      </c>
      <c r="AB1556" s="2" t="s">
        <v>1629</v>
      </c>
      <c r="AN1556" s="2" t="s">
        <v>1368</v>
      </c>
    </row>
    <row r="1557" ht="15.75" customHeight="1">
      <c r="A1557" s="2" t="s">
        <v>11518</v>
      </c>
      <c r="B1557" s="2" t="s">
        <v>1361</v>
      </c>
      <c r="C1557" s="2">
        <v>2014.0</v>
      </c>
      <c r="D1557" s="2" t="s">
        <v>11519</v>
      </c>
      <c r="E1557" s="2" t="s">
        <v>11520</v>
      </c>
      <c r="F1557" s="2" t="s">
        <v>1474</v>
      </c>
      <c r="H1557" s="2" t="s">
        <v>6401</v>
      </c>
      <c r="I1557" s="2" t="s">
        <v>11521</v>
      </c>
      <c r="L1557" s="2" t="s">
        <v>1476</v>
      </c>
      <c r="M1557" s="2" t="s">
        <v>1385</v>
      </c>
      <c r="N1557" s="2" t="s">
        <v>1386</v>
      </c>
      <c r="P1557" s="2" t="s">
        <v>11522</v>
      </c>
      <c r="R1557" s="2" t="s">
        <v>2271</v>
      </c>
      <c r="S1557" s="2" t="s">
        <v>6736</v>
      </c>
      <c r="AN1557" s="2" t="s">
        <v>1368</v>
      </c>
    </row>
    <row r="1558" ht="15.75" customHeight="1">
      <c r="A1558" s="2" t="s">
        <v>11523</v>
      </c>
      <c r="B1558" s="2" t="s">
        <v>1396</v>
      </c>
      <c r="C1558" s="2">
        <v>2012.0</v>
      </c>
      <c r="D1558" s="2" t="s">
        <v>11524</v>
      </c>
      <c r="E1558" s="2" t="s">
        <v>645</v>
      </c>
      <c r="G1558" s="2" t="s">
        <v>1755</v>
      </c>
      <c r="K1558" s="2" t="s">
        <v>11525</v>
      </c>
      <c r="L1558" s="2" t="s">
        <v>1405</v>
      </c>
      <c r="M1558" s="2" t="s">
        <v>1385</v>
      </c>
      <c r="N1558" s="2" t="s">
        <v>1386</v>
      </c>
      <c r="AN1558" s="2" t="s">
        <v>1368</v>
      </c>
    </row>
    <row r="1559" ht="15.75" customHeight="1">
      <c r="A1559" s="2" t="s">
        <v>11526</v>
      </c>
      <c r="B1559" s="2" t="s">
        <v>1361</v>
      </c>
      <c r="C1559" s="2">
        <v>2005.0</v>
      </c>
      <c r="D1559" s="2" t="s">
        <v>11527</v>
      </c>
      <c r="E1559" s="2" t="s">
        <v>11528</v>
      </c>
      <c r="F1559" s="2" t="s">
        <v>11529</v>
      </c>
      <c r="H1559" s="2" t="s">
        <v>11530</v>
      </c>
      <c r="I1559" s="2" t="s">
        <v>11531</v>
      </c>
      <c r="K1559" s="2" t="s">
        <v>11532</v>
      </c>
      <c r="L1559" s="2" t="s">
        <v>1394</v>
      </c>
      <c r="M1559" s="2" t="s">
        <v>1385</v>
      </c>
      <c r="N1559" s="2" t="s">
        <v>1386</v>
      </c>
      <c r="AN1559" s="2" t="s">
        <v>1368</v>
      </c>
    </row>
    <row r="1560" ht="15.75" customHeight="1">
      <c r="A1560" s="2" t="s">
        <v>11533</v>
      </c>
      <c r="B1560" s="2" t="s">
        <v>1361</v>
      </c>
      <c r="C1560" s="2">
        <v>1990.0</v>
      </c>
      <c r="D1560" s="2" t="s">
        <v>11534</v>
      </c>
      <c r="E1560" s="2" t="s">
        <v>11535</v>
      </c>
      <c r="F1560" s="2" t="s">
        <v>4995</v>
      </c>
      <c r="H1560" s="2" t="s">
        <v>4996</v>
      </c>
      <c r="I1560" s="2" t="s">
        <v>11536</v>
      </c>
      <c r="L1560" s="2" t="s">
        <v>11537</v>
      </c>
      <c r="M1560" s="2" t="s">
        <v>1385</v>
      </c>
      <c r="N1560" s="2" t="s">
        <v>1386</v>
      </c>
      <c r="P1560" s="2" t="s">
        <v>11538</v>
      </c>
      <c r="R1560" s="2" t="s">
        <v>1600</v>
      </c>
      <c r="S1560" s="2" t="s">
        <v>2840</v>
      </c>
      <c r="AN1560" s="2" t="s">
        <v>1368</v>
      </c>
    </row>
    <row r="1561" ht="15.75" customHeight="1">
      <c r="A1561" s="2" t="s">
        <v>11539</v>
      </c>
      <c r="B1561" s="2" t="s">
        <v>1766</v>
      </c>
      <c r="C1561" s="2">
        <v>2016.0</v>
      </c>
      <c r="D1561" s="2" t="s">
        <v>11540</v>
      </c>
      <c r="E1561" s="2" t="s">
        <v>11541</v>
      </c>
      <c r="F1561" s="2" t="s">
        <v>6197</v>
      </c>
      <c r="L1561" s="2" t="s">
        <v>1502</v>
      </c>
      <c r="M1561" s="2" t="s">
        <v>1385</v>
      </c>
      <c r="N1561" s="2" t="s">
        <v>1386</v>
      </c>
      <c r="P1561" s="2" t="s">
        <v>11542</v>
      </c>
      <c r="AA1561" s="2" t="s">
        <v>6199</v>
      </c>
      <c r="AN1561" s="2" t="s">
        <v>1368</v>
      </c>
      <c r="AP1561" s="2" t="s">
        <v>6200</v>
      </c>
    </row>
    <row r="1562" ht="15.75" customHeight="1">
      <c r="A1562" s="2" t="s">
        <v>11543</v>
      </c>
      <c r="B1562" s="2" t="s">
        <v>1361</v>
      </c>
      <c r="C1562" s="2">
        <v>1996.0</v>
      </c>
      <c r="D1562" s="2" t="s">
        <v>11544</v>
      </c>
      <c r="E1562" s="2" t="s">
        <v>11545</v>
      </c>
      <c r="F1562" s="2" t="s">
        <v>11546</v>
      </c>
      <c r="H1562" s="2" t="s">
        <v>11547</v>
      </c>
      <c r="I1562" s="2" t="s">
        <v>11548</v>
      </c>
      <c r="K1562" s="2" t="s">
        <v>11549</v>
      </c>
      <c r="L1562" s="2" t="s">
        <v>2492</v>
      </c>
      <c r="M1562" s="2" t="s">
        <v>1385</v>
      </c>
      <c r="N1562" s="2" t="s">
        <v>1386</v>
      </c>
      <c r="P1562" s="2" t="s">
        <v>11550</v>
      </c>
      <c r="R1562" s="2" t="s">
        <v>1462</v>
      </c>
      <c r="S1562" s="2" t="s">
        <v>3349</v>
      </c>
      <c r="AN1562" s="2" t="s">
        <v>1368</v>
      </c>
    </row>
    <row r="1563" ht="15.75" customHeight="1">
      <c r="A1563" s="2" t="s">
        <v>11551</v>
      </c>
      <c r="B1563" s="2" t="s">
        <v>1361</v>
      </c>
      <c r="C1563" s="2">
        <v>2013.0</v>
      </c>
      <c r="D1563" s="2" t="s">
        <v>11552</v>
      </c>
      <c r="E1563" s="2" t="s">
        <v>11553</v>
      </c>
      <c r="F1563" s="2" t="s">
        <v>11554</v>
      </c>
      <c r="H1563" s="2" t="s">
        <v>11555</v>
      </c>
      <c r="I1563" s="2" t="s">
        <v>11556</v>
      </c>
      <c r="K1563" s="2" t="s">
        <v>11557</v>
      </c>
      <c r="L1563" s="2" t="s">
        <v>1429</v>
      </c>
      <c r="M1563" s="2" t="s">
        <v>1385</v>
      </c>
      <c r="N1563" s="2" t="s">
        <v>1386</v>
      </c>
      <c r="AN1563" s="2" t="s">
        <v>1368</v>
      </c>
    </row>
    <row r="1564" ht="15.75" customHeight="1">
      <c r="A1564" s="2" t="s">
        <v>11558</v>
      </c>
      <c r="B1564" s="2" t="s">
        <v>1361</v>
      </c>
      <c r="C1564" s="2">
        <v>2015.0</v>
      </c>
      <c r="D1564" s="2" t="s">
        <v>11559</v>
      </c>
      <c r="E1564" s="2" t="s">
        <v>11560</v>
      </c>
      <c r="F1564" s="2" t="s">
        <v>11561</v>
      </c>
      <c r="H1564" s="2" t="s">
        <v>11562</v>
      </c>
      <c r="I1564" s="2" t="s">
        <v>11563</v>
      </c>
      <c r="K1564" s="2" t="s">
        <v>11564</v>
      </c>
      <c r="L1564" s="2" t="s">
        <v>1373</v>
      </c>
      <c r="M1564" s="2" t="s">
        <v>1385</v>
      </c>
      <c r="N1564" s="2" t="s">
        <v>1386</v>
      </c>
      <c r="P1564" s="2" t="s">
        <v>11565</v>
      </c>
      <c r="S1564" s="2" t="s">
        <v>3211</v>
      </c>
      <c r="AN1564" s="2" t="s">
        <v>1368</v>
      </c>
    </row>
    <row r="1565" ht="15.75" customHeight="1">
      <c r="A1565" s="2" t="s">
        <v>11566</v>
      </c>
      <c r="B1565" s="2" t="s">
        <v>1396</v>
      </c>
      <c r="C1565" s="2">
        <v>2005.0</v>
      </c>
      <c r="D1565" s="2" t="s">
        <v>11567</v>
      </c>
      <c r="E1565" s="2" t="s">
        <v>11568</v>
      </c>
      <c r="G1565" s="2" t="s">
        <v>11569</v>
      </c>
      <c r="K1565" s="2" t="s">
        <v>11570</v>
      </c>
      <c r="L1565" s="2" t="s">
        <v>1394</v>
      </c>
      <c r="M1565" s="2" t="s">
        <v>1385</v>
      </c>
      <c r="N1565" s="2" t="s">
        <v>1386</v>
      </c>
      <c r="AN1565" s="2" t="s">
        <v>1368</v>
      </c>
    </row>
    <row r="1566" ht="15.75" customHeight="1">
      <c r="A1566" s="2" t="s">
        <v>11571</v>
      </c>
      <c r="B1566" s="2" t="s">
        <v>1361</v>
      </c>
      <c r="C1566" s="2">
        <v>2000.0</v>
      </c>
      <c r="D1566" s="2" t="s">
        <v>11567</v>
      </c>
      <c r="E1566" s="2" t="s">
        <v>11572</v>
      </c>
      <c r="F1566" s="2" t="s">
        <v>2340</v>
      </c>
      <c r="H1566" s="2" t="s">
        <v>11573</v>
      </c>
      <c r="I1566" s="2" t="s">
        <v>11574</v>
      </c>
      <c r="K1566" s="2" t="s">
        <v>11575</v>
      </c>
      <c r="L1566" s="2" t="s">
        <v>2429</v>
      </c>
      <c r="M1566" s="2" t="s">
        <v>1385</v>
      </c>
      <c r="N1566" s="2" t="s">
        <v>1386</v>
      </c>
      <c r="AN1566" s="2" t="s">
        <v>1368</v>
      </c>
    </row>
    <row r="1567" ht="15.75" customHeight="1">
      <c r="A1567" s="2" t="s">
        <v>11576</v>
      </c>
      <c r="B1567" s="2" t="s">
        <v>1361</v>
      </c>
      <c r="C1567" s="2">
        <v>2015.0</v>
      </c>
      <c r="D1567" s="2" t="s">
        <v>11577</v>
      </c>
      <c r="E1567" s="2" t="s">
        <v>256</v>
      </c>
      <c r="F1567" s="2" t="s">
        <v>1570</v>
      </c>
      <c r="H1567" s="2" t="s">
        <v>11578</v>
      </c>
      <c r="I1567" s="2" t="s">
        <v>259</v>
      </c>
      <c r="K1567" s="2" t="s">
        <v>11579</v>
      </c>
      <c r="L1567" s="2" t="s">
        <v>1373</v>
      </c>
      <c r="M1567" s="2" t="s">
        <v>1385</v>
      </c>
      <c r="N1567" s="2" t="s">
        <v>1386</v>
      </c>
      <c r="AN1567" s="2" t="s">
        <v>1368</v>
      </c>
    </row>
    <row r="1568" ht="15.75" customHeight="1">
      <c r="A1568" s="2" t="s">
        <v>11580</v>
      </c>
      <c r="B1568" s="2" t="s">
        <v>1361</v>
      </c>
      <c r="C1568" s="2">
        <v>2002.0</v>
      </c>
      <c r="D1568" s="2" t="s">
        <v>11581</v>
      </c>
      <c r="E1568" s="2" t="s">
        <v>11582</v>
      </c>
      <c r="F1568" s="2" t="s">
        <v>9435</v>
      </c>
      <c r="H1568" s="2" t="s">
        <v>9436</v>
      </c>
      <c r="I1568" s="2" t="s">
        <v>11583</v>
      </c>
      <c r="L1568" s="2" t="s">
        <v>1493</v>
      </c>
      <c r="M1568" s="2" t="s">
        <v>1385</v>
      </c>
      <c r="N1568" s="2" t="s">
        <v>1386</v>
      </c>
      <c r="P1568" s="2" t="s">
        <v>11584</v>
      </c>
      <c r="R1568" s="2" t="s">
        <v>1462</v>
      </c>
      <c r="S1568" s="2" t="s">
        <v>1443</v>
      </c>
      <c r="AN1568" s="2" t="s">
        <v>1368</v>
      </c>
    </row>
    <row r="1569" ht="15.75" customHeight="1">
      <c r="A1569" s="2" t="s">
        <v>11585</v>
      </c>
      <c r="B1569" s="2" t="s">
        <v>1623</v>
      </c>
      <c r="C1569" s="2">
        <v>2005.0</v>
      </c>
      <c r="D1569" s="2" t="s">
        <v>11586</v>
      </c>
      <c r="E1569" s="2" t="s">
        <v>11587</v>
      </c>
      <c r="L1569" s="2" t="s">
        <v>1394</v>
      </c>
      <c r="M1569" s="2" t="s">
        <v>1385</v>
      </c>
      <c r="N1569" s="2" t="s">
        <v>1386</v>
      </c>
      <c r="AN1569" s="2" t="s">
        <v>1368</v>
      </c>
    </row>
    <row r="1570" ht="15.75" customHeight="1">
      <c r="A1570" s="2" t="s">
        <v>11588</v>
      </c>
      <c r="B1570" s="2" t="s">
        <v>1361</v>
      </c>
      <c r="C1570" s="2">
        <v>2012.0</v>
      </c>
      <c r="D1570" s="2" t="s">
        <v>11589</v>
      </c>
      <c r="E1570" s="2" t="s">
        <v>11590</v>
      </c>
      <c r="F1570" s="2" t="s">
        <v>11591</v>
      </c>
      <c r="H1570" s="2" t="s">
        <v>11592</v>
      </c>
      <c r="I1570" s="2" t="s">
        <v>11593</v>
      </c>
      <c r="K1570" s="2" t="s">
        <v>11594</v>
      </c>
      <c r="L1570" s="2" t="s">
        <v>1405</v>
      </c>
      <c r="M1570" s="2" t="s">
        <v>1385</v>
      </c>
      <c r="N1570" s="2" t="s">
        <v>1386</v>
      </c>
      <c r="AN1570" s="2" t="s">
        <v>1368</v>
      </c>
    </row>
    <row r="1571" ht="15.75" customHeight="1">
      <c r="A1571" s="2" t="s">
        <v>11595</v>
      </c>
      <c r="B1571" s="2" t="s">
        <v>1361</v>
      </c>
      <c r="C1571" s="2">
        <v>2014.0</v>
      </c>
      <c r="D1571" s="2" t="s">
        <v>11596</v>
      </c>
      <c r="E1571" s="2" t="s">
        <v>11597</v>
      </c>
      <c r="F1571" s="2" t="s">
        <v>10389</v>
      </c>
      <c r="H1571" s="2" t="s">
        <v>11598</v>
      </c>
      <c r="I1571" s="2" t="s">
        <v>11599</v>
      </c>
      <c r="K1571" s="2" t="s">
        <v>11600</v>
      </c>
      <c r="L1571" s="2" t="s">
        <v>1476</v>
      </c>
      <c r="M1571" s="2" t="s">
        <v>1385</v>
      </c>
      <c r="N1571" s="2" t="s">
        <v>1386</v>
      </c>
      <c r="AN1571" s="2" t="s">
        <v>1368</v>
      </c>
    </row>
    <row r="1572" ht="15.75" customHeight="1">
      <c r="A1572" s="2" t="s">
        <v>11601</v>
      </c>
      <c r="B1572" s="2" t="s">
        <v>1361</v>
      </c>
      <c r="C1572" s="2">
        <v>2012.0</v>
      </c>
      <c r="D1572" s="2" t="s">
        <v>11602</v>
      </c>
      <c r="E1572" s="2" t="s">
        <v>11603</v>
      </c>
      <c r="F1572" s="2" t="s">
        <v>2340</v>
      </c>
      <c r="H1572" s="2" t="s">
        <v>2341</v>
      </c>
      <c r="I1572" s="2" t="s">
        <v>11604</v>
      </c>
      <c r="K1572" s="2" t="s">
        <v>11605</v>
      </c>
      <c r="L1572" s="2" t="s">
        <v>1405</v>
      </c>
      <c r="M1572" s="2" t="s">
        <v>1385</v>
      </c>
      <c r="N1572" s="2" t="s">
        <v>1386</v>
      </c>
      <c r="AN1572" s="2" t="s">
        <v>1368</v>
      </c>
    </row>
    <row r="1573" ht="15.75" customHeight="1">
      <c r="A1573" s="2" t="s">
        <v>11606</v>
      </c>
      <c r="B1573" s="2" t="s">
        <v>1361</v>
      </c>
      <c r="C1573" s="2">
        <v>2008.0</v>
      </c>
      <c r="D1573" s="2" t="s">
        <v>11607</v>
      </c>
      <c r="E1573" s="2" t="s">
        <v>11608</v>
      </c>
      <c r="L1573" s="2" t="s">
        <v>1458</v>
      </c>
      <c r="M1573" s="2" t="s">
        <v>1385</v>
      </c>
      <c r="N1573" s="2" t="s">
        <v>1386</v>
      </c>
      <c r="P1573" s="2" t="s">
        <v>11609</v>
      </c>
      <c r="R1573" s="2" t="s">
        <v>3628</v>
      </c>
      <c r="S1573" s="2" t="s">
        <v>3528</v>
      </c>
      <c r="AN1573" s="2" t="s">
        <v>1368</v>
      </c>
    </row>
    <row r="1574" ht="15.75" customHeight="1">
      <c r="A1574" s="2" t="s">
        <v>11610</v>
      </c>
      <c r="B1574" s="2" t="s">
        <v>1361</v>
      </c>
      <c r="C1574" s="2">
        <v>2012.0</v>
      </c>
      <c r="D1574" s="2" t="s">
        <v>11611</v>
      </c>
      <c r="E1574" s="2" t="s">
        <v>11612</v>
      </c>
      <c r="F1574" s="2" t="s">
        <v>3201</v>
      </c>
      <c r="H1574" s="2" t="s">
        <v>3202</v>
      </c>
      <c r="I1574" s="2" t="s">
        <v>11613</v>
      </c>
      <c r="K1574" s="2" t="s">
        <v>11614</v>
      </c>
      <c r="L1574" s="2" t="s">
        <v>1405</v>
      </c>
      <c r="M1574" s="2" t="s">
        <v>1385</v>
      </c>
      <c r="N1574" s="2" t="s">
        <v>1386</v>
      </c>
      <c r="AN1574" s="2" t="s">
        <v>1368</v>
      </c>
    </row>
    <row r="1575" ht="15.75" customHeight="1">
      <c r="A1575" s="2" t="s">
        <v>11615</v>
      </c>
      <c r="B1575" s="2" t="s">
        <v>1766</v>
      </c>
      <c r="C1575" s="2">
        <v>2010.0</v>
      </c>
      <c r="D1575" s="2" t="s">
        <v>11616</v>
      </c>
      <c r="E1575" s="2" t="s">
        <v>11617</v>
      </c>
      <c r="F1575" s="2" t="s">
        <v>11618</v>
      </c>
      <c r="G1575" s="2" t="s">
        <v>11619</v>
      </c>
      <c r="K1575" s="2" t="s">
        <v>11620</v>
      </c>
      <c r="L1575" s="2" t="s">
        <v>1449</v>
      </c>
      <c r="M1575" s="2" t="s">
        <v>1385</v>
      </c>
      <c r="N1575" s="2" t="s">
        <v>1386</v>
      </c>
      <c r="P1575" s="2" t="s">
        <v>11621</v>
      </c>
      <c r="AA1575" s="2" t="s">
        <v>6967</v>
      </c>
      <c r="AN1575" s="2" t="s">
        <v>1368</v>
      </c>
      <c r="AP1575" s="2" t="s">
        <v>11622</v>
      </c>
    </row>
    <row r="1576" ht="15.75" customHeight="1">
      <c r="A1576" s="2" t="s">
        <v>11623</v>
      </c>
      <c r="B1576" s="2" t="s">
        <v>1361</v>
      </c>
      <c r="C1576" s="2">
        <v>2010.0</v>
      </c>
      <c r="D1576" s="2" t="s">
        <v>11624</v>
      </c>
      <c r="E1576" s="2" t="s">
        <v>11625</v>
      </c>
      <c r="F1576" s="2" t="s">
        <v>11626</v>
      </c>
      <c r="H1576" s="2" t="s">
        <v>11627</v>
      </c>
      <c r="I1576" s="2" t="s">
        <v>11628</v>
      </c>
      <c r="K1576" s="2" t="s">
        <v>11629</v>
      </c>
      <c r="L1576" s="2" t="s">
        <v>11630</v>
      </c>
      <c r="M1576" s="2" t="s">
        <v>1385</v>
      </c>
      <c r="N1576" s="2" t="s">
        <v>1386</v>
      </c>
      <c r="P1576" s="2" t="s">
        <v>11631</v>
      </c>
      <c r="R1576" s="2" t="s">
        <v>1506</v>
      </c>
      <c r="S1576" s="2" t="s">
        <v>1620</v>
      </c>
      <c r="AN1576" s="2" t="s">
        <v>1368</v>
      </c>
    </row>
    <row r="1577" ht="15.75" customHeight="1">
      <c r="A1577" s="2" t="s">
        <v>11632</v>
      </c>
      <c r="B1577" s="2" t="s">
        <v>1361</v>
      </c>
      <c r="C1577" s="2">
        <v>2013.0</v>
      </c>
      <c r="D1577" s="2" t="s">
        <v>11633</v>
      </c>
      <c r="E1577" s="2" t="s">
        <v>11634</v>
      </c>
      <c r="F1577" s="2" t="s">
        <v>2205</v>
      </c>
      <c r="H1577" s="2" t="s">
        <v>2206</v>
      </c>
      <c r="I1577" s="2" t="s">
        <v>11635</v>
      </c>
      <c r="K1577" s="2" t="s">
        <v>11636</v>
      </c>
      <c r="L1577" s="2" t="s">
        <v>1429</v>
      </c>
      <c r="M1577" s="2" t="s">
        <v>1385</v>
      </c>
      <c r="N1577" s="2" t="s">
        <v>1386</v>
      </c>
      <c r="AN1577" s="2" t="s">
        <v>1368</v>
      </c>
    </row>
    <row r="1578" ht="15.75" customHeight="1">
      <c r="A1578" s="2" t="s">
        <v>11637</v>
      </c>
      <c r="B1578" s="2" t="s">
        <v>1781</v>
      </c>
      <c r="C1578" s="2">
        <v>2014.0</v>
      </c>
      <c r="D1578" s="2" t="s">
        <v>11638</v>
      </c>
      <c r="E1578" s="2" t="s">
        <v>11639</v>
      </c>
      <c r="L1578" s="2" t="s">
        <v>1476</v>
      </c>
      <c r="M1578" s="2" t="s">
        <v>1385</v>
      </c>
      <c r="N1578" s="2" t="s">
        <v>1386</v>
      </c>
      <c r="AN1578" s="2" t="s">
        <v>1368</v>
      </c>
    </row>
    <row r="1579" ht="15.75" customHeight="1">
      <c r="A1579" s="2" t="s">
        <v>11640</v>
      </c>
      <c r="B1579" s="2" t="s">
        <v>1361</v>
      </c>
      <c r="C1579" s="2">
        <v>2016.0</v>
      </c>
      <c r="D1579" s="2" t="s">
        <v>11641</v>
      </c>
      <c r="E1579" s="2" t="s">
        <v>11642</v>
      </c>
      <c r="F1579" s="2" t="s">
        <v>3256</v>
      </c>
      <c r="I1579" s="2" t="s">
        <v>11643</v>
      </c>
      <c r="L1579" s="2" t="s">
        <v>1502</v>
      </c>
      <c r="M1579" s="2" t="s">
        <v>1385</v>
      </c>
      <c r="N1579" s="2" t="s">
        <v>1386</v>
      </c>
      <c r="P1579" s="2" t="s">
        <v>11644</v>
      </c>
      <c r="S1579" s="2" t="s">
        <v>2840</v>
      </c>
      <c r="AN1579" s="2" t="s">
        <v>1368</v>
      </c>
    </row>
    <row r="1580" ht="15.75" customHeight="1">
      <c r="A1580" s="2" t="s">
        <v>11645</v>
      </c>
      <c r="B1580" s="2" t="s">
        <v>1361</v>
      </c>
      <c r="C1580" s="2">
        <v>2012.0</v>
      </c>
      <c r="D1580" s="2" t="s">
        <v>11646</v>
      </c>
      <c r="E1580" s="2" t="s">
        <v>11647</v>
      </c>
      <c r="F1580" s="2" t="s">
        <v>4086</v>
      </c>
      <c r="H1580" s="2" t="s">
        <v>7313</v>
      </c>
      <c r="I1580" s="2" t="s">
        <v>11648</v>
      </c>
      <c r="K1580" s="2" t="s">
        <v>11649</v>
      </c>
      <c r="L1580" s="2" t="s">
        <v>1405</v>
      </c>
      <c r="M1580" s="2" t="s">
        <v>1385</v>
      </c>
      <c r="N1580" s="2" t="s">
        <v>1386</v>
      </c>
      <c r="AN1580" s="2" t="s">
        <v>1368</v>
      </c>
    </row>
    <row r="1581" ht="15.75" customHeight="1">
      <c r="A1581" s="2" t="s">
        <v>11650</v>
      </c>
      <c r="B1581" s="2" t="s">
        <v>1361</v>
      </c>
      <c r="C1581" s="2">
        <v>2009.0</v>
      </c>
      <c r="D1581" s="2" t="s">
        <v>11651</v>
      </c>
      <c r="E1581" s="2" t="s">
        <v>11652</v>
      </c>
      <c r="F1581" s="2" t="s">
        <v>1484</v>
      </c>
      <c r="H1581" s="2" t="s">
        <v>3119</v>
      </c>
      <c r="I1581" s="2" t="s">
        <v>11653</v>
      </c>
      <c r="K1581" s="2" t="s">
        <v>11654</v>
      </c>
      <c r="L1581" s="2" t="s">
        <v>1364</v>
      </c>
      <c r="M1581" s="2" t="s">
        <v>1385</v>
      </c>
      <c r="N1581" s="2" t="s">
        <v>1386</v>
      </c>
      <c r="AN1581" s="2" t="s">
        <v>1368</v>
      </c>
    </row>
    <row r="1582" ht="15.75" customHeight="1">
      <c r="A1582" s="2" t="s">
        <v>11655</v>
      </c>
      <c r="B1582" s="2" t="s">
        <v>1361</v>
      </c>
      <c r="C1582" s="2">
        <v>2011.0</v>
      </c>
      <c r="D1582" s="2" t="s">
        <v>11656</v>
      </c>
      <c r="E1582" s="2" t="s">
        <v>11657</v>
      </c>
      <c r="F1582" s="2" t="s">
        <v>10389</v>
      </c>
      <c r="H1582" s="2" t="s">
        <v>11658</v>
      </c>
      <c r="I1582" s="2" t="s">
        <v>11659</v>
      </c>
      <c r="L1582" s="2" t="s">
        <v>3107</v>
      </c>
      <c r="M1582" s="2" t="s">
        <v>1385</v>
      </c>
      <c r="N1582" s="2" t="s">
        <v>1386</v>
      </c>
      <c r="P1582" s="2" t="s">
        <v>11660</v>
      </c>
      <c r="R1582" s="2" t="s">
        <v>1600</v>
      </c>
      <c r="S1582" s="2" t="s">
        <v>3391</v>
      </c>
      <c r="AN1582" s="2" t="s">
        <v>1368</v>
      </c>
    </row>
    <row r="1583" ht="15.75" customHeight="1">
      <c r="A1583" s="2" t="s">
        <v>11661</v>
      </c>
      <c r="B1583" s="2" t="s">
        <v>1361</v>
      </c>
      <c r="C1583" s="2">
        <v>2009.0</v>
      </c>
      <c r="D1583" s="2" t="s">
        <v>11662</v>
      </c>
      <c r="E1583" s="2" t="s">
        <v>11663</v>
      </c>
      <c r="F1583" s="2" t="s">
        <v>1876</v>
      </c>
      <c r="H1583" s="2" t="s">
        <v>6702</v>
      </c>
      <c r="I1583" s="2" t="s">
        <v>11664</v>
      </c>
      <c r="K1583" s="2" t="s">
        <v>11665</v>
      </c>
      <c r="L1583" s="2" t="s">
        <v>1364</v>
      </c>
      <c r="M1583" s="2" t="s">
        <v>1385</v>
      </c>
      <c r="N1583" s="2" t="s">
        <v>1386</v>
      </c>
      <c r="AN1583" s="2" t="s">
        <v>1368</v>
      </c>
    </row>
    <row r="1584" ht="15.75" customHeight="1">
      <c r="A1584" s="2" t="s">
        <v>11666</v>
      </c>
      <c r="B1584" s="2" t="s">
        <v>1361</v>
      </c>
      <c r="C1584" s="2">
        <v>2017.0</v>
      </c>
      <c r="D1584" s="2" t="s">
        <v>11667</v>
      </c>
      <c r="E1584" s="2" t="s">
        <v>60</v>
      </c>
      <c r="F1584" s="2" t="s">
        <v>6140</v>
      </c>
      <c r="H1584" s="2" t="s">
        <v>6141</v>
      </c>
      <c r="I1584" s="2" t="s">
        <v>63</v>
      </c>
      <c r="L1584" s="2" t="s">
        <v>1658</v>
      </c>
      <c r="M1584" s="2" t="s">
        <v>1385</v>
      </c>
      <c r="N1584" s="2" t="s">
        <v>1386</v>
      </c>
      <c r="P1584" s="2" t="s">
        <v>11668</v>
      </c>
      <c r="S1584" s="2" t="s">
        <v>11669</v>
      </c>
      <c r="AN1584" s="2" t="s">
        <v>1368</v>
      </c>
    </row>
    <row r="1585" ht="15.75" customHeight="1">
      <c r="A1585" s="2" t="s">
        <v>11670</v>
      </c>
      <c r="B1585" s="2" t="s">
        <v>1781</v>
      </c>
      <c r="C1585" s="2">
        <v>2003.0</v>
      </c>
      <c r="D1585" s="2" t="s">
        <v>11671</v>
      </c>
      <c r="E1585" s="2" t="s">
        <v>11672</v>
      </c>
      <c r="L1585" s="2" t="s">
        <v>1606</v>
      </c>
      <c r="M1585" s="2" t="s">
        <v>1385</v>
      </c>
      <c r="N1585" s="2" t="s">
        <v>1386</v>
      </c>
      <c r="AN1585" s="2" t="s">
        <v>1368</v>
      </c>
    </row>
    <row r="1586" ht="15.75" customHeight="1">
      <c r="A1586" s="2" t="s">
        <v>11673</v>
      </c>
      <c r="B1586" s="2" t="s">
        <v>1361</v>
      </c>
      <c r="C1586" s="2">
        <v>2005.0</v>
      </c>
      <c r="D1586" s="2" t="s">
        <v>11674</v>
      </c>
      <c r="E1586" s="2" t="s">
        <v>11675</v>
      </c>
      <c r="F1586" s="2" t="s">
        <v>11676</v>
      </c>
      <c r="H1586" s="2" t="s">
        <v>11677</v>
      </c>
      <c r="I1586" s="2" t="s">
        <v>11678</v>
      </c>
      <c r="L1586" s="2" t="s">
        <v>11679</v>
      </c>
      <c r="M1586" s="2" t="s">
        <v>1385</v>
      </c>
      <c r="N1586" s="2" t="s">
        <v>1386</v>
      </c>
      <c r="P1586" s="2" t="s">
        <v>11680</v>
      </c>
      <c r="R1586" s="2" t="s">
        <v>1506</v>
      </c>
      <c r="S1586" s="2" t="s">
        <v>6310</v>
      </c>
      <c r="AN1586" s="2" t="s">
        <v>1368</v>
      </c>
    </row>
    <row r="1587" ht="15.75" customHeight="1">
      <c r="A1587" s="2" t="s">
        <v>11681</v>
      </c>
      <c r="B1587" s="2" t="s">
        <v>1361</v>
      </c>
      <c r="C1587" s="2">
        <v>2014.0</v>
      </c>
      <c r="D1587" s="2" t="s">
        <v>11682</v>
      </c>
      <c r="E1587" s="2" t="s">
        <v>542</v>
      </c>
      <c r="F1587" s="2" t="s">
        <v>1789</v>
      </c>
      <c r="H1587" s="2" t="s">
        <v>1790</v>
      </c>
      <c r="I1587" s="2" t="s">
        <v>544</v>
      </c>
      <c r="K1587" s="2" t="s">
        <v>11683</v>
      </c>
      <c r="L1587" s="2" t="s">
        <v>1476</v>
      </c>
      <c r="M1587" s="2" t="s">
        <v>1385</v>
      </c>
      <c r="N1587" s="2" t="s">
        <v>1386</v>
      </c>
      <c r="P1587" s="2" t="s">
        <v>11684</v>
      </c>
      <c r="S1587" s="2" t="s">
        <v>4442</v>
      </c>
      <c r="AN1587" s="2" t="s">
        <v>1368</v>
      </c>
    </row>
    <row r="1588" ht="15.75" customHeight="1">
      <c r="A1588" s="2" t="s">
        <v>11685</v>
      </c>
      <c r="B1588" s="2" t="s">
        <v>1781</v>
      </c>
      <c r="C1588" s="2">
        <v>2016.0</v>
      </c>
      <c r="D1588" s="2" t="s">
        <v>11686</v>
      </c>
      <c r="E1588" s="2" t="s">
        <v>11687</v>
      </c>
      <c r="L1588" s="2" t="s">
        <v>1502</v>
      </c>
      <c r="M1588" s="2" t="s">
        <v>1385</v>
      </c>
      <c r="N1588" s="2" t="s">
        <v>1386</v>
      </c>
      <c r="AB1588" s="2" t="s">
        <v>11688</v>
      </c>
      <c r="AN1588" s="2" t="s">
        <v>1368</v>
      </c>
    </row>
    <row r="1589" ht="15.75" customHeight="1">
      <c r="A1589" s="2" t="s">
        <v>11689</v>
      </c>
      <c r="B1589" s="2" t="s">
        <v>1361</v>
      </c>
      <c r="C1589" s="2">
        <v>2010.0</v>
      </c>
      <c r="D1589" s="2" t="s">
        <v>11690</v>
      </c>
      <c r="E1589" s="2" t="s">
        <v>11691</v>
      </c>
      <c r="F1589" s="2" t="s">
        <v>2665</v>
      </c>
      <c r="I1589" s="2" t="s">
        <v>11692</v>
      </c>
      <c r="L1589" s="2" t="s">
        <v>1449</v>
      </c>
      <c r="M1589" s="2" t="s">
        <v>11693</v>
      </c>
      <c r="N1589" s="2" t="s">
        <v>11694</v>
      </c>
      <c r="P1589" s="2" t="s">
        <v>11695</v>
      </c>
      <c r="R1589" s="2" t="s">
        <v>1462</v>
      </c>
      <c r="S1589" s="2">
        <v>38.0</v>
      </c>
      <c r="AN1589" s="2" t="s">
        <v>1368</v>
      </c>
    </row>
    <row r="1590" ht="15.75" customHeight="1">
      <c r="A1590" s="2" t="s">
        <v>11696</v>
      </c>
      <c r="B1590" s="2" t="s">
        <v>1361</v>
      </c>
      <c r="C1590" s="2">
        <v>2002.0</v>
      </c>
      <c r="D1590" s="2" t="s">
        <v>11697</v>
      </c>
      <c r="E1590" s="2" t="s">
        <v>11698</v>
      </c>
      <c r="F1590" s="2" t="s">
        <v>11699</v>
      </c>
      <c r="I1590" s="2" t="s">
        <v>11700</v>
      </c>
      <c r="L1590" s="2" t="s">
        <v>1493</v>
      </c>
      <c r="M1590" s="2" t="s">
        <v>11701</v>
      </c>
      <c r="N1590" s="2" t="s">
        <v>11702</v>
      </c>
      <c r="P1590" s="2" t="s">
        <v>11703</v>
      </c>
      <c r="R1590" s="2" t="s">
        <v>1453</v>
      </c>
      <c r="S1590" s="2">
        <v>24.0</v>
      </c>
      <c r="AN1590" s="2" t="s">
        <v>1368</v>
      </c>
    </row>
    <row r="1591" ht="15.75" customHeight="1">
      <c r="A1591" s="2" t="s">
        <v>11704</v>
      </c>
      <c r="B1591" s="2" t="s">
        <v>1361</v>
      </c>
      <c r="C1591" s="2">
        <v>2007.0</v>
      </c>
      <c r="D1591" s="2" t="s">
        <v>11705</v>
      </c>
      <c r="E1591" s="2" t="s">
        <v>11706</v>
      </c>
      <c r="F1591" s="2" t="s">
        <v>11707</v>
      </c>
      <c r="I1591" s="2" t="s">
        <v>11708</v>
      </c>
      <c r="L1591" s="2" t="s">
        <v>2380</v>
      </c>
      <c r="M1591" s="2" t="s">
        <v>10152</v>
      </c>
      <c r="N1591" s="2" t="s">
        <v>10153</v>
      </c>
      <c r="P1591" s="2" t="s">
        <v>11709</v>
      </c>
      <c r="R1591" s="2" t="s">
        <v>1453</v>
      </c>
      <c r="S1591" s="2">
        <v>113.0</v>
      </c>
      <c r="AN1591" s="2" t="s">
        <v>1368</v>
      </c>
    </row>
    <row r="1592" ht="15.75" customHeight="1">
      <c r="A1592" s="2" t="s">
        <v>11710</v>
      </c>
      <c r="B1592" s="2" t="s">
        <v>1361</v>
      </c>
      <c r="C1592" s="2">
        <v>2018.0</v>
      </c>
      <c r="D1592" s="2" t="s">
        <v>11711</v>
      </c>
      <c r="E1592" s="2" t="s">
        <v>11712</v>
      </c>
      <c r="F1592" s="2" t="s">
        <v>11713</v>
      </c>
      <c r="H1592" s="2" t="s">
        <v>11714</v>
      </c>
      <c r="I1592" s="2" t="s">
        <v>11715</v>
      </c>
      <c r="J1592" s="2" t="s">
        <v>11716</v>
      </c>
      <c r="L1592" s="2" t="s">
        <v>11717</v>
      </c>
      <c r="M1592" s="2" t="s">
        <v>11718</v>
      </c>
      <c r="N1592" s="2" t="s">
        <v>11719</v>
      </c>
      <c r="O1592" s="2" t="s">
        <v>11720</v>
      </c>
      <c r="P1592" s="2" t="s">
        <v>11721</v>
      </c>
      <c r="R1592" s="2" t="s">
        <v>1462</v>
      </c>
      <c r="S1592" s="2">
        <v>14.0</v>
      </c>
      <c r="U1592" s="2" t="s">
        <v>11713</v>
      </c>
      <c r="AC1592" s="2" t="s">
        <v>1540</v>
      </c>
      <c r="AH1592" s="2" t="s">
        <v>1541</v>
      </c>
      <c r="AN1592" s="2" t="s">
        <v>1885</v>
      </c>
    </row>
    <row r="1593" ht="15.75" customHeight="1">
      <c r="A1593" s="2" t="s">
        <v>11722</v>
      </c>
      <c r="B1593" s="2" t="s">
        <v>1361</v>
      </c>
      <c r="C1593" s="2">
        <v>2014.0</v>
      </c>
      <c r="D1593" s="2" t="s">
        <v>11723</v>
      </c>
      <c r="E1593" s="2" t="s">
        <v>11724</v>
      </c>
      <c r="F1593" s="2" t="s">
        <v>6306</v>
      </c>
      <c r="H1593" s="2" t="s">
        <v>6307</v>
      </c>
      <c r="I1593" s="2" t="s">
        <v>11725</v>
      </c>
      <c r="K1593" s="2" t="s">
        <v>11726</v>
      </c>
      <c r="L1593" s="2" t="s">
        <v>1476</v>
      </c>
      <c r="M1593" s="2" t="s">
        <v>1385</v>
      </c>
      <c r="N1593" s="2" t="s">
        <v>1386</v>
      </c>
      <c r="AN1593" s="2" t="s">
        <v>1368</v>
      </c>
    </row>
    <row r="1594" ht="15.75" customHeight="1">
      <c r="A1594" s="2" t="s">
        <v>11727</v>
      </c>
      <c r="B1594" s="2" t="s">
        <v>1361</v>
      </c>
      <c r="C1594" s="2">
        <v>2003.0</v>
      </c>
      <c r="D1594" s="2" t="s">
        <v>11728</v>
      </c>
      <c r="E1594" s="2" t="s">
        <v>11729</v>
      </c>
      <c r="F1594" s="2" t="s">
        <v>5418</v>
      </c>
      <c r="H1594" s="2" t="s">
        <v>11730</v>
      </c>
      <c r="I1594" s="2" t="s">
        <v>11731</v>
      </c>
      <c r="L1594" s="2" t="s">
        <v>1606</v>
      </c>
      <c r="M1594" s="2" t="s">
        <v>1385</v>
      </c>
      <c r="N1594" s="2" t="s">
        <v>1386</v>
      </c>
      <c r="P1594" s="2" t="s">
        <v>11732</v>
      </c>
      <c r="R1594" s="2" t="s">
        <v>5460</v>
      </c>
      <c r="S1594" s="2">
        <v>111.0</v>
      </c>
      <c r="AN1594" s="2" t="s">
        <v>1368</v>
      </c>
    </row>
    <row r="1595" ht="15.75" customHeight="1">
      <c r="A1595" s="2" t="s">
        <v>11733</v>
      </c>
      <c r="B1595" s="2" t="s">
        <v>1361</v>
      </c>
      <c r="C1595" s="2">
        <v>2003.0</v>
      </c>
      <c r="D1595" s="2" t="s">
        <v>11734</v>
      </c>
      <c r="E1595" s="2" t="s">
        <v>11735</v>
      </c>
      <c r="F1595" s="2" t="s">
        <v>11736</v>
      </c>
      <c r="H1595" s="2" t="s">
        <v>11737</v>
      </c>
      <c r="I1595" s="2" t="s">
        <v>11738</v>
      </c>
      <c r="K1595" s="2" t="s">
        <v>11739</v>
      </c>
      <c r="L1595" s="2" t="s">
        <v>1606</v>
      </c>
      <c r="M1595" s="2" t="s">
        <v>1385</v>
      </c>
      <c r="N1595" s="2" t="s">
        <v>1386</v>
      </c>
      <c r="AN1595" s="2" t="s">
        <v>1368</v>
      </c>
    </row>
    <row r="1596" ht="15.75" customHeight="1">
      <c r="A1596" s="2" t="s">
        <v>11740</v>
      </c>
      <c r="B1596" s="2" t="s">
        <v>2615</v>
      </c>
      <c r="C1596" s="2">
        <v>2006.0</v>
      </c>
      <c r="D1596" s="2" t="s">
        <v>11741</v>
      </c>
      <c r="E1596" s="2" t="s">
        <v>11742</v>
      </c>
      <c r="F1596" s="2" t="s">
        <v>1474</v>
      </c>
      <c r="G1596" s="2">
        <v>28282.0</v>
      </c>
      <c r="I1596" s="2" t="s">
        <v>11743</v>
      </c>
      <c r="K1596" s="2" t="s">
        <v>11744</v>
      </c>
      <c r="L1596" s="2" t="s">
        <v>1727</v>
      </c>
      <c r="M1596" s="2" t="s">
        <v>1385</v>
      </c>
      <c r="N1596" s="2" t="s">
        <v>1386</v>
      </c>
      <c r="AN1596" s="2" t="s">
        <v>1368</v>
      </c>
    </row>
    <row r="1597" ht="15.75" customHeight="1">
      <c r="A1597" s="2" t="s">
        <v>11745</v>
      </c>
      <c r="B1597" s="2" t="s">
        <v>1361</v>
      </c>
      <c r="C1597" s="2">
        <v>2014.0</v>
      </c>
      <c r="D1597" s="2" t="s">
        <v>11723</v>
      </c>
      <c r="E1597" s="2" t="s">
        <v>11746</v>
      </c>
      <c r="F1597" s="2" t="s">
        <v>3256</v>
      </c>
      <c r="H1597" s="2" t="s">
        <v>11747</v>
      </c>
      <c r="I1597" s="2" t="s">
        <v>11748</v>
      </c>
      <c r="K1597" s="2" t="s">
        <v>11749</v>
      </c>
      <c r="L1597" s="2" t="s">
        <v>1476</v>
      </c>
      <c r="M1597" s="2" t="s">
        <v>1385</v>
      </c>
      <c r="N1597" s="2" t="s">
        <v>1386</v>
      </c>
      <c r="AN1597" s="2" t="s">
        <v>1368</v>
      </c>
    </row>
    <row r="1598" ht="15.75" customHeight="1">
      <c r="A1598" s="2" t="s">
        <v>11750</v>
      </c>
      <c r="B1598" s="2" t="s">
        <v>1781</v>
      </c>
      <c r="C1598" s="2">
        <v>2015.0</v>
      </c>
      <c r="D1598" s="2" t="s">
        <v>11751</v>
      </c>
      <c r="E1598" s="2" t="s">
        <v>11752</v>
      </c>
      <c r="K1598" s="2" t="s">
        <v>11753</v>
      </c>
      <c r="L1598" s="2" t="s">
        <v>1373</v>
      </c>
      <c r="M1598" s="2" t="s">
        <v>1385</v>
      </c>
      <c r="N1598" s="2" t="s">
        <v>1386</v>
      </c>
      <c r="AN1598" s="2" t="s">
        <v>1368</v>
      </c>
    </row>
    <row r="1599" ht="15.75" customHeight="1">
      <c r="A1599" s="2" t="s">
        <v>11754</v>
      </c>
      <c r="B1599" s="2" t="s">
        <v>1361</v>
      </c>
      <c r="C1599" s="2">
        <v>2008.0</v>
      </c>
      <c r="D1599" s="2" t="s">
        <v>11755</v>
      </c>
      <c r="E1599" s="2" t="s">
        <v>11756</v>
      </c>
      <c r="F1599" s="2" t="s">
        <v>1760</v>
      </c>
      <c r="I1599" s="2" t="s">
        <v>11757</v>
      </c>
      <c r="L1599" s="2" t="s">
        <v>1458</v>
      </c>
      <c r="M1599" s="2" t="s">
        <v>11758</v>
      </c>
      <c r="N1599" s="2" t="s">
        <v>11759</v>
      </c>
      <c r="P1599" s="2" t="s">
        <v>11760</v>
      </c>
      <c r="R1599" s="2">
        <v>4.0</v>
      </c>
      <c r="S1599" s="2">
        <v>65.0</v>
      </c>
      <c r="AN1599" s="2" t="s">
        <v>1368</v>
      </c>
    </row>
    <row r="1600" ht="15.75" customHeight="1">
      <c r="A1600" s="2" t="s">
        <v>11761</v>
      </c>
      <c r="B1600" s="2" t="s">
        <v>1361</v>
      </c>
      <c r="C1600" s="2">
        <v>2018.0</v>
      </c>
      <c r="D1600" s="2" t="s">
        <v>11762</v>
      </c>
      <c r="E1600" s="2" t="s">
        <v>11763</v>
      </c>
      <c r="F1600" s="2" t="s">
        <v>2641</v>
      </c>
      <c r="I1600" s="2" t="s">
        <v>11764</v>
      </c>
      <c r="L1600" s="2" t="s">
        <v>1420</v>
      </c>
      <c r="M1600" s="2" t="s">
        <v>11765</v>
      </c>
      <c r="N1600" s="2" t="s">
        <v>11766</v>
      </c>
      <c r="P1600" s="2" t="s">
        <v>11767</v>
      </c>
      <c r="R1600" s="2">
        <v>3.0</v>
      </c>
      <c r="S1600" s="2">
        <v>13.0</v>
      </c>
      <c r="AN1600" s="2" t="s">
        <v>1368</v>
      </c>
    </row>
    <row r="1601" ht="15.75" customHeight="1">
      <c r="A1601" s="2" t="s">
        <v>11768</v>
      </c>
      <c r="B1601" s="2" t="s">
        <v>1361</v>
      </c>
      <c r="C1601" s="2">
        <v>2010.0</v>
      </c>
      <c r="D1601" s="2" t="s">
        <v>11769</v>
      </c>
      <c r="E1601" s="2" t="s">
        <v>11770</v>
      </c>
      <c r="F1601" s="2" t="s">
        <v>11771</v>
      </c>
      <c r="L1601" s="2" t="s">
        <v>1449</v>
      </c>
      <c r="M1601" s="2" t="s">
        <v>11772</v>
      </c>
      <c r="N1601" s="2" t="s">
        <v>11773</v>
      </c>
      <c r="P1601" s="2" t="s">
        <v>11774</v>
      </c>
      <c r="R1601" s="2">
        <v>3.0</v>
      </c>
      <c r="S1601" s="2">
        <v>19.0</v>
      </c>
      <c r="AN1601" s="2" t="s">
        <v>1368</v>
      </c>
    </row>
    <row r="1602" ht="15.75" customHeight="1">
      <c r="A1602" s="2" t="s">
        <v>11775</v>
      </c>
      <c r="B1602" s="2" t="s">
        <v>1361</v>
      </c>
      <c r="C1602" s="2">
        <v>2013.0</v>
      </c>
      <c r="D1602" s="2" t="s">
        <v>11776</v>
      </c>
      <c r="E1602" s="2" t="s">
        <v>11777</v>
      </c>
      <c r="F1602" s="2" t="s">
        <v>11778</v>
      </c>
      <c r="I1602" s="2" t="s">
        <v>11779</v>
      </c>
      <c r="L1602" s="2" t="s">
        <v>1429</v>
      </c>
      <c r="M1602" s="2" t="s">
        <v>10642</v>
      </c>
      <c r="N1602" s="2" t="s">
        <v>10643</v>
      </c>
      <c r="P1602" s="2" t="s">
        <v>11780</v>
      </c>
      <c r="S1602" s="2">
        <v>85.0</v>
      </c>
      <c r="AN1602" s="2" t="s">
        <v>1368</v>
      </c>
    </row>
    <row r="1603" ht="15.75" customHeight="1">
      <c r="A1603" s="2" t="s">
        <v>11781</v>
      </c>
      <c r="B1603" s="2" t="s">
        <v>1361</v>
      </c>
      <c r="C1603" s="2">
        <v>2012.0</v>
      </c>
      <c r="D1603" s="2" t="s">
        <v>11782</v>
      </c>
      <c r="E1603" s="2" t="s">
        <v>11783</v>
      </c>
      <c r="F1603" s="2" t="s">
        <v>5837</v>
      </c>
      <c r="I1603" s="2" t="s">
        <v>11784</v>
      </c>
      <c r="L1603" s="2" t="s">
        <v>1405</v>
      </c>
      <c r="M1603" s="2" t="s">
        <v>11785</v>
      </c>
      <c r="N1603" s="2" t="s">
        <v>11786</v>
      </c>
      <c r="P1603" s="2" t="s">
        <v>11787</v>
      </c>
      <c r="R1603" s="2">
        <v>3.0</v>
      </c>
      <c r="S1603" s="2">
        <v>74.0</v>
      </c>
      <c r="AN1603" s="2" t="s">
        <v>1368</v>
      </c>
    </row>
    <row r="1604" ht="15.75" customHeight="1">
      <c r="A1604" s="2" t="s">
        <v>11788</v>
      </c>
      <c r="B1604" s="2" t="s">
        <v>1361</v>
      </c>
      <c r="C1604" s="2">
        <v>1978.0</v>
      </c>
      <c r="D1604" s="2" t="s">
        <v>11789</v>
      </c>
      <c r="E1604" s="2" t="s">
        <v>11790</v>
      </c>
      <c r="F1604" s="2" t="s">
        <v>11791</v>
      </c>
      <c r="I1604" s="2" t="s">
        <v>11792</v>
      </c>
      <c r="L1604" s="2" t="s">
        <v>5472</v>
      </c>
      <c r="M1604" s="2" t="s">
        <v>11793</v>
      </c>
      <c r="N1604" s="2" t="s">
        <v>11794</v>
      </c>
      <c r="P1604" s="2" t="s">
        <v>11795</v>
      </c>
      <c r="R1604" s="2">
        <v>4.0</v>
      </c>
      <c r="S1604" s="2">
        <v>9.0</v>
      </c>
      <c r="AN1604" s="2" t="s">
        <v>1368</v>
      </c>
    </row>
    <row r="1605" ht="15.75" customHeight="1">
      <c r="A1605" s="2" t="s">
        <v>11796</v>
      </c>
      <c r="B1605" s="2" t="s">
        <v>1361</v>
      </c>
      <c r="C1605" s="2">
        <v>2014.0</v>
      </c>
      <c r="D1605" s="2" t="s">
        <v>11797</v>
      </c>
      <c r="E1605" s="2" t="s">
        <v>11798</v>
      </c>
      <c r="F1605" s="2" t="s">
        <v>3295</v>
      </c>
      <c r="I1605" s="2" t="s">
        <v>11799</v>
      </c>
      <c r="L1605" s="2" t="s">
        <v>1476</v>
      </c>
      <c r="M1605" s="2" t="s">
        <v>11800</v>
      </c>
      <c r="N1605" s="2" t="s">
        <v>11801</v>
      </c>
      <c r="P1605" s="2" t="s">
        <v>11802</v>
      </c>
      <c r="R1605" s="2">
        <v>3.0</v>
      </c>
      <c r="S1605" s="2">
        <v>7.0</v>
      </c>
      <c r="AN1605" s="2" t="s">
        <v>1368</v>
      </c>
    </row>
    <row r="1606" ht="15.75" customHeight="1">
      <c r="A1606" s="2" t="s">
        <v>11803</v>
      </c>
      <c r="B1606" s="2" t="s">
        <v>1361</v>
      </c>
      <c r="C1606" s="2">
        <v>2005.0</v>
      </c>
      <c r="D1606" s="2" t="s">
        <v>11804</v>
      </c>
      <c r="E1606" s="2" t="s">
        <v>11805</v>
      </c>
      <c r="F1606" s="2" t="s">
        <v>11806</v>
      </c>
      <c r="L1606" s="2" t="s">
        <v>1394</v>
      </c>
      <c r="M1606" s="2" t="s">
        <v>11807</v>
      </c>
      <c r="N1606" s="2" t="s">
        <v>11808</v>
      </c>
      <c r="P1606" s="2" t="s">
        <v>11809</v>
      </c>
      <c r="AN1606" s="2" t="s">
        <v>1368</v>
      </c>
    </row>
    <row r="1607" ht="15.75" customHeight="1">
      <c r="A1607" s="2" t="s">
        <v>11810</v>
      </c>
      <c r="B1607" s="2" t="s">
        <v>1361</v>
      </c>
      <c r="C1607" s="2">
        <v>2009.0</v>
      </c>
      <c r="D1607" s="2" t="s">
        <v>11811</v>
      </c>
      <c r="E1607" s="2" t="s">
        <v>11812</v>
      </c>
      <c r="F1607" s="2" t="s">
        <v>11813</v>
      </c>
      <c r="H1607" s="2" t="s">
        <v>11814</v>
      </c>
      <c r="K1607" s="2" t="s">
        <v>11815</v>
      </c>
      <c r="L1607" s="2" t="s">
        <v>1364</v>
      </c>
      <c r="M1607" s="2" t="s">
        <v>11816</v>
      </c>
      <c r="N1607" s="2" t="s">
        <v>11817</v>
      </c>
      <c r="AN1607" s="2" t="s">
        <v>1368</v>
      </c>
    </row>
    <row r="1608" ht="15.75" customHeight="1">
      <c r="A1608" s="2" t="s">
        <v>11818</v>
      </c>
      <c r="B1608" s="2" t="s">
        <v>1361</v>
      </c>
      <c r="C1608" s="2">
        <v>2013.0</v>
      </c>
      <c r="D1608" s="2" t="s">
        <v>11819</v>
      </c>
      <c r="E1608" s="2" t="s">
        <v>11820</v>
      </c>
      <c r="F1608" s="2" t="s">
        <v>4205</v>
      </c>
      <c r="I1608" s="2" t="s">
        <v>11821</v>
      </c>
      <c r="L1608" s="2" t="s">
        <v>1429</v>
      </c>
      <c r="M1608" s="2" t="s">
        <v>11822</v>
      </c>
      <c r="N1608" s="2" t="s">
        <v>11823</v>
      </c>
      <c r="P1608" s="2" t="s">
        <v>11824</v>
      </c>
      <c r="S1608" s="2">
        <v>125.0</v>
      </c>
      <c r="AN1608" s="2" t="s">
        <v>1368</v>
      </c>
    </row>
    <row r="1609" ht="15.75" customHeight="1">
      <c r="A1609" s="2" t="s">
        <v>11825</v>
      </c>
      <c r="B1609" s="2" t="s">
        <v>1361</v>
      </c>
      <c r="C1609" s="2">
        <v>1999.0</v>
      </c>
      <c r="D1609" s="2" t="s">
        <v>11826</v>
      </c>
      <c r="E1609" s="2" t="s">
        <v>11827</v>
      </c>
      <c r="F1609" s="2" t="s">
        <v>2665</v>
      </c>
      <c r="I1609" s="2" t="s">
        <v>11828</v>
      </c>
      <c r="L1609" s="2" t="s">
        <v>1434</v>
      </c>
      <c r="M1609" s="2" t="s">
        <v>11829</v>
      </c>
      <c r="N1609" s="2" t="s">
        <v>11830</v>
      </c>
      <c r="P1609" s="2" t="s">
        <v>11831</v>
      </c>
      <c r="R1609" s="2">
        <v>2.0</v>
      </c>
      <c r="S1609" s="2">
        <v>27.0</v>
      </c>
      <c r="AN1609" s="2" t="s">
        <v>1368</v>
      </c>
    </row>
    <row r="1610" ht="15.75" customHeight="1">
      <c r="A1610" s="2" t="s">
        <v>11832</v>
      </c>
      <c r="B1610" s="2" t="s">
        <v>1361</v>
      </c>
      <c r="C1610" s="2">
        <v>2013.0</v>
      </c>
      <c r="D1610" s="2" t="s">
        <v>11833</v>
      </c>
      <c r="E1610" s="2" t="s">
        <v>11834</v>
      </c>
      <c r="F1610" s="2" t="s">
        <v>11835</v>
      </c>
      <c r="I1610" s="2" t="s">
        <v>11836</v>
      </c>
      <c r="L1610" s="2" t="s">
        <v>1429</v>
      </c>
      <c r="M1610" s="2" t="s">
        <v>11837</v>
      </c>
      <c r="N1610" s="2" t="s">
        <v>11838</v>
      </c>
      <c r="P1610" s="2" t="s">
        <v>11839</v>
      </c>
      <c r="R1610" s="2">
        <v>5.0</v>
      </c>
      <c r="S1610" s="2">
        <v>41.0</v>
      </c>
      <c r="AN1610" s="2" t="s">
        <v>1368</v>
      </c>
    </row>
    <row r="1611" ht="15.75" customHeight="1">
      <c r="A1611" s="2" t="s">
        <v>11840</v>
      </c>
      <c r="B1611" s="2" t="s">
        <v>1361</v>
      </c>
      <c r="C1611" s="2">
        <v>1957.0</v>
      </c>
      <c r="D1611" s="2" t="s">
        <v>11841</v>
      </c>
      <c r="E1611" s="2" t="s">
        <v>11842</v>
      </c>
      <c r="F1611" s="2" t="s">
        <v>2003</v>
      </c>
      <c r="I1611" s="2" t="s">
        <v>11843</v>
      </c>
      <c r="L1611" s="2" t="s">
        <v>11844</v>
      </c>
      <c r="M1611" s="2" t="s">
        <v>11845</v>
      </c>
      <c r="N1611" s="2" t="s">
        <v>11846</v>
      </c>
      <c r="P1611" s="2" t="s">
        <v>11847</v>
      </c>
      <c r="R1611" s="2">
        <v>2.0</v>
      </c>
      <c r="S1611" s="2">
        <v>65.0</v>
      </c>
      <c r="AN1611" s="2" t="s">
        <v>1368</v>
      </c>
    </row>
    <row r="1612" ht="15.75" customHeight="1">
      <c r="A1612" s="2" t="s">
        <v>11848</v>
      </c>
      <c r="B1612" s="2" t="s">
        <v>1361</v>
      </c>
      <c r="C1612" s="2">
        <v>2016.0</v>
      </c>
      <c r="D1612" s="2" t="s">
        <v>11849</v>
      </c>
      <c r="E1612" s="2" t="s">
        <v>207</v>
      </c>
      <c r="F1612" s="2" t="s">
        <v>2150</v>
      </c>
      <c r="I1612" s="2" t="s">
        <v>209</v>
      </c>
      <c r="L1612" s="2" t="s">
        <v>1502</v>
      </c>
      <c r="M1612" s="2" t="s">
        <v>11850</v>
      </c>
      <c r="N1612" s="2" t="s">
        <v>11851</v>
      </c>
      <c r="P1612" s="2" t="s">
        <v>11852</v>
      </c>
      <c r="S1612" s="2">
        <v>7.0</v>
      </c>
      <c r="AN1612" s="2" t="s">
        <v>1368</v>
      </c>
    </row>
    <row r="1613" ht="15.75" customHeight="1">
      <c r="A1613" s="2" t="s">
        <v>11853</v>
      </c>
      <c r="B1613" s="2" t="s">
        <v>2615</v>
      </c>
      <c r="C1613" s="2">
        <v>2006.0</v>
      </c>
      <c r="D1613" s="2" t="s">
        <v>11854</v>
      </c>
      <c r="E1613" s="2" t="s">
        <v>11855</v>
      </c>
      <c r="F1613" s="2" t="s">
        <v>11856</v>
      </c>
      <c r="L1613" s="2" t="s">
        <v>1727</v>
      </c>
      <c r="M1613" s="2" t="s">
        <v>11857</v>
      </c>
      <c r="N1613" s="2" t="s">
        <v>11858</v>
      </c>
      <c r="AN1613" s="2" t="s">
        <v>1368</v>
      </c>
    </row>
    <row r="1614" ht="15.75" customHeight="1">
      <c r="A1614" s="2" t="s">
        <v>11859</v>
      </c>
      <c r="B1614" s="2" t="s">
        <v>1361</v>
      </c>
      <c r="C1614" s="2">
        <v>2006.0</v>
      </c>
      <c r="D1614" s="2" t="s">
        <v>11860</v>
      </c>
      <c r="E1614" s="2" t="s">
        <v>11861</v>
      </c>
      <c r="F1614" s="2" t="s">
        <v>5806</v>
      </c>
      <c r="I1614" s="2" t="s">
        <v>11862</v>
      </c>
      <c r="L1614" s="2" t="s">
        <v>1727</v>
      </c>
      <c r="M1614" s="2" t="s">
        <v>11863</v>
      </c>
      <c r="N1614" s="2" t="s">
        <v>11864</v>
      </c>
      <c r="P1614" s="2" t="s">
        <v>11865</v>
      </c>
      <c r="R1614" s="2">
        <v>5.0</v>
      </c>
      <c r="S1614" s="2">
        <v>15.0</v>
      </c>
      <c r="AN1614" s="2" t="s">
        <v>1368</v>
      </c>
    </row>
    <row r="1615" ht="15.75" customHeight="1">
      <c r="A1615" s="2" t="s">
        <v>11866</v>
      </c>
      <c r="B1615" s="2" t="s">
        <v>1623</v>
      </c>
      <c r="C1615" s="2">
        <v>2009.0</v>
      </c>
      <c r="D1615" s="2" t="s">
        <v>11867</v>
      </c>
      <c r="E1615" s="2" t="s">
        <v>11868</v>
      </c>
      <c r="J1615" s="2" t="s">
        <v>11869</v>
      </c>
      <c r="L1615" s="2" t="s">
        <v>1364</v>
      </c>
      <c r="M1615" s="2" t="s">
        <v>11870</v>
      </c>
      <c r="N1615" s="2" t="s">
        <v>11871</v>
      </c>
      <c r="P1615" s="2" t="s">
        <v>11872</v>
      </c>
      <c r="AA1615" s="2" t="s">
        <v>11873</v>
      </c>
      <c r="AC1615" s="2" t="s">
        <v>1540</v>
      </c>
      <c r="AN1615" s="2" t="s">
        <v>11874</v>
      </c>
    </row>
    <row r="1616" ht="15.75" customHeight="1">
      <c r="A1616" s="2" t="s">
        <v>11875</v>
      </c>
      <c r="B1616" s="2" t="s">
        <v>1361</v>
      </c>
      <c r="C1616" s="2">
        <v>2009.0</v>
      </c>
      <c r="D1616" s="2" t="s">
        <v>11876</v>
      </c>
      <c r="E1616" s="2" t="s">
        <v>11877</v>
      </c>
      <c r="F1616" s="2" t="s">
        <v>4205</v>
      </c>
      <c r="H1616" s="2" t="s">
        <v>4206</v>
      </c>
      <c r="I1616" s="2" t="s">
        <v>11878</v>
      </c>
      <c r="J1616" s="2" t="s">
        <v>11879</v>
      </c>
      <c r="L1616" s="2" t="s">
        <v>9775</v>
      </c>
      <c r="M1616" s="2" t="s">
        <v>11880</v>
      </c>
      <c r="N1616" s="2" t="s">
        <v>11881</v>
      </c>
      <c r="O1616" s="2" t="s">
        <v>11882</v>
      </c>
      <c r="P1616" s="2" t="s">
        <v>11883</v>
      </c>
      <c r="R1616" s="2">
        <v>2.0</v>
      </c>
      <c r="S1616" s="2">
        <v>90.0</v>
      </c>
      <c r="U1616" s="2" t="s">
        <v>4205</v>
      </c>
      <c r="V1616" s="2" t="s">
        <v>11884</v>
      </c>
      <c r="AC1616" s="2" t="s">
        <v>1540</v>
      </c>
      <c r="AH1616" s="2" t="s">
        <v>1541</v>
      </c>
      <c r="AN1616" s="2" t="s">
        <v>1872</v>
      </c>
    </row>
    <row r="1617" ht="15.75" customHeight="1">
      <c r="A1617" s="2" t="s">
        <v>11885</v>
      </c>
      <c r="B1617" s="2" t="s">
        <v>1361</v>
      </c>
      <c r="C1617" s="2">
        <v>2014.0</v>
      </c>
      <c r="D1617" s="2" t="s">
        <v>11886</v>
      </c>
      <c r="E1617" s="2" t="s">
        <v>11887</v>
      </c>
      <c r="F1617" s="2" t="s">
        <v>6641</v>
      </c>
      <c r="H1617" s="2" t="s">
        <v>7825</v>
      </c>
      <c r="I1617" s="2" t="s">
        <v>11888</v>
      </c>
      <c r="J1617" s="2" t="s">
        <v>11889</v>
      </c>
      <c r="L1617" s="2" t="s">
        <v>10788</v>
      </c>
      <c r="M1617" s="2" t="s">
        <v>11890</v>
      </c>
      <c r="N1617" s="2" t="s">
        <v>11891</v>
      </c>
      <c r="O1617" s="2" t="s">
        <v>11892</v>
      </c>
      <c r="P1617" s="2" t="s">
        <v>11893</v>
      </c>
      <c r="R1617" s="2">
        <v>4.0</v>
      </c>
      <c r="S1617" s="2">
        <v>51.0</v>
      </c>
      <c r="U1617" s="2" t="s">
        <v>11894</v>
      </c>
      <c r="AC1617" s="2" t="s">
        <v>1540</v>
      </c>
      <c r="AH1617" s="2" t="s">
        <v>1541</v>
      </c>
      <c r="AN1617" s="2" t="s">
        <v>1885</v>
      </c>
      <c r="AP1617" s="2" t="s">
        <v>11895</v>
      </c>
    </row>
    <row r="1618" ht="15.75" customHeight="1">
      <c r="A1618" s="2" t="s">
        <v>11896</v>
      </c>
      <c r="B1618" s="2" t="s">
        <v>1361</v>
      </c>
      <c r="C1618" s="2">
        <v>2016.0</v>
      </c>
      <c r="D1618" s="2" t="s">
        <v>11897</v>
      </c>
      <c r="E1618" s="2" t="s">
        <v>247</v>
      </c>
      <c r="F1618" s="2" t="s">
        <v>1484</v>
      </c>
      <c r="H1618" s="2" t="s">
        <v>3119</v>
      </c>
      <c r="I1618" s="2" t="s">
        <v>250</v>
      </c>
      <c r="J1618" s="2" t="s">
        <v>11898</v>
      </c>
      <c r="L1618" s="2" t="s">
        <v>11899</v>
      </c>
      <c r="M1618" s="2" t="s">
        <v>11900</v>
      </c>
      <c r="N1618" s="2" t="s">
        <v>11901</v>
      </c>
      <c r="O1618" s="2" t="s">
        <v>2210</v>
      </c>
      <c r="P1618" s="2" t="s">
        <v>11902</v>
      </c>
      <c r="S1618" s="2">
        <v>193.0</v>
      </c>
      <c r="U1618" s="2" t="s">
        <v>1484</v>
      </c>
      <c r="V1618" s="2" t="s">
        <v>11903</v>
      </c>
      <c r="AC1618" s="2" t="s">
        <v>1540</v>
      </c>
      <c r="AH1618" s="2" t="s">
        <v>1541</v>
      </c>
      <c r="AN1618" s="2" t="s">
        <v>1542</v>
      </c>
    </row>
    <row r="1619" ht="15.75" customHeight="1">
      <c r="A1619" s="2" t="s">
        <v>11904</v>
      </c>
      <c r="B1619" s="2" t="s">
        <v>1361</v>
      </c>
      <c r="C1619" s="2">
        <v>2003.0</v>
      </c>
      <c r="D1619" s="2" t="s">
        <v>11905</v>
      </c>
      <c r="E1619" s="2" t="s">
        <v>11906</v>
      </c>
      <c r="F1619" s="2" t="s">
        <v>1510</v>
      </c>
      <c r="H1619" s="2" t="s">
        <v>1546</v>
      </c>
      <c r="I1619" s="2" t="s">
        <v>11907</v>
      </c>
      <c r="J1619" s="2" t="s">
        <v>11908</v>
      </c>
      <c r="K1619" s="2" t="s">
        <v>11909</v>
      </c>
      <c r="L1619" s="2" t="s">
        <v>11910</v>
      </c>
      <c r="M1619" s="2" t="s">
        <v>11911</v>
      </c>
      <c r="N1619" s="2" t="s">
        <v>11912</v>
      </c>
      <c r="O1619" s="2" t="s">
        <v>11913</v>
      </c>
      <c r="P1619" s="2" t="s">
        <v>11914</v>
      </c>
      <c r="R1619" s="2">
        <v>5652.0</v>
      </c>
      <c r="S1619" s="2">
        <v>302.0</v>
      </c>
      <c r="U1619" s="2" t="s">
        <v>1510</v>
      </c>
      <c r="AC1619" s="2" t="s">
        <v>1540</v>
      </c>
      <c r="AH1619" s="2" t="s">
        <v>1541</v>
      </c>
      <c r="AN1619" s="2" t="s">
        <v>1872</v>
      </c>
    </row>
    <row r="1620" ht="15.75" customHeight="1">
      <c r="A1620" s="2" t="s">
        <v>11915</v>
      </c>
      <c r="B1620" s="2" t="s">
        <v>1361</v>
      </c>
      <c r="C1620" s="2">
        <v>2009.0</v>
      </c>
      <c r="D1620" s="2" t="s">
        <v>11916</v>
      </c>
      <c r="E1620" s="2" t="s">
        <v>11917</v>
      </c>
      <c r="F1620" s="2" t="s">
        <v>1980</v>
      </c>
      <c r="H1620" s="2" t="s">
        <v>7716</v>
      </c>
      <c r="I1620" s="2" t="s">
        <v>11918</v>
      </c>
      <c r="J1620" s="2" t="s">
        <v>11919</v>
      </c>
      <c r="L1620" s="2" t="s">
        <v>2290</v>
      </c>
      <c r="M1620" s="2" t="s">
        <v>11920</v>
      </c>
      <c r="N1620" s="2" t="s">
        <v>11921</v>
      </c>
      <c r="O1620" s="2" t="s">
        <v>11922</v>
      </c>
      <c r="P1620" s="2" t="s">
        <v>11923</v>
      </c>
      <c r="R1620" s="2">
        <v>3.0</v>
      </c>
      <c r="S1620" s="2">
        <v>40.0</v>
      </c>
      <c r="U1620" s="2" t="s">
        <v>1980</v>
      </c>
      <c r="V1620" s="2" t="s">
        <v>11924</v>
      </c>
      <c r="AC1620" s="2" t="s">
        <v>1540</v>
      </c>
      <c r="AH1620" s="2" t="s">
        <v>1541</v>
      </c>
      <c r="AN1620" s="2" t="s">
        <v>1872</v>
      </c>
    </row>
    <row r="1621" ht="15.75" customHeight="1">
      <c r="A1621" s="2" t="s">
        <v>11925</v>
      </c>
      <c r="B1621" s="2" t="s">
        <v>1361</v>
      </c>
      <c r="C1621" s="2">
        <v>2015.0</v>
      </c>
      <c r="D1621" s="2" t="s">
        <v>11926</v>
      </c>
      <c r="E1621" s="2" t="s">
        <v>11927</v>
      </c>
      <c r="F1621" s="2" t="s">
        <v>5970</v>
      </c>
      <c r="H1621" s="2" t="s">
        <v>3742</v>
      </c>
      <c r="I1621" s="2" t="s">
        <v>11928</v>
      </c>
      <c r="J1621" s="2" t="s">
        <v>11929</v>
      </c>
      <c r="L1621" s="2" t="s">
        <v>5974</v>
      </c>
      <c r="M1621" s="2" t="s">
        <v>1562</v>
      </c>
      <c r="N1621" s="2" t="s">
        <v>1563</v>
      </c>
      <c r="P1621" s="2" t="s">
        <v>11930</v>
      </c>
      <c r="R1621" s="2">
        <v>1.0</v>
      </c>
      <c r="S1621" s="2">
        <v>13.0</v>
      </c>
      <c r="AN1621" s="2" t="s">
        <v>2188</v>
      </c>
    </row>
    <row r="1622" ht="15.75" customHeight="1">
      <c r="A1622" s="2" t="s">
        <v>11931</v>
      </c>
      <c r="B1622" s="2" t="s">
        <v>1361</v>
      </c>
      <c r="C1622" s="2">
        <v>2018.0</v>
      </c>
      <c r="D1622" s="2" t="s">
        <v>11932</v>
      </c>
      <c r="E1622" s="2" t="s">
        <v>11933</v>
      </c>
      <c r="F1622" s="2" t="s">
        <v>1760</v>
      </c>
      <c r="H1622" s="2" t="s">
        <v>1761</v>
      </c>
      <c r="I1622" s="2" t="s">
        <v>11934</v>
      </c>
      <c r="J1622" s="2" t="s">
        <v>11935</v>
      </c>
      <c r="L1622" s="2" t="s">
        <v>2909</v>
      </c>
      <c r="M1622" s="2" t="s">
        <v>1385</v>
      </c>
      <c r="N1622" s="2" t="s">
        <v>1386</v>
      </c>
      <c r="O1622" s="2" t="s">
        <v>11936</v>
      </c>
      <c r="P1622" s="2" t="s">
        <v>9879</v>
      </c>
      <c r="S1622" s="2">
        <v>149.0</v>
      </c>
      <c r="U1622" s="2" t="s">
        <v>1760</v>
      </c>
      <c r="AC1622" s="2" t="s">
        <v>1540</v>
      </c>
      <c r="AH1622" s="2" t="s">
        <v>1541</v>
      </c>
      <c r="AN1622" s="2" t="s">
        <v>1885</v>
      </c>
    </row>
    <row r="1623" ht="15.75" customHeight="1">
      <c r="A1623" s="2" t="s">
        <v>11937</v>
      </c>
      <c r="B1623" s="2" t="s">
        <v>1623</v>
      </c>
      <c r="C1623" s="2">
        <v>2013.0</v>
      </c>
      <c r="D1623" s="2" t="s">
        <v>11938</v>
      </c>
      <c r="E1623" s="2" t="s">
        <v>11939</v>
      </c>
      <c r="L1623" s="2" t="s">
        <v>1429</v>
      </c>
      <c r="M1623" s="2" t="s">
        <v>1385</v>
      </c>
      <c r="N1623" s="2" t="s">
        <v>1386</v>
      </c>
      <c r="AA1623" s="2" t="s">
        <v>11938</v>
      </c>
      <c r="AB1623" s="2" t="s">
        <v>11940</v>
      </c>
      <c r="AN1623" s="2" t="s">
        <v>1368</v>
      </c>
    </row>
    <row r="1624" ht="15.75" customHeight="1">
      <c r="A1624" s="2" t="s">
        <v>11941</v>
      </c>
      <c r="B1624" s="2" t="s">
        <v>1396</v>
      </c>
      <c r="C1624" s="2">
        <v>2014.0</v>
      </c>
      <c r="D1624" s="2" t="s">
        <v>11942</v>
      </c>
      <c r="E1624" s="2" t="s">
        <v>11943</v>
      </c>
      <c r="G1624" s="2" t="s">
        <v>11944</v>
      </c>
      <c r="K1624" s="2" t="s">
        <v>11945</v>
      </c>
      <c r="L1624" s="2" t="s">
        <v>1476</v>
      </c>
      <c r="M1624" s="2" t="s">
        <v>1385</v>
      </c>
      <c r="N1624" s="2" t="s">
        <v>1386</v>
      </c>
      <c r="Q1624" s="2">
        <v>4.0</v>
      </c>
      <c r="AA1624" s="2" t="s">
        <v>11946</v>
      </c>
      <c r="AB1624" s="2" t="s">
        <v>11947</v>
      </c>
      <c r="AN1624" s="2" t="s">
        <v>1368</v>
      </c>
    </row>
    <row r="1625" ht="15.75" customHeight="1">
      <c r="A1625" s="2" t="s">
        <v>11948</v>
      </c>
      <c r="B1625" s="2" t="s">
        <v>1623</v>
      </c>
      <c r="C1625" s="2">
        <v>2014.0</v>
      </c>
      <c r="D1625" s="2" t="s">
        <v>11949</v>
      </c>
      <c r="E1625" s="2" t="s">
        <v>11950</v>
      </c>
      <c r="J1625" s="2" t="s">
        <v>11951</v>
      </c>
      <c r="L1625" s="2" t="s">
        <v>1476</v>
      </c>
      <c r="M1625" s="2" t="s">
        <v>1385</v>
      </c>
      <c r="N1625" s="2" t="s">
        <v>1386</v>
      </c>
      <c r="AA1625" s="2" t="s">
        <v>11952</v>
      </c>
      <c r="AB1625" s="2" t="s">
        <v>11947</v>
      </c>
      <c r="AN1625" s="2" t="s">
        <v>1368</v>
      </c>
    </row>
    <row r="1626" ht="15.75" customHeight="1">
      <c r="A1626" s="2" t="s">
        <v>11953</v>
      </c>
      <c r="B1626" s="2" t="s">
        <v>1361</v>
      </c>
      <c r="C1626" s="2">
        <v>2001.0</v>
      </c>
      <c r="D1626" s="2" t="s">
        <v>11954</v>
      </c>
      <c r="E1626" s="2" t="s">
        <v>11955</v>
      </c>
      <c r="F1626" s="2" t="s">
        <v>2036</v>
      </c>
      <c r="H1626" s="2" t="s">
        <v>2585</v>
      </c>
      <c r="I1626" s="2" t="s">
        <v>11956</v>
      </c>
      <c r="K1626" s="2" t="s">
        <v>11957</v>
      </c>
      <c r="L1626" s="2" t="s">
        <v>1414</v>
      </c>
      <c r="M1626" s="2" t="s">
        <v>1385</v>
      </c>
      <c r="N1626" s="2" t="s">
        <v>1386</v>
      </c>
      <c r="P1626" s="2" t="s">
        <v>11958</v>
      </c>
      <c r="R1626" s="2">
        <v>3.0</v>
      </c>
      <c r="S1626" s="2">
        <v>51.0</v>
      </c>
      <c r="AN1626" s="2" t="s">
        <v>1368</v>
      </c>
    </row>
    <row r="1627" ht="15.75" customHeight="1">
      <c r="A1627" s="2" t="s">
        <v>11959</v>
      </c>
      <c r="B1627" s="2" t="s">
        <v>1361</v>
      </c>
      <c r="C1627" s="2">
        <v>2010.0</v>
      </c>
      <c r="D1627" s="2" t="s">
        <v>11960</v>
      </c>
      <c r="E1627" s="2" t="s">
        <v>11961</v>
      </c>
      <c r="F1627" s="2" t="s">
        <v>11962</v>
      </c>
      <c r="H1627" s="2" t="s">
        <v>11963</v>
      </c>
      <c r="I1627" s="2" t="s">
        <v>11964</v>
      </c>
      <c r="J1627" s="2" t="s">
        <v>11965</v>
      </c>
      <c r="K1627" s="2" t="s">
        <v>11966</v>
      </c>
      <c r="L1627" s="2" t="s">
        <v>11967</v>
      </c>
      <c r="M1627" s="2" t="s">
        <v>1385</v>
      </c>
      <c r="N1627" s="2" t="s">
        <v>1386</v>
      </c>
      <c r="O1627" s="2" t="s">
        <v>6796</v>
      </c>
      <c r="P1627" s="2" t="s">
        <v>11968</v>
      </c>
      <c r="R1627" s="2">
        <v>4.0</v>
      </c>
      <c r="S1627" s="2">
        <v>23.0</v>
      </c>
      <c r="U1627" s="2" t="s">
        <v>11962</v>
      </c>
      <c r="AN1627" s="2" t="s">
        <v>1368</v>
      </c>
    </row>
    <row r="1628" ht="15.75" customHeight="1">
      <c r="A1628" s="2" t="s">
        <v>11969</v>
      </c>
      <c r="B1628" s="2" t="s">
        <v>1396</v>
      </c>
      <c r="C1628" s="2">
        <v>2007.0</v>
      </c>
      <c r="D1628" s="2" t="s">
        <v>11970</v>
      </c>
      <c r="E1628" s="2" t="s">
        <v>11971</v>
      </c>
      <c r="G1628" s="2" t="s">
        <v>11972</v>
      </c>
      <c r="K1628" s="2" t="s">
        <v>11973</v>
      </c>
      <c r="L1628" s="2" t="s">
        <v>2380</v>
      </c>
      <c r="M1628" s="2" t="s">
        <v>1385</v>
      </c>
      <c r="N1628" s="2" t="s">
        <v>1386</v>
      </c>
      <c r="AA1628" s="2" t="s">
        <v>11974</v>
      </c>
      <c r="AB1628" s="2" t="s">
        <v>11975</v>
      </c>
      <c r="AN1628" s="2" t="s">
        <v>1368</v>
      </c>
    </row>
    <row r="1629" ht="15.75" customHeight="1">
      <c r="A1629" s="2" t="s">
        <v>11976</v>
      </c>
      <c r="B1629" s="2" t="s">
        <v>1396</v>
      </c>
      <c r="C1629" s="2">
        <v>2008.0</v>
      </c>
      <c r="D1629" s="2" t="s">
        <v>11977</v>
      </c>
      <c r="E1629" s="2" t="s">
        <v>11978</v>
      </c>
      <c r="G1629" s="2" t="s">
        <v>11979</v>
      </c>
      <c r="K1629" s="2" t="s">
        <v>11980</v>
      </c>
      <c r="L1629" s="2" t="s">
        <v>1458</v>
      </c>
      <c r="M1629" s="2" t="s">
        <v>1385</v>
      </c>
      <c r="N1629" s="2" t="s">
        <v>1386</v>
      </c>
      <c r="Q1629" s="2">
        <v>86.0</v>
      </c>
      <c r="S1629" s="2">
        <v>46.0</v>
      </c>
      <c r="X1629" s="2">
        <v>2.0</v>
      </c>
      <c r="AA1629" s="2" t="s">
        <v>11451</v>
      </c>
      <c r="AB1629" s="2" t="s">
        <v>5502</v>
      </c>
      <c r="AN1629" s="2" t="s">
        <v>1368</v>
      </c>
    </row>
    <row r="1630" ht="15.75" customHeight="1">
      <c r="A1630" s="2" t="s">
        <v>11981</v>
      </c>
      <c r="B1630" s="2" t="s">
        <v>1766</v>
      </c>
      <c r="C1630" s="2">
        <v>2017.0</v>
      </c>
      <c r="D1630" s="2" t="s">
        <v>11982</v>
      </c>
      <c r="E1630" s="2" t="s">
        <v>11983</v>
      </c>
      <c r="F1630" s="2" t="s">
        <v>11984</v>
      </c>
      <c r="G1630" s="2" t="s">
        <v>11985</v>
      </c>
      <c r="L1630" s="2" t="s">
        <v>1658</v>
      </c>
      <c r="M1630" s="2" t="s">
        <v>1385</v>
      </c>
      <c r="N1630" s="2" t="s">
        <v>1386</v>
      </c>
      <c r="P1630" s="2" t="s">
        <v>11986</v>
      </c>
      <c r="AN1630" s="2" t="s">
        <v>1368</v>
      </c>
      <c r="AP1630" s="2" t="s">
        <v>11987</v>
      </c>
    </row>
    <row r="1631" ht="15.75" customHeight="1">
      <c r="A1631" s="2" t="s">
        <v>11988</v>
      </c>
      <c r="B1631" s="2" t="s">
        <v>1781</v>
      </c>
      <c r="C1631" s="2">
        <v>1999.0</v>
      </c>
      <c r="D1631" s="2" t="s">
        <v>11989</v>
      </c>
      <c r="E1631" s="2" t="s">
        <v>11990</v>
      </c>
      <c r="L1631" s="2" t="s">
        <v>1434</v>
      </c>
      <c r="M1631" s="2" t="s">
        <v>1385</v>
      </c>
      <c r="N1631" s="2" t="s">
        <v>1386</v>
      </c>
      <c r="AN1631" s="2" t="s">
        <v>1368</v>
      </c>
    </row>
    <row r="1632" ht="15.75" customHeight="1">
      <c r="A1632" s="2" t="s">
        <v>11991</v>
      </c>
      <c r="B1632" s="2" t="s">
        <v>1361</v>
      </c>
      <c r="C1632" s="2">
        <v>2010.0</v>
      </c>
      <c r="D1632" s="2" t="s">
        <v>11992</v>
      </c>
      <c r="E1632" s="2" t="s">
        <v>11993</v>
      </c>
      <c r="F1632" s="2" t="s">
        <v>3295</v>
      </c>
      <c r="H1632" s="2" t="s">
        <v>5101</v>
      </c>
      <c r="I1632" s="2" t="s">
        <v>11994</v>
      </c>
      <c r="K1632" s="2" t="s">
        <v>11995</v>
      </c>
      <c r="L1632" s="2" t="s">
        <v>1449</v>
      </c>
      <c r="M1632" s="2" t="s">
        <v>1385</v>
      </c>
      <c r="N1632" s="2" t="s">
        <v>1386</v>
      </c>
      <c r="P1632" s="2" t="s">
        <v>11996</v>
      </c>
      <c r="R1632" s="2">
        <v>4.0</v>
      </c>
      <c r="S1632" s="2">
        <v>3.0</v>
      </c>
      <c r="AN1632" s="2" t="s">
        <v>1368</v>
      </c>
    </row>
    <row r="1633" ht="15.75" customHeight="1">
      <c r="A1633" s="2" t="s">
        <v>11997</v>
      </c>
      <c r="B1633" s="2" t="s">
        <v>1396</v>
      </c>
      <c r="C1633" s="2">
        <v>2003.0</v>
      </c>
      <c r="D1633" s="2" t="s">
        <v>11998</v>
      </c>
      <c r="E1633" s="2" t="s">
        <v>11999</v>
      </c>
      <c r="G1633" s="2" t="s">
        <v>12000</v>
      </c>
      <c r="K1633" s="2" t="s">
        <v>12001</v>
      </c>
      <c r="L1633" s="2" t="s">
        <v>1606</v>
      </c>
      <c r="M1633" s="2" t="s">
        <v>1385</v>
      </c>
      <c r="N1633" s="2" t="s">
        <v>1386</v>
      </c>
      <c r="AN1633" s="2" t="s">
        <v>1368</v>
      </c>
    </row>
    <row r="1634" ht="15.75" customHeight="1">
      <c r="A1634" s="2" t="s">
        <v>12002</v>
      </c>
      <c r="B1634" s="2" t="s">
        <v>1766</v>
      </c>
      <c r="C1634" s="2">
        <v>2017.0</v>
      </c>
      <c r="D1634" s="2" t="s">
        <v>12003</v>
      </c>
      <c r="E1634" s="2" t="s">
        <v>12004</v>
      </c>
      <c r="F1634" s="2" t="s">
        <v>12005</v>
      </c>
      <c r="L1634" s="2" t="s">
        <v>1658</v>
      </c>
      <c r="M1634" s="2" t="s">
        <v>1385</v>
      </c>
      <c r="N1634" s="2" t="s">
        <v>1386</v>
      </c>
      <c r="P1634" s="2" t="s">
        <v>2671</v>
      </c>
      <c r="AA1634" s="2" t="s">
        <v>1771</v>
      </c>
      <c r="AN1634" s="2" t="s">
        <v>1368</v>
      </c>
    </row>
    <row r="1635" ht="15.75" customHeight="1">
      <c r="A1635" s="2" t="s">
        <v>12006</v>
      </c>
      <c r="B1635" s="2" t="s">
        <v>1361</v>
      </c>
      <c r="C1635" s="2">
        <v>2011.0</v>
      </c>
      <c r="D1635" s="2" t="s">
        <v>12007</v>
      </c>
      <c r="E1635" s="2" t="s">
        <v>12008</v>
      </c>
      <c r="F1635" s="2" t="s">
        <v>1587</v>
      </c>
      <c r="H1635" s="2" t="s">
        <v>3516</v>
      </c>
      <c r="I1635" s="2" t="s">
        <v>12009</v>
      </c>
      <c r="K1635" s="2" t="s">
        <v>12010</v>
      </c>
      <c r="L1635" s="2" t="s">
        <v>1627</v>
      </c>
      <c r="M1635" s="2" t="s">
        <v>1385</v>
      </c>
      <c r="N1635" s="2" t="s">
        <v>1386</v>
      </c>
      <c r="P1635" s="2" t="s">
        <v>12011</v>
      </c>
      <c r="R1635" s="2">
        <v>6.0</v>
      </c>
      <c r="S1635" s="2">
        <v>25.0</v>
      </c>
      <c r="AN1635" s="2" t="s">
        <v>1368</v>
      </c>
    </row>
    <row r="1636" ht="15.75" customHeight="1">
      <c r="A1636" s="2" t="s">
        <v>12012</v>
      </c>
      <c r="B1636" s="2" t="s">
        <v>1396</v>
      </c>
      <c r="C1636" s="2">
        <v>1999.0</v>
      </c>
      <c r="D1636" s="2" t="s">
        <v>12013</v>
      </c>
      <c r="E1636" s="2" t="s">
        <v>12014</v>
      </c>
      <c r="L1636" s="2" t="s">
        <v>1434</v>
      </c>
      <c r="M1636" s="2" t="s">
        <v>1385</v>
      </c>
      <c r="N1636" s="2" t="s">
        <v>1386</v>
      </c>
      <c r="AA1636" s="2" t="s">
        <v>3653</v>
      </c>
      <c r="AB1636" s="2" t="s">
        <v>6044</v>
      </c>
      <c r="AN1636" s="2" t="s">
        <v>1368</v>
      </c>
    </row>
    <row r="1637" ht="15.75" customHeight="1">
      <c r="A1637" s="2" t="s">
        <v>12015</v>
      </c>
      <c r="B1637" s="2" t="s">
        <v>1396</v>
      </c>
      <c r="C1637" s="2">
        <v>2012.0</v>
      </c>
      <c r="D1637" s="2" t="s">
        <v>12016</v>
      </c>
      <c r="E1637" s="2" t="s">
        <v>12017</v>
      </c>
      <c r="G1637" s="2" t="s">
        <v>12018</v>
      </c>
      <c r="K1637" s="2" t="s">
        <v>12019</v>
      </c>
      <c r="L1637" s="2" t="s">
        <v>1405</v>
      </c>
      <c r="M1637" s="2" t="s">
        <v>1385</v>
      </c>
      <c r="N1637" s="2" t="s">
        <v>1386</v>
      </c>
      <c r="Q1637" s="2">
        <v>83.0</v>
      </c>
      <c r="AB1637" s="2" t="s">
        <v>12020</v>
      </c>
      <c r="AN1637" s="2" t="s">
        <v>1368</v>
      </c>
    </row>
    <row r="1638" ht="15.75" customHeight="1">
      <c r="A1638" s="2" t="s">
        <v>12021</v>
      </c>
      <c r="B1638" s="2" t="s">
        <v>1781</v>
      </c>
      <c r="C1638" s="2">
        <v>2012.0</v>
      </c>
      <c r="D1638" s="2" t="s">
        <v>12022</v>
      </c>
      <c r="E1638" s="2" t="s">
        <v>12023</v>
      </c>
      <c r="K1638" s="2" t="s">
        <v>12024</v>
      </c>
      <c r="L1638" s="2" t="s">
        <v>1405</v>
      </c>
      <c r="M1638" s="2" t="s">
        <v>1385</v>
      </c>
      <c r="N1638" s="2" t="s">
        <v>1386</v>
      </c>
      <c r="AN1638" s="2" t="s">
        <v>1368</v>
      </c>
    </row>
    <row r="1639" ht="15.75" customHeight="1">
      <c r="A1639" s="2" t="s">
        <v>12025</v>
      </c>
      <c r="B1639" s="2" t="s">
        <v>1361</v>
      </c>
      <c r="C1639" s="2">
        <v>2009.0</v>
      </c>
      <c r="D1639" s="2" t="s">
        <v>12026</v>
      </c>
      <c r="E1639" s="2" t="s">
        <v>982</v>
      </c>
      <c r="F1639" s="2" t="s">
        <v>8338</v>
      </c>
      <c r="H1639" s="2" t="s">
        <v>12027</v>
      </c>
      <c r="I1639" s="2" t="s">
        <v>984</v>
      </c>
      <c r="K1639" s="2" t="s">
        <v>12028</v>
      </c>
      <c r="L1639" s="2" t="s">
        <v>1364</v>
      </c>
      <c r="M1639" s="2" t="s">
        <v>1385</v>
      </c>
      <c r="N1639" s="2" t="s">
        <v>1386</v>
      </c>
      <c r="AN1639" s="2" t="s">
        <v>1368</v>
      </c>
    </row>
    <row r="1640" ht="15.75" customHeight="1">
      <c r="A1640" s="2" t="s">
        <v>12029</v>
      </c>
      <c r="B1640" s="2" t="s">
        <v>1361</v>
      </c>
      <c r="C1640" s="2">
        <v>2000.0</v>
      </c>
      <c r="D1640" s="2" t="s">
        <v>12030</v>
      </c>
      <c r="E1640" s="2" t="s">
        <v>12031</v>
      </c>
      <c r="F1640" s="2" t="s">
        <v>12032</v>
      </c>
      <c r="H1640" s="2" t="s">
        <v>12033</v>
      </c>
      <c r="I1640" s="2" t="s">
        <v>12034</v>
      </c>
      <c r="L1640" s="2" t="s">
        <v>2429</v>
      </c>
      <c r="M1640" s="2" t="s">
        <v>1385</v>
      </c>
      <c r="N1640" s="2" t="s">
        <v>1386</v>
      </c>
      <c r="P1640" s="2" t="s">
        <v>12035</v>
      </c>
      <c r="R1640" s="2">
        <v>2.0</v>
      </c>
      <c r="S1640" s="2">
        <v>37.0</v>
      </c>
      <c r="AN1640" s="2" t="s">
        <v>1368</v>
      </c>
    </row>
    <row r="1641" ht="15.75" customHeight="1">
      <c r="A1641" s="2" t="s">
        <v>12036</v>
      </c>
      <c r="B1641" s="2" t="s">
        <v>1396</v>
      </c>
      <c r="C1641" s="2">
        <v>2003.0</v>
      </c>
      <c r="D1641" s="2" t="s">
        <v>12037</v>
      </c>
      <c r="E1641" s="2" t="s">
        <v>1163</v>
      </c>
      <c r="G1641" s="2" t="s">
        <v>12038</v>
      </c>
      <c r="K1641" s="2" t="s">
        <v>12039</v>
      </c>
      <c r="L1641" s="2" t="s">
        <v>1606</v>
      </c>
      <c r="M1641" s="2" t="s">
        <v>1385</v>
      </c>
      <c r="N1641" s="2" t="s">
        <v>1386</v>
      </c>
      <c r="AN1641" s="2" t="s">
        <v>1368</v>
      </c>
    </row>
    <row r="1642" ht="15.75" customHeight="1">
      <c r="A1642" s="2" t="s">
        <v>12040</v>
      </c>
      <c r="B1642" s="2" t="s">
        <v>1361</v>
      </c>
      <c r="C1642" s="2">
        <v>2010.0</v>
      </c>
      <c r="D1642" s="2" t="s">
        <v>12041</v>
      </c>
      <c r="E1642" s="2" t="s">
        <v>12042</v>
      </c>
      <c r="F1642" s="2" t="s">
        <v>1760</v>
      </c>
      <c r="H1642" s="2" t="s">
        <v>1761</v>
      </c>
      <c r="I1642" s="2" t="s">
        <v>12043</v>
      </c>
      <c r="J1642" s="2" t="s">
        <v>12044</v>
      </c>
      <c r="K1642" s="2" t="s">
        <v>12045</v>
      </c>
      <c r="L1642" s="2" t="s">
        <v>11630</v>
      </c>
      <c r="M1642" s="2" t="s">
        <v>1385</v>
      </c>
      <c r="N1642" s="2" t="s">
        <v>1386</v>
      </c>
      <c r="P1642" s="2" t="s">
        <v>12046</v>
      </c>
      <c r="R1642" s="2">
        <v>9.0</v>
      </c>
      <c r="S1642" s="2">
        <v>69.0</v>
      </c>
      <c r="AN1642" s="2" t="s">
        <v>1368</v>
      </c>
    </row>
    <row r="1643" ht="15.75" customHeight="1">
      <c r="A1643" s="2" t="s">
        <v>12047</v>
      </c>
      <c r="B1643" s="2" t="s">
        <v>1361</v>
      </c>
      <c r="C1643" s="2">
        <v>2004.0</v>
      </c>
      <c r="D1643" s="2" t="s">
        <v>12048</v>
      </c>
      <c r="E1643" s="2" t="s">
        <v>12049</v>
      </c>
      <c r="F1643" s="2" t="s">
        <v>6864</v>
      </c>
      <c r="H1643" s="2" t="s">
        <v>2509</v>
      </c>
      <c r="I1643" s="2" t="s">
        <v>12050</v>
      </c>
      <c r="K1643" s="2" t="s">
        <v>12051</v>
      </c>
      <c r="L1643" s="2" t="s">
        <v>2373</v>
      </c>
      <c r="M1643" s="2" t="s">
        <v>1385</v>
      </c>
      <c r="N1643" s="2" t="s">
        <v>1386</v>
      </c>
      <c r="P1643" s="2" t="s">
        <v>12052</v>
      </c>
      <c r="R1643" s="2">
        <v>1.0</v>
      </c>
      <c r="S1643" s="2">
        <v>19.0</v>
      </c>
      <c r="AN1643" s="2" t="s">
        <v>1368</v>
      </c>
    </row>
    <row r="1644" ht="15.75" customHeight="1">
      <c r="A1644" s="2" t="s">
        <v>12053</v>
      </c>
      <c r="B1644" s="2" t="s">
        <v>1396</v>
      </c>
      <c r="C1644" s="2">
        <v>1991.0</v>
      </c>
      <c r="D1644" s="2" t="s">
        <v>12054</v>
      </c>
      <c r="E1644" s="2" t="s">
        <v>12055</v>
      </c>
      <c r="G1644" s="2" t="s">
        <v>12056</v>
      </c>
      <c r="L1644" s="2" t="s">
        <v>2607</v>
      </c>
      <c r="M1644" s="2" t="s">
        <v>1385</v>
      </c>
      <c r="N1644" s="2" t="s">
        <v>1386</v>
      </c>
      <c r="AA1644" s="2" t="s">
        <v>3653</v>
      </c>
      <c r="AN1644" s="2" t="s">
        <v>1368</v>
      </c>
    </row>
    <row r="1645" ht="15.75" customHeight="1">
      <c r="A1645" s="2" t="s">
        <v>12057</v>
      </c>
      <c r="B1645" s="2" t="s">
        <v>1361</v>
      </c>
      <c r="C1645" s="2">
        <v>2004.0</v>
      </c>
      <c r="D1645" s="2" t="s">
        <v>12058</v>
      </c>
      <c r="E1645" s="2" t="s">
        <v>12059</v>
      </c>
      <c r="F1645" s="2" t="s">
        <v>5645</v>
      </c>
      <c r="H1645" s="2" t="s">
        <v>8732</v>
      </c>
      <c r="I1645" s="2" t="s">
        <v>12060</v>
      </c>
      <c r="K1645" s="2" t="s">
        <v>12061</v>
      </c>
      <c r="L1645" s="2" t="s">
        <v>2373</v>
      </c>
      <c r="M1645" s="2" t="s">
        <v>1385</v>
      </c>
      <c r="N1645" s="2" t="s">
        <v>1386</v>
      </c>
      <c r="AN1645" s="2" t="s">
        <v>1368</v>
      </c>
    </row>
    <row r="1646" ht="15.75" customHeight="1">
      <c r="A1646" s="2" t="s">
        <v>12062</v>
      </c>
      <c r="B1646" s="2" t="s">
        <v>1396</v>
      </c>
      <c r="C1646" s="2">
        <v>2012.0</v>
      </c>
      <c r="D1646" s="2" t="s">
        <v>11769</v>
      </c>
      <c r="E1646" s="2" t="s">
        <v>12063</v>
      </c>
      <c r="G1646" s="2" t="s">
        <v>12064</v>
      </c>
      <c r="K1646" s="2" t="s">
        <v>12065</v>
      </c>
      <c r="L1646" s="2" t="s">
        <v>1405</v>
      </c>
      <c r="M1646" s="2" t="s">
        <v>1385</v>
      </c>
      <c r="N1646" s="2" t="s">
        <v>1386</v>
      </c>
      <c r="Q1646" s="2">
        <v>397.0</v>
      </c>
      <c r="AA1646" s="2" t="s">
        <v>12066</v>
      </c>
      <c r="AN1646" s="2" t="s">
        <v>1368</v>
      </c>
    </row>
    <row r="1647" ht="15.75" customHeight="1">
      <c r="A1647" s="2" t="s">
        <v>12067</v>
      </c>
      <c r="B1647" s="2" t="s">
        <v>1396</v>
      </c>
      <c r="C1647" s="2">
        <v>2002.0</v>
      </c>
      <c r="D1647" s="2" t="s">
        <v>12068</v>
      </c>
      <c r="E1647" s="2" t="s">
        <v>12069</v>
      </c>
      <c r="L1647" s="2" t="s">
        <v>1493</v>
      </c>
      <c r="M1647" s="2" t="s">
        <v>1385</v>
      </c>
      <c r="N1647" s="2" t="s">
        <v>1386</v>
      </c>
      <c r="AA1647" s="2" t="s">
        <v>12070</v>
      </c>
      <c r="AN1647" s="2" t="s">
        <v>1368</v>
      </c>
    </row>
    <row r="1648" ht="15.75" customHeight="1">
      <c r="A1648" s="2" t="s">
        <v>12071</v>
      </c>
      <c r="B1648" s="2" t="s">
        <v>1396</v>
      </c>
      <c r="C1648" s="2">
        <v>2013.0</v>
      </c>
      <c r="D1648" s="2" t="s">
        <v>12072</v>
      </c>
      <c r="E1648" s="2" t="s">
        <v>12073</v>
      </c>
      <c r="L1648" s="2" t="s">
        <v>1429</v>
      </c>
      <c r="M1648" s="2" t="s">
        <v>1385</v>
      </c>
      <c r="N1648" s="2" t="s">
        <v>1386</v>
      </c>
      <c r="Q1648" s="2">
        <v>54.0</v>
      </c>
      <c r="AA1648" s="2" t="s">
        <v>12074</v>
      </c>
      <c r="AB1648" s="2" t="s">
        <v>2410</v>
      </c>
      <c r="AN1648" s="2" t="s">
        <v>1368</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7.63"/>
    <col customWidth="1" min="5" max="5" width="42.63"/>
    <col customWidth="1" min="6" max="8" width="7.63"/>
    <col customWidth="1" min="9" max="9" width="45.75"/>
    <col customWidth="1" min="10" max="10" width="22.63"/>
    <col customWidth="1" min="11" max="88" width="7.63"/>
  </cols>
  <sheetData>
    <row r="1">
      <c r="A1" s="10" t="s">
        <v>1274</v>
      </c>
      <c r="B1" s="10" t="s">
        <v>1275</v>
      </c>
      <c r="C1" s="10" t="s">
        <v>1276</v>
      </c>
      <c r="D1" s="10" t="s">
        <v>1277</v>
      </c>
      <c r="E1" s="10" t="s">
        <v>1278</v>
      </c>
      <c r="F1" s="10" t="s">
        <v>1279</v>
      </c>
      <c r="G1" s="10" t="s">
        <v>1280</v>
      </c>
      <c r="H1" s="10" t="s">
        <v>1281</v>
      </c>
      <c r="I1" s="10" t="s">
        <v>17</v>
      </c>
      <c r="J1" s="11" t="s">
        <v>12075</v>
      </c>
      <c r="K1" s="10" t="s">
        <v>1282</v>
      </c>
      <c r="L1" s="10" t="s">
        <v>1283</v>
      </c>
      <c r="M1" s="10" t="s">
        <v>1284</v>
      </c>
      <c r="N1" s="10" t="s">
        <v>1285</v>
      </c>
      <c r="O1" s="10" t="s">
        <v>1286</v>
      </c>
      <c r="P1" s="10" t="s">
        <v>1287</v>
      </c>
      <c r="Q1" s="10" t="s">
        <v>1288</v>
      </c>
      <c r="R1" s="10" t="s">
        <v>1289</v>
      </c>
      <c r="S1" s="10" t="s">
        <v>1290</v>
      </c>
      <c r="T1" s="10" t="s">
        <v>1291</v>
      </c>
      <c r="U1" s="10" t="s">
        <v>1292</v>
      </c>
      <c r="V1" s="10" t="s">
        <v>1293</v>
      </c>
      <c r="W1" s="10" t="s">
        <v>1294</v>
      </c>
      <c r="X1" s="10" t="s">
        <v>1295</v>
      </c>
      <c r="Y1" s="10" t="s">
        <v>1296</v>
      </c>
      <c r="Z1" s="10" t="s">
        <v>1297</v>
      </c>
      <c r="AA1" s="10" t="s">
        <v>1298</v>
      </c>
      <c r="AB1" s="10" t="s">
        <v>1299</v>
      </c>
      <c r="AC1" s="10" t="s">
        <v>1300</v>
      </c>
      <c r="AD1" s="10" t="s">
        <v>1301</v>
      </c>
      <c r="AE1" s="10" t="s">
        <v>1302</v>
      </c>
      <c r="AF1" s="10" t="s">
        <v>1303</v>
      </c>
      <c r="AG1" s="10" t="s">
        <v>1304</v>
      </c>
      <c r="AH1" s="10" t="s">
        <v>1305</v>
      </c>
      <c r="AI1" s="10" t="s">
        <v>1306</v>
      </c>
      <c r="AJ1" s="10" t="s">
        <v>1307</v>
      </c>
      <c r="AK1" s="10" t="s">
        <v>1308</v>
      </c>
      <c r="AL1" s="10" t="s">
        <v>1309</v>
      </c>
      <c r="AM1" s="10" t="s">
        <v>1310</v>
      </c>
      <c r="AN1" s="10" t="s">
        <v>1311</v>
      </c>
      <c r="AO1" s="10" t="s">
        <v>1312</v>
      </c>
      <c r="AP1" s="10" t="s">
        <v>1313</v>
      </c>
      <c r="AQ1" s="10" t="s">
        <v>1314</v>
      </c>
      <c r="AR1" s="10" t="s">
        <v>1315</v>
      </c>
      <c r="AS1" s="10" t="s">
        <v>1316</v>
      </c>
      <c r="AT1" s="10" t="s">
        <v>1317</v>
      </c>
      <c r="AU1" s="10" t="s">
        <v>1318</v>
      </c>
      <c r="AV1" s="10" t="s">
        <v>1319</v>
      </c>
      <c r="AW1" s="10" t="s">
        <v>1320</v>
      </c>
      <c r="AX1" s="10" t="s">
        <v>1321</v>
      </c>
      <c r="AY1" s="10" t="s">
        <v>1322</v>
      </c>
      <c r="AZ1" s="10" t="s">
        <v>1323</v>
      </c>
      <c r="BA1" s="10" t="s">
        <v>1324</v>
      </c>
      <c r="BB1" s="10" t="s">
        <v>1325</v>
      </c>
      <c r="BC1" s="10" t="s">
        <v>1326</v>
      </c>
      <c r="BD1" s="10" t="s">
        <v>1327</v>
      </c>
      <c r="BE1" s="10" t="s">
        <v>1328</v>
      </c>
      <c r="BF1" s="10" t="s">
        <v>1329</v>
      </c>
      <c r="BG1" s="10" t="s">
        <v>1330</v>
      </c>
      <c r="BH1" s="10" t="s">
        <v>1331</v>
      </c>
      <c r="BI1" s="10" t="s">
        <v>1332</v>
      </c>
      <c r="BJ1" s="10" t="s">
        <v>1333</v>
      </c>
      <c r="BK1" s="10" t="s">
        <v>1334</v>
      </c>
      <c r="BL1" s="10" t="s">
        <v>1335</v>
      </c>
      <c r="BM1" s="10" t="s">
        <v>1336</v>
      </c>
      <c r="BN1" s="10" t="s">
        <v>1337</v>
      </c>
      <c r="BO1" s="10" t="s">
        <v>1338</v>
      </c>
      <c r="BP1" s="10" t="s">
        <v>1339</v>
      </c>
      <c r="BQ1" s="10" t="s">
        <v>1340</v>
      </c>
      <c r="BR1" s="10" t="s">
        <v>1341</v>
      </c>
      <c r="BS1" s="10" t="s">
        <v>1342</v>
      </c>
      <c r="BT1" s="10" t="s">
        <v>1343</v>
      </c>
      <c r="BU1" s="10" t="s">
        <v>1344</v>
      </c>
      <c r="BV1" s="10" t="s">
        <v>1345</v>
      </c>
      <c r="BW1" s="10" t="s">
        <v>1346</v>
      </c>
      <c r="BX1" s="10" t="s">
        <v>1347</v>
      </c>
      <c r="BY1" s="10" t="s">
        <v>1348</v>
      </c>
      <c r="BZ1" s="10" t="s">
        <v>1349</v>
      </c>
      <c r="CA1" s="10" t="s">
        <v>1350</v>
      </c>
      <c r="CB1" s="10" t="s">
        <v>1351</v>
      </c>
      <c r="CC1" s="10" t="s">
        <v>1352</v>
      </c>
      <c r="CD1" s="10" t="s">
        <v>1353</v>
      </c>
      <c r="CE1" s="10" t="s">
        <v>1354</v>
      </c>
      <c r="CF1" s="10" t="s">
        <v>1355</v>
      </c>
      <c r="CG1" s="10" t="s">
        <v>1356</v>
      </c>
      <c r="CH1" s="10" t="s">
        <v>1357</v>
      </c>
      <c r="CI1" s="10" t="s">
        <v>1358</v>
      </c>
      <c r="CJ1" s="10" t="s">
        <v>1359</v>
      </c>
    </row>
    <row r="2">
      <c r="A2" s="2" t="s">
        <v>1369</v>
      </c>
      <c r="B2" s="2" t="s">
        <v>1361</v>
      </c>
      <c r="C2" s="2">
        <v>2015.0</v>
      </c>
      <c r="D2" s="2" t="s">
        <v>1370</v>
      </c>
      <c r="E2" s="2" t="s">
        <v>1371</v>
      </c>
      <c r="F2" s="2" t="s">
        <v>1372</v>
      </c>
      <c r="J2" s="12" t="str">
        <f>VLOOKUP(I2,'Copy of Enriched Data - IPBES G'!$L$2:$L$229,1,false)</f>
        <v>#N/A</v>
      </c>
      <c r="M2" s="2" t="s">
        <v>1373</v>
      </c>
      <c r="N2" s="2" t="s">
        <v>1374</v>
      </c>
      <c r="O2" s="2" t="s">
        <v>1375</v>
      </c>
      <c r="Q2" s="2" t="s">
        <v>1376</v>
      </c>
      <c r="T2" s="2">
        <v>2015.0</v>
      </c>
      <c r="AO2" s="2" t="s">
        <v>1368</v>
      </c>
    </row>
    <row r="3">
      <c r="A3" s="2" t="s">
        <v>1388</v>
      </c>
      <c r="B3" s="2" t="s">
        <v>1361</v>
      </c>
      <c r="C3" s="2">
        <v>2005.0</v>
      </c>
      <c r="D3" s="2" t="s">
        <v>1389</v>
      </c>
      <c r="E3" s="2" t="s">
        <v>1390</v>
      </c>
      <c r="F3" s="2" t="s">
        <v>1391</v>
      </c>
      <c r="I3" s="2" t="s">
        <v>1392</v>
      </c>
      <c r="J3" s="12" t="str">
        <f>VLOOKUP(I3,'Copy of Enriched Data - IPBES G'!$L$2:$L$229,1,false)</f>
        <v>#N/A</v>
      </c>
      <c r="L3" s="2" t="s">
        <v>1393</v>
      </c>
      <c r="M3" s="2" t="s">
        <v>1394</v>
      </c>
      <c r="N3" s="2" t="s">
        <v>1385</v>
      </c>
      <c r="O3" s="2" t="s">
        <v>1386</v>
      </c>
      <c r="AO3" s="2" t="s">
        <v>1368</v>
      </c>
    </row>
    <row r="4">
      <c r="A4" s="2" t="s">
        <v>1395</v>
      </c>
      <c r="B4" s="2" t="s">
        <v>1396</v>
      </c>
      <c r="C4" s="2">
        <v>1963.0</v>
      </c>
      <c r="D4" s="2" t="s">
        <v>1397</v>
      </c>
      <c r="E4" s="2" t="s">
        <v>1398</v>
      </c>
      <c r="J4" s="12" t="str">
        <f>VLOOKUP(I4,'Copy of Enriched Data - IPBES G'!$L$2:$L$229,1,false)</f>
        <v>#N/A</v>
      </c>
      <c r="M4" s="2" t="s">
        <v>1399</v>
      </c>
      <c r="N4" s="2" t="s">
        <v>1385</v>
      </c>
      <c r="O4" s="2" t="s">
        <v>1386</v>
      </c>
      <c r="AB4" s="2" t="s">
        <v>1400</v>
      </c>
      <c r="AC4" s="2" t="s">
        <v>1401</v>
      </c>
      <c r="AO4" s="2" t="s">
        <v>1368</v>
      </c>
    </row>
    <row r="5">
      <c r="A5" s="2" t="s">
        <v>1402</v>
      </c>
      <c r="B5" s="2" t="s">
        <v>1396</v>
      </c>
      <c r="C5" s="2">
        <v>2012.0</v>
      </c>
      <c r="D5" s="2" t="s">
        <v>1403</v>
      </c>
      <c r="E5" s="2" t="s">
        <v>1404</v>
      </c>
      <c r="J5" s="12" t="str">
        <f>VLOOKUP(I5,'Copy of Enriched Data - IPBES G'!$L$2:$L$229,1,false)</f>
        <v>#N/A</v>
      </c>
      <c r="M5" s="2" t="s">
        <v>1405</v>
      </c>
      <c r="N5" s="2" t="s">
        <v>1385</v>
      </c>
      <c r="O5" s="2" t="s">
        <v>1386</v>
      </c>
      <c r="AB5" s="2" t="s">
        <v>1406</v>
      </c>
      <c r="AO5" s="2" t="s">
        <v>1368</v>
      </c>
    </row>
    <row r="6">
      <c r="A6" s="2" t="s">
        <v>1407</v>
      </c>
      <c r="B6" s="2" t="s">
        <v>1361</v>
      </c>
      <c r="C6" s="2">
        <v>2001.0</v>
      </c>
      <c r="D6" s="2" t="s">
        <v>1408</v>
      </c>
      <c r="E6" s="2" t="s">
        <v>1409</v>
      </c>
      <c r="F6" s="2" t="s">
        <v>1410</v>
      </c>
      <c r="H6" s="2" t="s">
        <v>1411</v>
      </c>
      <c r="I6" s="2" t="s">
        <v>1412</v>
      </c>
      <c r="J6" s="12" t="str">
        <f>VLOOKUP(I6,'Copy of Enriched Data - IPBES G'!$L$2:$L$229,1,false)</f>
        <v>#N/A</v>
      </c>
      <c r="L6" s="2" t="s">
        <v>1413</v>
      </c>
      <c r="M6" s="2" t="s">
        <v>1414</v>
      </c>
      <c r="N6" s="2" t="s">
        <v>1385</v>
      </c>
      <c r="O6" s="2" t="s">
        <v>1386</v>
      </c>
      <c r="AO6" s="2" t="s">
        <v>1368</v>
      </c>
    </row>
    <row r="7">
      <c r="A7" s="2" t="s">
        <v>1415</v>
      </c>
      <c r="B7" s="2" t="s">
        <v>1396</v>
      </c>
      <c r="C7" s="2">
        <v>2018.0</v>
      </c>
      <c r="D7" s="2" t="s">
        <v>1416</v>
      </c>
      <c r="E7" s="2" t="s">
        <v>1417</v>
      </c>
      <c r="G7" s="2" t="s">
        <v>1418</v>
      </c>
      <c r="J7" s="12" t="str">
        <f>VLOOKUP(I7,'Copy of Enriched Data - IPBES G'!$L$2:$L$229,1,false)</f>
        <v>#N/A</v>
      </c>
      <c r="L7" s="2" t="s">
        <v>1419</v>
      </c>
      <c r="M7" s="2" t="s">
        <v>1420</v>
      </c>
      <c r="N7" s="2" t="s">
        <v>1385</v>
      </c>
      <c r="O7" s="2" t="s">
        <v>1386</v>
      </c>
      <c r="R7" s="2" t="s">
        <v>1421</v>
      </c>
      <c r="T7" s="2">
        <v>559.0</v>
      </c>
      <c r="Y7" s="2">
        <v>7715.0</v>
      </c>
      <c r="AB7" s="2" t="s">
        <v>1422</v>
      </c>
      <c r="AO7" s="2" t="s">
        <v>1368</v>
      </c>
    </row>
    <row r="8">
      <c r="A8" s="2" t="s">
        <v>1423</v>
      </c>
      <c r="B8" s="2" t="s">
        <v>1361</v>
      </c>
      <c r="C8" s="2">
        <v>2013.0</v>
      </c>
      <c r="D8" s="2" t="s">
        <v>1408</v>
      </c>
      <c r="E8" s="13" t="s">
        <v>1424</v>
      </c>
      <c r="F8" s="2" t="s">
        <v>1425</v>
      </c>
      <c r="H8" s="2" t="s">
        <v>1426</v>
      </c>
      <c r="I8" s="2" t="s">
        <v>1427</v>
      </c>
      <c r="J8" s="12" t="str">
        <f>VLOOKUP(I8,'Copy of Enriched Data - IPBES G'!$L$2:$L$229,1,false)</f>
        <v>#N/A</v>
      </c>
      <c r="L8" s="2" t="s">
        <v>1428</v>
      </c>
      <c r="M8" s="2" t="s">
        <v>1429</v>
      </c>
      <c r="N8" s="2" t="s">
        <v>1385</v>
      </c>
      <c r="O8" s="2" t="s">
        <v>1386</v>
      </c>
      <c r="AO8" s="2" t="s">
        <v>1368</v>
      </c>
    </row>
    <row r="9">
      <c r="A9" s="2" t="s">
        <v>1430</v>
      </c>
      <c r="B9" s="2" t="s">
        <v>1396</v>
      </c>
      <c r="C9" s="2">
        <v>1999.0</v>
      </c>
      <c r="D9" s="2" t="s">
        <v>1408</v>
      </c>
      <c r="E9" s="2" t="s">
        <v>1431</v>
      </c>
      <c r="G9" s="2" t="s">
        <v>1432</v>
      </c>
      <c r="J9" s="12" t="str">
        <f>VLOOKUP(I9,'Copy of Enriched Data - IPBES G'!$L$2:$L$229,1,false)</f>
        <v>#N/A</v>
      </c>
      <c r="L9" s="2" t="s">
        <v>1433</v>
      </c>
      <c r="M9" s="2" t="s">
        <v>1434</v>
      </c>
      <c r="N9" s="2" t="s">
        <v>1385</v>
      </c>
      <c r="O9" s="2" t="s">
        <v>1386</v>
      </c>
      <c r="AO9" s="2" t="s">
        <v>1368</v>
      </c>
    </row>
    <row r="10">
      <c r="A10" s="2" t="s">
        <v>1435</v>
      </c>
      <c r="B10" s="2" t="s">
        <v>1361</v>
      </c>
      <c r="C10" s="2">
        <v>2009.0</v>
      </c>
      <c r="D10" s="2" t="s">
        <v>1436</v>
      </c>
      <c r="E10" s="13" t="s">
        <v>1437</v>
      </c>
      <c r="F10" s="2" t="s">
        <v>1438</v>
      </c>
      <c r="I10" s="2" t="s">
        <v>1439</v>
      </c>
      <c r="J10" s="12" t="str">
        <f>VLOOKUP(I10,'Copy of Enriched Data - IPBES G'!$L$2:$L$229,1,false)</f>
        <v>#N/A</v>
      </c>
      <c r="M10" s="2" t="s">
        <v>1364</v>
      </c>
      <c r="N10" s="2" t="s">
        <v>1440</v>
      </c>
      <c r="O10" s="2" t="s">
        <v>1441</v>
      </c>
      <c r="Q10" s="2" t="s">
        <v>1442</v>
      </c>
      <c r="S10" s="2" t="s">
        <v>1443</v>
      </c>
      <c r="T10" s="2">
        <v>4.0</v>
      </c>
      <c r="AO10" s="2" t="s">
        <v>1368</v>
      </c>
    </row>
    <row r="11">
      <c r="A11" s="2" t="s">
        <v>1444</v>
      </c>
      <c r="B11" s="2" t="s">
        <v>1361</v>
      </c>
      <c r="C11" s="2">
        <v>2010.0</v>
      </c>
      <c r="D11" s="2" t="s">
        <v>1445</v>
      </c>
      <c r="E11" s="2" t="s">
        <v>1446</v>
      </c>
      <c r="F11" s="2" t="s">
        <v>1447</v>
      </c>
      <c r="I11" s="2" t="s">
        <v>1448</v>
      </c>
      <c r="J11" s="12" t="str">
        <f>VLOOKUP(I11,'Copy of Enriched Data - IPBES G'!$L$2:$L$229,1,false)</f>
        <v>#N/A</v>
      </c>
      <c r="M11" s="2" t="s">
        <v>1449</v>
      </c>
      <c r="N11" s="2" t="s">
        <v>1450</v>
      </c>
      <c r="O11" s="2" t="s">
        <v>1451</v>
      </c>
      <c r="Q11" s="2" t="s">
        <v>1452</v>
      </c>
      <c r="S11" s="2" t="s">
        <v>1453</v>
      </c>
      <c r="T11" s="2">
        <v>70.0</v>
      </c>
      <c r="AO11" s="2" t="s">
        <v>1368</v>
      </c>
    </row>
    <row r="12">
      <c r="A12" s="2" t="s">
        <v>1454</v>
      </c>
      <c r="B12" s="2" t="s">
        <v>1361</v>
      </c>
      <c r="C12" s="2">
        <v>2008.0</v>
      </c>
      <c r="D12" s="2" t="s">
        <v>1455</v>
      </c>
      <c r="E12" s="2" t="s">
        <v>1456</v>
      </c>
      <c r="F12" s="2" t="s">
        <v>1457</v>
      </c>
      <c r="J12" s="12" t="str">
        <f>VLOOKUP(I12,'Copy of Enriched Data - IPBES G'!$L$2:$L$229,1,false)</f>
        <v>#N/A</v>
      </c>
      <c r="M12" s="2" t="s">
        <v>1458</v>
      </c>
      <c r="N12" s="2" t="s">
        <v>1459</v>
      </c>
      <c r="O12" s="2" t="s">
        <v>1460</v>
      </c>
      <c r="Q12" s="2" t="s">
        <v>1461</v>
      </c>
      <c r="S12" s="2" t="s">
        <v>1462</v>
      </c>
      <c r="T12" s="2">
        <v>21.0</v>
      </c>
      <c r="AO12" s="2" t="s">
        <v>1368</v>
      </c>
    </row>
    <row r="13">
      <c r="A13" s="2" t="s">
        <v>1463</v>
      </c>
      <c r="B13" s="2" t="s">
        <v>1361</v>
      </c>
      <c r="C13" s="2">
        <v>2010.0</v>
      </c>
      <c r="D13" s="2" t="s">
        <v>1464</v>
      </c>
      <c r="E13" s="2" t="s">
        <v>1465</v>
      </c>
      <c r="F13" s="2" t="s">
        <v>1466</v>
      </c>
      <c r="I13" s="2" t="s">
        <v>1467</v>
      </c>
      <c r="J13" s="12" t="str">
        <f>VLOOKUP(I13,'Copy of Enriched Data - IPBES G'!$L$2:$L$229,1,false)</f>
        <v>#N/A</v>
      </c>
      <c r="M13" s="2" t="s">
        <v>1449</v>
      </c>
      <c r="N13" s="2" t="s">
        <v>1468</v>
      </c>
      <c r="O13" s="2" t="s">
        <v>1469</v>
      </c>
      <c r="Q13" s="2" t="s">
        <v>1470</v>
      </c>
      <c r="S13" s="2" t="s">
        <v>1453</v>
      </c>
      <c r="T13" s="2">
        <v>27.0</v>
      </c>
      <c r="AO13" s="2" t="s">
        <v>1368</v>
      </c>
    </row>
    <row r="14">
      <c r="A14" s="2" t="s">
        <v>1471</v>
      </c>
      <c r="B14" s="2" t="s">
        <v>1361</v>
      </c>
      <c r="C14" s="2">
        <v>2014.0</v>
      </c>
      <c r="D14" s="2" t="s">
        <v>1472</v>
      </c>
      <c r="E14" s="2" t="s">
        <v>1473</v>
      </c>
      <c r="F14" s="2" t="s">
        <v>1474</v>
      </c>
      <c r="I14" s="2" t="s">
        <v>1475</v>
      </c>
      <c r="J14" s="12" t="str">
        <f>VLOOKUP(I14,'Copy of Enriched Data - IPBES G'!$L$2:$L$229,1,false)</f>
        <v>#N/A</v>
      </c>
      <c r="M14" s="2" t="s">
        <v>1476</v>
      </c>
      <c r="N14" s="2" t="s">
        <v>1477</v>
      </c>
      <c r="O14" s="2" t="s">
        <v>1478</v>
      </c>
      <c r="Q14" s="2" t="s">
        <v>1479</v>
      </c>
      <c r="S14" s="2" t="s">
        <v>1480</v>
      </c>
      <c r="T14" s="2">
        <v>104.0</v>
      </c>
      <c r="AO14" s="2" t="s">
        <v>1368</v>
      </c>
    </row>
    <row r="15">
      <c r="A15" s="2" t="s">
        <v>1481</v>
      </c>
      <c r="B15" s="2" t="s">
        <v>1361</v>
      </c>
      <c r="C15" s="2">
        <v>2014.0</v>
      </c>
      <c r="D15" s="2" t="s">
        <v>1482</v>
      </c>
      <c r="E15" s="2" t="s">
        <v>1483</v>
      </c>
      <c r="F15" s="2" t="s">
        <v>1484</v>
      </c>
      <c r="I15" s="2" t="s">
        <v>1485</v>
      </c>
      <c r="J15" s="12" t="str">
        <f>VLOOKUP(I15,'Copy of Enriched Data - IPBES G'!$L$2:$L$229,1,false)</f>
        <v>#N/A</v>
      </c>
      <c r="M15" s="2" t="s">
        <v>1476</v>
      </c>
      <c r="N15" s="2" t="s">
        <v>1486</v>
      </c>
      <c r="O15" s="2" t="s">
        <v>1487</v>
      </c>
      <c r="Q15" s="2" t="s">
        <v>1488</v>
      </c>
      <c r="T15" s="2">
        <v>169.0</v>
      </c>
      <c r="AO15" s="2" t="s">
        <v>1368</v>
      </c>
    </row>
    <row r="16">
      <c r="A16" s="2" t="s">
        <v>1489</v>
      </c>
      <c r="B16" s="2" t="s">
        <v>1361</v>
      </c>
      <c r="C16" s="2">
        <v>2002.0</v>
      </c>
      <c r="D16" s="2" t="s">
        <v>1490</v>
      </c>
      <c r="E16" s="2" t="s">
        <v>1491</v>
      </c>
      <c r="F16" s="2" t="s">
        <v>1492</v>
      </c>
      <c r="J16" s="12" t="str">
        <f>VLOOKUP(I16,'Copy of Enriched Data - IPBES G'!$L$2:$L$229,1,false)</f>
        <v>#N/A</v>
      </c>
      <c r="M16" s="2" t="s">
        <v>1493</v>
      </c>
      <c r="N16" s="2" t="s">
        <v>1494</v>
      </c>
      <c r="O16" s="2" t="s">
        <v>1495</v>
      </c>
      <c r="Q16" s="2" t="s">
        <v>1496</v>
      </c>
      <c r="T16" s="2">
        <v>28.0</v>
      </c>
      <c r="AO16" s="2" t="s">
        <v>1368</v>
      </c>
    </row>
    <row r="17">
      <c r="A17" s="2" t="s">
        <v>1497</v>
      </c>
      <c r="B17" s="2" t="s">
        <v>1361</v>
      </c>
      <c r="C17" s="2">
        <v>2016.0</v>
      </c>
      <c r="D17" s="2" t="s">
        <v>1498</v>
      </c>
      <c r="E17" s="2" t="s">
        <v>1499</v>
      </c>
      <c r="F17" s="2" t="s">
        <v>1500</v>
      </c>
      <c r="I17" s="2" t="s">
        <v>1501</v>
      </c>
      <c r="J17" s="12" t="str">
        <f>VLOOKUP(I17,'Copy of Enriched Data - IPBES G'!$L$2:$L$229,1,false)</f>
        <v>#N/A</v>
      </c>
      <c r="M17" s="2" t="s">
        <v>1502</v>
      </c>
      <c r="N17" s="2" t="s">
        <v>1503</v>
      </c>
      <c r="O17" s="2" t="s">
        <v>1504</v>
      </c>
      <c r="Q17" s="2" t="s">
        <v>1505</v>
      </c>
      <c r="S17" s="2" t="s">
        <v>1506</v>
      </c>
      <c r="T17" s="2">
        <v>63.0</v>
      </c>
      <c r="AO17" s="2" t="s">
        <v>1368</v>
      </c>
    </row>
    <row r="18">
      <c r="A18" s="2" t="s">
        <v>1507</v>
      </c>
      <c r="B18" s="2" t="s">
        <v>1361</v>
      </c>
      <c r="C18" s="2">
        <v>2018.0</v>
      </c>
      <c r="D18" s="2" t="s">
        <v>1508</v>
      </c>
      <c r="E18" s="2" t="s">
        <v>1509</v>
      </c>
      <c r="F18" s="2" t="s">
        <v>1510</v>
      </c>
      <c r="H18" s="2" t="s">
        <v>1511</v>
      </c>
      <c r="I18" s="2" t="s">
        <v>1512</v>
      </c>
      <c r="J18" s="12" t="str">
        <f>VLOOKUP(I18,'Copy of Enriched Data - IPBES G'!$L$2:$L$229,1,false)</f>
        <v>#N/A</v>
      </c>
      <c r="M18" s="2" t="s">
        <v>1420</v>
      </c>
      <c r="N18" s="2" t="s">
        <v>1513</v>
      </c>
      <c r="O18" s="2" t="s">
        <v>1514</v>
      </c>
      <c r="Q18" s="2" t="s">
        <v>1515</v>
      </c>
      <c r="S18" s="2" t="s">
        <v>1516</v>
      </c>
      <c r="T18" s="2">
        <v>361.0</v>
      </c>
      <c r="AO18" s="2" t="s">
        <v>1368</v>
      </c>
    </row>
    <row r="19">
      <c r="A19" s="2" t="s">
        <v>1517</v>
      </c>
      <c r="B19" s="2" t="s">
        <v>1361</v>
      </c>
      <c r="C19" s="2">
        <v>2008.0</v>
      </c>
      <c r="D19" s="2" t="s">
        <v>1518</v>
      </c>
      <c r="E19" s="2" t="s">
        <v>1519</v>
      </c>
      <c r="F19" s="2" t="s">
        <v>1520</v>
      </c>
      <c r="I19" s="2" t="s">
        <v>1521</v>
      </c>
      <c r="J19" s="12" t="str">
        <f>VLOOKUP(I19,'Copy of Enriched Data - IPBES G'!$L$2:$L$229,1,false)</f>
        <v>#N/A</v>
      </c>
      <c r="L19" s="2" t="s">
        <v>1522</v>
      </c>
      <c r="M19" s="2" t="s">
        <v>1458</v>
      </c>
      <c r="N19" s="2" t="s">
        <v>1523</v>
      </c>
      <c r="O19" s="2" t="s">
        <v>1524</v>
      </c>
      <c r="AO19" s="2" t="s">
        <v>1368</v>
      </c>
    </row>
    <row r="20">
      <c r="A20" s="2" t="s">
        <v>1525</v>
      </c>
      <c r="B20" s="2" t="s">
        <v>1361</v>
      </c>
      <c r="C20" s="2">
        <v>2014.0</v>
      </c>
      <c r="D20" s="2" t="s">
        <v>1526</v>
      </c>
      <c r="E20" s="2" t="s">
        <v>1527</v>
      </c>
      <c r="F20" s="2" t="s">
        <v>1528</v>
      </c>
      <c r="H20" s="2" t="s">
        <v>1529</v>
      </c>
      <c r="I20" s="2" t="s">
        <v>1530</v>
      </c>
      <c r="J20" s="12" t="str">
        <f>VLOOKUP(I20,'Copy of Enriched Data - IPBES G'!$L$2:$L$229,1,false)</f>
        <v>#N/A</v>
      </c>
      <c r="K20" s="2" t="s">
        <v>1531</v>
      </c>
      <c r="L20" s="2" t="s">
        <v>1532</v>
      </c>
      <c r="M20" s="2" t="s">
        <v>1476</v>
      </c>
      <c r="N20" s="2" t="s">
        <v>1533</v>
      </c>
      <c r="O20" s="2" t="s">
        <v>1534</v>
      </c>
      <c r="P20" s="2" t="s">
        <v>1535</v>
      </c>
      <c r="Q20" s="2" t="s">
        <v>1536</v>
      </c>
      <c r="S20" s="2" t="s">
        <v>1537</v>
      </c>
      <c r="T20" s="2">
        <v>65.0</v>
      </c>
      <c r="V20" s="2" t="s">
        <v>1538</v>
      </c>
      <c r="W20" s="2" t="s">
        <v>1539</v>
      </c>
      <c r="AD20" s="2" t="s">
        <v>1540</v>
      </c>
      <c r="AI20" s="2" t="s">
        <v>1541</v>
      </c>
      <c r="AO20" s="2" t="s">
        <v>1542</v>
      </c>
    </row>
    <row r="21" ht="15.75" customHeight="1">
      <c r="A21" s="2" t="s">
        <v>1543</v>
      </c>
      <c r="B21" s="2" t="s">
        <v>1361</v>
      </c>
      <c r="C21" s="2">
        <v>2008.0</v>
      </c>
      <c r="D21" s="2" t="s">
        <v>1544</v>
      </c>
      <c r="E21" s="2" t="s">
        <v>1545</v>
      </c>
      <c r="F21" s="2" t="s">
        <v>1510</v>
      </c>
      <c r="H21" s="2" t="s">
        <v>1546</v>
      </c>
      <c r="I21" s="2" t="s">
        <v>1547</v>
      </c>
      <c r="J21" s="12" t="str">
        <f>VLOOKUP(I21,'Copy of Enriched Data - IPBES G'!$L$2:$L$229,1,false)</f>
        <v>#N/A</v>
      </c>
      <c r="K21" s="2" t="s">
        <v>1548</v>
      </c>
      <c r="L21" s="2" t="s">
        <v>1549</v>
      </c>
      <c r="M21" s="2" t="s">
        <v>1550</v>
      </c>
      <c r="N21" s="2" t="s">
        <v>1551</v>
      </c>
      <c r="O21" s="2" t="s">
        <v>1552</v>
      </c>
      <c r="P21" s="2" t="s">
        <v>1553</v>
      </c>
      <c r="Q21" s="2" t="s">
        <v>1554</v>
      </c>
      <c r="S21" s="2" t="s">
        <v>1555</v>
      </c>
      <c r="T21" s="2">
        <v>321.0</v>
      </c>
      <c r="V21" s="2" t="s">
        <v>1510</v>
      </c>
      <c r="AD21" s="2" t="s">
        <v>1540</v>
      </c>
      <c r="AI21" s="2" t="s">
        <v>1541</v>
      </c>
      <c r="AO21" s="2" t="s">
        <v>1556</v>
      </c>
    </row>
    <row r="22" ht="15.75" customHeight="1">
      <c r="A22" s="2" t="s">
        <v>1557</v>
      </c>
      <c r="B22" s="2" t="s">
        <v>1396</v>
      </c>
      <c r="C22" s="2">
        <v>2013.0</v>
      </c>
      <c r="D22" s="2" t="s">
        <v>1558</v>
      </c>
      <c r="E22" s="2" t="s">
        <v>1559</v>
      </c>
      <c r="G22" s="2" t="s">
        <v>1560</v>
      </c>
      <c r="J22" s="12" t="str">
        <f>VLOOKUP(I22,'Copy of Enriched Data - IPBES G'!$L$2:$L$229,1,false)</f>
        <v>#N/A</v>
      </c>
      <c r="L22" s="2" t="s">
        <v>1561</v>
      </c>
      <c r="M22" s="2" t="s">
        <v>1429</v>
      </c>
      <c r="N22" s="2" t="s">
        <v>1562</v>
      </c>
      <c r="O22" s="2" t="s">
        <v>1563</v>
      </c>
      <c r="R22" s="2">
        <v>488.0</v>
      </c>
      <c r="AB22" s="2" t="s">
        <v>1564</v>
      </c>
      <c r="AC22" s="2" t="s">
        <v>1565</v>
      </c>
      <c r="AO22" s="2" t="s">
        <v>1566</v>
      </c>
    </row>
    <row r="23" ht="15.75" customHeight="1">
      <c r="A23" s="2" t="s">
        <v>1575</v>
      </c>
      <c r="B23" s="2" t="s">
        <v>1361</v>
      </c>
      <c r="C23" s="2">
        <v>2015.0</v>
      </c>
      <c r="D23" s="2" t="s">
        <v>1576</v>
      </c>
      <c r="E23" s="2" t="s">
        <v>1577</v>
      </c>
      <c r="F23" s="2" t="s">
        <v>1578</v>
      </c>
      <c r="H23" s="2" t="s">
        <v>1579</v>
      </c>
      <c r="I23" s="2" t="s">
        <v>1580</v>
      </c>
      <c r="J23" s="12" t="str">
        <f>VLOOKUP(I23,'Copy of Enriched Data - IPBES G'!$L$2:$L$229,1,false)</f>
        <v>#N/A</v>
      </c>
      <c r="K23" s="2" t="s">
        <v>1581</v>
      </c>
      <c r="L23" s="2" t="s">
        <v>1582</v>
      </c>
      <c r="M23" s="2" t="s">
        <v>1373</v>
      </c>
      <c r="N23" s="2" t="s">
        <v>1385</v>
      </c>
      <c r="O23" s="2" t="s">
        <v>1386</v>
      </c>
      <c r="Q23" s="2" t="s">
        <v>1583</v>
      </c>
      <c r="T23" s="2">
        <v>45.0</v>
      </c>
      <c r="AO23" s="2" t="s">
        <v>1368</v>
      </c>
    </row>
    <row r="24" ht="15.75" customHeight="1">
      <c r="A24" s="2" t="s">
        <v>1584</v>
      </c>
      <c r="B24" s="2" t="s">
        <v>1361</v>
      </c>
      <c r="C24" s="2">
        <v>2013.0</v>
      </c>
      <c r="D24" s="2" t="s">
        <v>1585</v>
      </c>
      <c r="E24" s="2" t="s">
        <v>1586</v>
      </c>
      <c r="F24" s="2" t="s">
        <v>1587</v>
      </c>
      <c r="H24" s="2" t="s">
        <v>1588</v>
      </c>
      <c r="I24" s="2" t="s">
        <v>1589</v>
      </c>
      <c r="J24" s="12" t="str">
        <f>VLOOKUP(I24,'Copy of Enriched Data - IPBES G'!$L$2:$L$229,1,false)</f>
        <v>#N/A</v>
      </c>
      <c r="L24" s="2" t="s">
        <v>1590</v>
      </c>
      <c r="M24" s="2" t="s">
        <v>1429</v>
      </c>
      <c r="N24" s="2" t="s">
        <v>1385</v>
      </c>
      <c r="O24" s="2" t="s">
        <v>1386</v>
      </c>
      <c r="AO24" s="2" t="s">
        <v>1368</v>
      </c>
    </row>
    <row r="25" ht="15.75" customHeight="1">
      <c r="A25" s="2" t="s">
        <v>1591</v>
      </c>
      <c r="B25" s="2" t="s">
        <v>1361</v>
      </c>
      <c r="C25" s="2">
        <v>2010.0</v>
      </c>
      <c r="D25" s="2" t="s">
        <v>1592</v>
      </c>
      <c r="E25" s="2" t="s">
        <v>1593</v>
      </c>
      <c r="F25" s="2" t="s">
        <v>1594</v>
      </c>
      <c r="H25" s="2" t="s">
        <v>1595</v>
      </c>
      <c r="I25" s="2" t="s">
        <v>1596</v>
      </c>
      <c r="J25" s="12" t="str">
        <f>VLOOKUP(I25,'Copy of Enriched Data - IPBES G'!$L$2:$L$229,1,false)</f>
        <v>#N/A</v>
      </c>
      <c r="K25" s="2" t="s">
        <v>1597</v>
      </c>
      <c r="L25" s="2" t="s">
        <v>1598</v>
      </c>
      <c r="M25" s="2" t="s">
        <v>1449</v>
      </c>
      <c r="N25" s="2" t="s">
        <v>1385</v>
      </c>
      <c r="O25" s="2" t="s">
        <v>1386</v>
      </c>
      <c r="Q25" s="2" t="s">
        <v>1599</v>
      </c>
      <c r="S25" s="2" t="s">
        <v>1600</v>
      </c>
      <c r="T25" s="2">
        <v>3.0</v>
      </c>
      <c r="AO25" s="2" t="s">
        <v>1601</v>
      </c>
    </row>
    <row r="26" ht="15.75" customHeight="1">
      <c r="A26" s="2" t="s">
        <v>1602</v>
      </c>
      <c r="B26" s="2" t="s">
        <v>1396</v>
      </c>
      <c r="C26" s="2">
        <v>2003.0</v>
      </c>
      <c r="D26" s="2" t="s">
        <v>1603</v>
      </c>
      <c r="E26" s="2" t="s">
        <v>1604</v>
      </c>
      <c r="J26" s="12" t="str">
        <f>VLOOKUP(I26,'Copy of Enriched Data - IPBES G'!$L$2:$L$229,1,false)</f>
        <v>#N/A</v>
      </c>
      <c r="K26" s="2" t="s">
        <v>1605</v>
      </c>
      <c r="M26" s="2" t="s">
        <v>1606</v>
      </c>
      <c r="N26" s="2" t="s">
        <v>1385</v>
      </c>
      <c r="O26" s="2" t="s">
        <v>1386</v>
      </c>
      <c r="AB26" s="2" t="s">
        <v>1607</v>
      </c>
      <c r="AC26" s="2" t="s">
        <v>1608</v>
      </c>
      <c r="AO26" s="2" t="s">
        <v>1609</v>
      </c>
    </row>
    <row r="27" ht="15.75" customHeight="1">
      <c r="A27" s="2" t="s">
        <v>1610</v>
      </c>
      <c r="B27" s="2" t="s">
        <v>1361</v>
      </c>
      <c r="C27" s="2">
        <v>2017.0</v>
      </c>
      <c r="D27" s="2" t="s">
        <v>1611</v>
      </c>
      <c r="E27" s="2" t="s">
        <v>1612</v>
      </c>
      <c r="F27" s="2" t="s">
        <v>1613</v>
      </c>
      <c r="H27" s="2" t="s">
        <v>1614</v>
      </c>
      <c r="I27" s="2" t="s">
        <v>1615</v>
      </c>
      <c r="J27" s="12" t="str">
        <f>VLOOKUP(I27,'Copy of Enriched Data - IPBES G'!$L$2:$L$229,1,false)</f>
        <v>#N/A</v>
      </c>
      <c r="K27" s="2" t="s">
        <v>1616</v>
      </c>
      <c r="L27" s="2" t="s">
        <v>1617</v>
      </c>
      <c r="M27" s="2" t="s">
        <v>1618</v>
      </c>
      <c r="N27" s="2" t="s">
        <v>1385</v>
      </c>
      <c r="O27" s="2" t="s">
        <v>1386</v>
      </c>
      <c r="Q27" s="2" t="s">
        <v>1619</v>
      </c>
      <c r="S27" s="2" t="s">
        <v>1620</v>
      </c>
      <c r="T27" s="2">
        <v>3.0</v>
      </c>
      <c r="AO27" s="2" t="s">
        <v>1621</v>
      </c>
    </row>
    <row r="28" ht="15.75" customHeight="1">
      <c r="A28" s="2" t="s">
        <v>1622</v>
      </c>
      <c r="B28" s="2" t="s">
        <v>1623</v>
      </c>
      <c r="C28" s="2">
        <v>2011.0</v>
      </c>
      <c r="D28" s="2" t="s">
        <v>1624</v>
      </c>
      <c r="E28" s="2" t="s">
        <v>1625</v>
      </c>
      <c r="J28" s="12" t="str">
        <f>VLOOKUP(I28,'Copy of Enriched Data - IPBES G'!$L$2:$L$229,1,false)</f>
        <v>#N/A</v>
      </c>
      <c r="K28" s="2" t="s">
        <v>1626</v>
      </c>
      <c r="M28" s="2" t="s">
        <v>1627</v>
      </c>
      <c r="N28" s="2" t="s">
        <v>1385</v>
      </c>
      <c r="O28" s="2" t="s">
        <v>1386</v>
      </c>
      <c r="AB28" s="2" t="s">
        <v>1628</v>
      </c>
      <c r="AC28" s="2" t="s">
        <v>1629</v>
      </c>
      <c r="AO28" s="2" t="s">
        <v>1368</v>
      </c>
    </row>
    <row r="29" ht="15.75" customHeight="1">
      <c r="A29" s="2" t="s">
        <v>1630</v>
      </c>
      <c r="B29" s="2" t="s">
        <v>1361</v>
      </c>
      <c r="C29" s="2">
        <v>1999.0</v>
      </c>
      <c r="D29" s="2" t="s">
        <v>1631</v>
      </c>
      <c r="E29" s="2" t="s">
        <v>1632</v>
      </c>
      <c r="F29" s="2" t="s">
        <v>1633</v>
      </c>
      <c r="H29" s="2" t="s">
        <v>1634</v>
      </c>
      <c r="I29" s="2" t="s">
        <v>1635</v>
      </c>
      <c r="J29" s="12" t="str">
        <f>VLOOKUP(I29,'Copy of Enriched Data - IPBES G'!$L$2:$L$229,1,false)</f>
        <v>#N/A</v>
      </c>
      <c r="K29" s="2" t="s">
        <v>1636</v>
      </c>
      <c r="L29" s="2" t="s">
        <v>1637</v>
      </c>
      <c r="M29" s="2" t="s">
        <v>1434</v>
      </c>
      <c r="N29" s="2" t="s">
        <v>1385</v>
      </c>
      <c r="O29" s="2" t="s">
        <v>1386</v>
      </c>
      <c r="Q29" s="2" t="s">
        <v>1638</v>
      </c>
      <c r="S29" s="2" t="s">
        <v>1600</v>
      </c>
      <c r="T29" s="2">
        <v>75.0</v>
      </c>
      <c r="AG29" s="2" t="s">
        <v>1639</v>
      </c>
      <c r="AO29" s="2" t="s">
        <v>1368</v>
      </c>
    </row>
    <row r="30" ht="15.75" customHeight="1">
      <c r="A30" s="2" t="s">
        <v>1640</v>
      </c>
      <c r="B30" s="2" t="s">
        <v>1361</v>
      </c>
      <c r="C30" s="2">
        <v>2017.0</v>
      </c>
      <c r="D30" s="2" t="s">
        <v>1641</v>
      </c>
      <c r="E30" s="2" t="s">
        <v>1642</v>
      </c>
      <c r="F30" s="2" t="s">
        <v>1500</v>
      </c>
      <c r="H30" s="2" t="s">
        <v>1643</v>
      </c>
      <c r="I30" s="2" t="s">
        <v>1644</v>
      </c>
      <c r="J30" s="12" t="str">
        <f>VLOOKUP(I30,'Copy of Enriched Data - IPBES G'!$L$2:$L$229,1,false)</f>
        <v>#N/A</v>
      </c>
      <c r="K30" s="2" t="s">
        <v>1645</v>
      </c>
      <c r="L30" s="2" t="s">
        <v>1646</v>
      </c>
      <c r="M30" s="2" t="s">
        <v>1647</v>
      </c>
      <c r="N30" s="2" t="s">
        <v>1385</v>
      </c>
      <c r="O30" s="2" t="s">
        <v>1386</v>
      </c>
      <c r="Q30" s="2" t="s">
        <v>1648</v>
      </c>
      <c r="S30" s="2" t="s">
        <v>1453</v>
      </c>
      <c r="T30" s="2">
        <v>68.0</v>
      </c>
      <c r="AO30" s="2" t="s">
        <v>1368</v>
      </c>
    </row>
    <row r="31" ht="15.75" customHeight="1">
      <c r="A31" s="2" t="s">
        <v>1649</v>
      </c>
      <c r="B31" s="2" t="s">
        <v>1623</v>
      </c>
      <c r="C31" s="2">
        <v>2016.0</v>
      </c>
      <c r="D31" s="2" t="s">
        <v>1472</v>
      </c>
      <c r="E31" s="2" t="s">
        <v>1650</v>
      </c>
      <c r="J31" s="12" t="str">
        <f>VLOOKUP(I31,'Copy of Enriched Data - IPBES G'!$L$2:$L$229,1,false)</f>
        <v>#N/A</v>
      </c>
      <c r="K31" s="2" t="s">
        <v>1651</v>
      </c>
      <c r="L31" s="2" t="s">
        <v>1652</v>
      </c>
      <c r="M31" s="2" t="s">
        <v>1502</v>
      </c>
      <c r="N31" s="2" t="s">
        <v>1385</v>
      </c>
      <c r="O31" s="2" t="s">
        <v>1386</v>
      </c>
      <c r="AB31" s="2" t="s">
        <v>1653</v>
      </c>
      <c r="AF31" s="2" t="s">
        <v>1654</v>
      </c>
      <c r="AO31" s="2" t="s">
        <v>1368</v>
      </c>
      <c r="BI31" s="2">
        <v>22105.0</v>
      </c>
    </row>
    <row r="32" ht="15.75" customHeight="1">
      <c r="A32" s="2" t="s">
        <v>1655</v>
      </c>
      <c r="B32" s="2" t="s">
        <v>1623</v>
      </c>
      <c r="C32" s="2">
        <v>2017.0</v>
      </c>
      <c r="D32" s="2" t="s">
        <v>1656</v>
      </c>
      <c r="E32" s="2" t="s">
        <v>1657</v>
      </c>
      <c r="J32" s="12" t="str">
        <f>VLOOKUP(I32,'Copy of Enriched Data - IPBES G'!$L$2:$L$229,1,false)</f>
        <v>#N/A</v>
      </c>
      <c r="M32" s="2" t="s">
        <v>1658</v>
      </c>
      <c r="N32" s="2" t="s">
        <v>1385</v>
      </c>
      <c r="O32" s="2" t="s">
        <v>1386</v>
      </c>
      <c r="AB32" s="2" t="s">
        <v>1653</v>
      </c>
      <c r="AO32" s="2" t="s">
        <v>1368</v>
      </c>
    </row>
    <row r="33" ht="15.75" customHeight="1">
      <c r="A33" s="2" t="s">
        <v>1659</v>
      </c>
      <c r="B33" s="2" t="s">
        <v>1361</v>
      </c>
      <c r="C33" s="2">
        <v>2010.0</v>
      </c>
      <c r="D33" s="2" t="s">
        <v>1660</v>
      </c>
      <c r="E33" s="2" t="s">
        <v>1661</v>
      </c>
      <c r="F33" s="2" t="s">
        <v>1662</v>
      </c>
      <c r="H33" s="2" t="s">
        <v>1663</v>
      </c>
      <c r="I33" s="2" t="s">
        <v>1664</v>
      </c>
      <c r="J33" s="12" t="str">
        <f>VLOOKUP(I33,'Copy of Enriched Data - IPBES G'!$L$2:$L$229,1,false)</f>
        <v>#N/A</v>
      </c>
      <c r="K33" s="2" t="s">
        <v>1665</v>
      </c>
      <c r="L33" s="2" t="s">
        <v>1666</v>
      </c>
      <c r="M33" s="2" t="s">
        <v>1667</v>
      </c>
      <c r="N33" s="2" t="s">
        <v>1385</v>
      </c>
      <c r="O33" s="2" t="s">
        <v>1386</v>
      </c>
      <c r="Q33" s="2" t="s">
        <v>1668</v>
      </c>
      <c r="S33" s="2" t="s">
        <v>1506</v>
      </c>
      <c r="T33" s="2">
        <v>115.0</v>
      </c>
      <c r="AO33" s="2" t="s">
        <v>1368</v>
      </c>
    </row>
    <row r="34" ht="15.75" customHeight="1">
      <c r="A34" s="2" t="s">
        <v>1669</v>
      </c>
      <c r="B34" s="2" t="s">
        <v>1361</v>
      </c>
      <c r="C34" s="2">
        <v>2007.0</v>
      </c>
      <c r="D34" s="2" t="s">
        <v>1670</v>
      </c>
      <c r="E34" s="2" t="s">
        <v>1671</v>
      </c>
      <c r="F34" s="2" t="s">
        <v>1672</v>
      </c>
      <c r="H34" s="2" t="s">
        <v>1673</v>
      </c>
      <c r="I34" s="2" t="s">
        <v>1674</v>
      </c>
      <c r="J34" s="12" t="str">
        <f>VLOOKUP(I34,'Copy of Enriched Data - IPBES G'!$L$2:$L$229,1,false)</f>
        <v>#N/A</v>
      </c>
      <c r="K34" s="2" t="s">
        <v>1675</v>
      </c>
      <c r="L34" s="2" t="s">
        <v>1676</v>
      </c>
      <c r="M34" s="2" t="s">
        <v>1677</v>
      </c>
      <c r="N34" s="2" t="s">
        <v>1385</v>
      </c>
      <c r="O34" s="2" t="s">
        <v>1386</v>
      </c>
      <c r="P34" s="2" t="s">
        <v>1678</v>
      </c>
      <c r="Q34" s="2" t="s">
        <v>1679</v>
      </c>
      <c r="S34" s="2" t="s">
        <v>1453</v>
      </c>
      <c r="T34" s="2">
        <v>38.0</v>
      </c>
      <c r="V34" s="2" t="s">
        <v>1672</v>
      </c>
      <c r="AO34" s="2" t="s">
        <v>1368</v>
      </c>
    </row>
    <row r="35" ht="15.75" customHeight="1">
      <c r="A35" s="2" t="s">
        <v>1680</v>
      </c>
      <c r="B35" s="2" t="s">
        <v>1361</v>
      </c>
      <c r="C35" s="2">
        <v>2001.0</v>
      </c>
      <c r="D35" s="2" t="s">
        <v>1681</v>
      </c>
      <c r="E35" s="2" t="s">
        <v>1682</v>
      </c>
      <c r="F35" s="2" t="s">
        <v>1633</v>
      </c>
      <c r="H35" s="2" t="s">
        <v>1634</v>
      </c>
      <c r="I35" s="2" t="s">
        <v>1683</v>
      </c>
      <c r="J35" s="12" t="str">
        <f>VLOOKUP(I35,'Copy of Enriched Data - IPBES G'!$L$2:$L$229,1,false)</f>
        <v>#N/A</v>
      </c>
      <c r="L35" s="2" t="s">
        <v>1684</v>
      </c>
      <c r="M35" s="2" t="s">
        <v>1414</v>
      </c>
      <c r="N35" s="2" t="s">
        <v>1385</v>
      </c>
      <c r="O35" s="2" t="s">
        <v>1386</v>
      </c>
      <c r="Q35" s="2" t="s">
        <v>1685</v>
      </c>
      <c r="S35" s="2" t="s">
        <v>1453</v>
      </c>
      <c r="T35" s="2">
        <v>77.0</v>
      </c>
      <c r="AO35" s="2" t="s">
        <v>1368</v>
      </c>
    </row>
    <row r="36" ht="15.75" customHeight="1">
      <c r="A36" s="2" t="s">
        <v>1691</v>
      </c>
      <c r="B36" s="2" t="s">
        <v>1361</v>
      </c>
      <c r="C36" s="2">
        <v>2008.0</v>
      </c>
      <c r="D36" s="2" t="s">
        <v>1692</v>
      </c>
      <c r="E36" s="2" t="s">
        <v>1693</v>
      </c>
      <c r="F36" s="2" t="s">
        <v>1694</v>
      </c>
      <c r="H36" s="2" t="s">
        <v>1695</v>
      </c>
      <c r="I36" s="2" t="s">
        <v>1696</v>
      </c>
      <c r="J36" s="12" t="str">
        <f>VLOOKUP(I36,'Copy of Enriched Data - IPBES G'!$L$2:$L$229,1,false)</f>
        <v>#N/A</v>
      </c>
      <c r="L36" s="2" t="s">
        <v>1697</v>
      </c>
      <c r="M36" s="2" t="s">
        <v>1458</v>
      </c>
      <c r="N36" s="2" t="s">
        <v>1385</v>
      </c>
      <c r="O36" s="2" t="s">
        <v>1386</v>
      </c>
      <c r="AO36" s="2" t="s">
        <v>1368</v>
      </c>
    </row>
    <row r="37" ht="15.75" customHeight="1">
      <c r="A37" s="2" t="s">
        <v>1698</v>
      </c>
      <c r="B37" s="2" t="s">
        <v>1361</v>
      </c>
      <c r="C37" s="2">
        <v>2002.0</v>
      </c>
      <c r="D37" s="2" t="s">
        <v>1699</v>
      </c>
      <c r="E37" s="2" t="s">
        <v>1700</v>
      </c>
      <c r="F37" s="2" t="s">
        <v>1701</v>
      </c>
      <c r="H37" s="2" t="s">
        <v>1702</v>
      </c>
      <c r="I37" s="2" t="s">
        <v>1703</v>
      </c>
      <c r="J37" s="12" t="str">
        <f>VLOOKUP(I37,'Copy of Enriched Data - IPBES G'!$L$2:$L$229,1,false)</f>
        <v>#N/A</v>
      </c>
      <c r="L37" s="2" t="s">
        <v>1704</v>
      </c>
      <c r="M37" s="2" t="s">
        <v>1493</v>
      </c>
      <c r="N37" s="2" t="s">
        <v>1385</v>
      </c>
      <c r="O37" s="2" t="s">
        <v>1386</v>
      </c>
      <c r="AO37" s="2" t="s">
        <v>1368</v>
      </c>
    </row>
    <row r="38" ht="15.75" customHeight="1">
      <c r="A38" s="2" t="s">
        <v>1712</v>
      </c>
      <c r="B38" s="2" t="s">
        <v>1361</v>
      </c>
      <c r="C38" s="2">
        <v>2012.0</v>
      </c>
      <c r="D38" s="2" t="s">
        <v>1713</v>
      </c>
      <c r="E38" s="2" t="s">
        <v>1714</v>
      </c>
      <c r="F38" s="2" t="s">
        <v>1715</v>
      </c>
      <c r="H38" s="2" t="s">
        <v>1716</v>
      </c>
      <c r="I38" s="2" t="s">
        <v>1717</v>
      </c>
      <c r="J38" s="12" t="str">
        <f>VLOOKUP(I38,'Copy of Enriched Data - IPBES G'!$L$2:$L$229,1,false)</f>
        <v>#N/A</v>
      </c>
      <c r="L38" s="2" t="s">
        <v>1718</v>
      </c>
      <c r="M38" s="2" t="s">
        <v>1405</v>
      </c>
      <c r="N38" s="2" t="s">
        <v>1385</v>
      </c>
      <c r="O38" s="2" t="s">
        <v>1386</v>
      </c>
      <c r="Q38" s="2" t="s">
        <v>1719</v>
      </c>
      <c r="S38" s="2" t="s">
        <v>1462</v>
      </c>
      <c r="T38" s="2">
        <v>99.0</v>
      </c>
      <c r="AO38" s="2" t="s">
        <v>1368</v>
      </c>
    </row>
    <row r="39" ht="15.75" customHeight="1">
      <c r="A39" s="2" t="s">
        <v>1720</v>
      </c>
      <c r="B39" s="2" t="s">
        <v>1361</v>
      </c>
      <c r="C39" s="2">
        <v>2006.0</v>
      </c>
      <c r="D39" s="2" t="s">
        <v>1721</v>
      </c>
      <c r="E39" s="2" t="s">
        <v>1722</v>
      </c>
      <c r="F39" s="2" t="s">
        <v>1723</v>
      </c>
      <c r="H39" s="2" t="s">
        <v>1724</v>
      </c>
      <c r="I39" s="2" t="s">
        <v>1725</v>
      </c>
      <c r="J39" s="12" t="str">
        <f>VLOOKUP(I39,'Copy of Enriched Data - IPBES G'!$L$2:$L$229,1,false)</f>
        <v>#N/A</v>
      </c>
      <c r="L39" s="2" t="s">
        <v>1726</v>
      </c>
      <c r="M39" s="2" t="s">
        <v>1727</v>
      </c>
      <c r="N39" s="2" t="s">
        <v>1385</v>
      </c>
      <c r="O39" s="2" t="s">
        <v>1386</v>
      </c>
      <c r="AO39" s="2" t="s">
        <v>1368</v>
      </c>
    </row>
    <row r="40" ht="15.75" customHeight="1">
      <c r="A40" s="2" t="s">
        <v>1728</v>
      </c>
      <c r="B40" s="2" t="s">
        <v>1361</v>
      </c>
      <c r="C40" s="2">
        <v>1999.0</v>
      </c>
      <c r="D40" s="2" t="s">
        <v>1729</v>
      </c>
      <c r="E40" s="2" t="s">
        <v>1730</v>
      </c>
      <c r="F40" s="2" t="s">
        <v>1731</v>
      </c>
      <c r="H40" s="2" t="s">
        <v>1732</v>
      </c>
      <c r="I40" s="2" t="s">
        <v>1733</v>
      </c>
      <c r="J40" s="12" t="str">
        <f>VLOOKUP(I40,'Copy of Enriched Data - IPBES G'!$L$2:$L$229,1,false)</f>
        <v>#N/A</v>
      </c>
      <c r="L40" s="2" t="s">
        <v>1734</v>
      </c>
      <c r="M40" s="2" t="s">
        <v>1434</v>
      </c>
      <c r="N40" s="2" t="s">
        <v>1385</v>
      </c>
      <c r="O40" s="2" t="s">
        <v>1386</v>
      </c>
      <c r="AO40" s="2" t="s">
        <v>1368</v>
      </c>
    </row>
    <row r="41" ht="15.75" customHeight="1">
      <c r="A41" s="2" t="s">
        <v>1735</v>
      </c>
      <c r="B41" s="2" t="s">
        <v>1361</v>
      </c>
      <c r="C41" s="2">
        <v>2015.0</v>
      </c>
      <c r="D41" s="2" t="s">
        <v>1736</v>
      </c>
      <c r="E41" s="2" t="s">
        <v>1737</v>
      </c>
      <c r="F41" s="2" t="s">
        <v>1425</v>
      </c>
      <c r="H41" s="2" t="s">
        <v>1738</v>
      </c>
      <c r="I41" s="2" t="s">
        <v>1739</v>
      </c>
      <c r="J41" s="12" t="str">
        <f>VLOOKUP(I41,'Copy of Enriched Data - IPBES G'!$L$2:$L$229,1,false)</f>
        <v>#N/A</v>
      </c>
      <c r="L41" s="2" t="s">
        <v>1740</v>
      </c>
      <c r="M41" s="2" t="s">
        <v>1373</v>
      </c>
      <c r="N41" s="2" t="s">
        <v>1385</v>
      </c>
      <c r="O41" s="2" t="s">
        <v>1386</v>
      </c>
      <c r="AO41" s="2" t="s">
        <v>1368</v>
      </c>
    </row>
    <row r="42" ht="15.75" customHeight="1">
      <c r="A42" s="2" t="s">
        <v>1741</v>
      </c>
      <c r="B42" s="2" t="s">
        <v>1361</v>
      </c>
      <c r="C42" s="2">
        <v>1999.0</v>
      </c>
      <c r="D42" s="2" t="s">
        <v>1742</v>
      </c>
      <c r="E42" s="2" t="s">
        <v>1743</v>
      </c>
      <c r="F42" s="2" t="s">
        <v>1744</v>
      </c>
      <c r="H42" s="2" t="s">
        <v>1745</v>
      </c>
      <c r="I42" s="2" t="s">
        <v>1746</v>
      </c>
      <c r="J42" s="12" t="str">
        <f>VLOOKUP(I42,'Copy of Enriched Data - IPBES G'!$L$2:$L$229,1,false)</f>
        <v>#N/A</v>
      </c>
      <c r="L42" s="2" t="s">
        <v>1747</v>
      </c>
      <c r="M42" s="2" t="s">
        <v>1434</v>
      </c>
      <c r="N42" s="2" t="s">
        <v>1385</v>
      </c>
      <c r="O42" s="2" t="s">
        <v>1386</v>
      </c>
      <c r="AO42" s="2" t="s">
        <v>1368</v>
      </c>
    </row>
    <row r="43" ht="15.75" customHeight="1">
      <c r="A43" s="2" t="s">
        <v>1748</v>
      </c>
      <c r="B43" s="2" t="s">
        <v>1361</v>
      </c>
      <c r="C43" s="2">
        <v>2002.0</v>
      </c>
      <c r="D43" s="2" t="s">
        <v>1749</v>
      </c>
      <c r="E43" s="2" t="s">
        <v>1750</v>
      </c>
      <c r="J43" s="12" t="str">
        <f>VLOOKUP(I43,'Copy of Enriched Data - IPBES G'!$L$2:$L$229,1,false)</f>
        <v>#N/A</v>
      </c>
      <c r="M43" s="2" t="s">
        <v>1493</v>
      </c>
      <c r="N43" s="2" t="s">
        <v>1385</v>
      </c>
      <c r="O43" s="2" t="s">
        <v>1386</v>
      </c>
      <c r="Q43" s="2" t="s">
        <v>1751</v>
      </c>
      <c r="S43" s="2" t="s">
        <v>1462</v>
      </c>
      <c r="T43" s="2">
        <v>16.0</v>
      </c>
      <c r="AO43" s="2" t="s">
        <v>1368</v>
      </c>
    </row>
    <row r="44" ht="15.75" customHeight="1">
      <c r="A44" s="2" t="s">
        <v>1752</v>
      </c>
      <c r="B44" s="2" t="s">
        <v>1396</v>
      </c>
      <c r="C44" s="2">
        <v>2016.0</v>
      </c>
      <c r="D44" s="2" t="s">
        <v>1753</v>
      </c>
      <c r="E44" s="2" t="s">
        <v>1754</v>
      </c>
      <c r="G44" s="2" t="s">
        <v>1755</v>
      </c>
      <c r="J44" s="12" t="str">
        <f>VLOOKUP(I44,'Copy of Enriched Data - IPBES G'!$L$2:$L$229,1,false)</f>
        <v>#N/A</v>
      </c>
      <c r="L44" s="2" t="s">
        <v>1756</v>
      </c>
      <c r="M44" s="2" t="s">
        <v>1502</v>
      </c>
      <c r="N44" s="2" t="s">
        <v>1385</v>
      </c>
      <c r="O44" s="2" t="s">
        <v>1386</v>
      </c>
      <c r="AO44" s="2" t="s">
        <v>1368</v>
      </c>
    </row>
    <row r="45" ht="15.75" customHeight="1">
      <c r="A45" s="2" t="s">
        <v>1757</v>
      </c>
      <c r="B45" s="2" t="s">
        <v>1361</v>
      </c>
      <c r="C45" s="2">
        <v>2018.0</v>
      </c>
      <c r="D45" s="2" t="s">
        <v>1758</v>
      </c>
      <c r="E45" s="2" t="s">
        <v>1759</v>
      </c>
      <c r="F45" s="2" t="s">
        <v>1760</v>
      </c>
      <c r="H45" s="2" t="s">
        <v>1761</v>
      </c>
      <c r="I45" s="2" t="s">
        <v>1762</v>
      </c>
      <c r="J45" s="12" t="str">
        <f>VLOOKUP(I45,'Copy of Enriched Data - IPBES G'!$L$2:$L$229,1,false)</f>
        <v>#N/A</v>
      </c>
      <c r="L45" s="2" t="s">
        <v>1763</v>
      </c>
      <c r="M45" s="2" t="s">
        <v>1420</v>
      </c>
      <c r="N45" s="2" t="s">
        <v>1385</v>
      </c>
      <c r="O45" s="2" t="s">
        <v>1386</v>
      </c>
      <c r="Q45" s="2" t="s">
        <v>1764</v>
      </c>
      <c r="T45" s="2">
        <v>143.0</v>
      </c>
      <c r="AO45" s="2" t="s">
        <v>1368</v>
      </c>
    </row>
    <row r="46" ht="15.75" customHeight="1">
      <c r="A46" s="2" t="s">
        <v>1765</v>
      </c>
      <c r="B46" s="2" t="s">
        <v>1766</v>
      </c>
      <c r="C46" s="2">
        <v>2014.0</v>
      </c>
      <c r="D46" s="2" t="s">
        <v>1767</v>
      </c>
      <c r="E46" s="2" t="s">
        <v>1768</v>
      </c>
      <c r="F46" s="2" t="s">
        <v>1769</v>
      </c>
      <c r="J46" s="12" t="str">
        <f>VLOOKUP(I46,'Copy of Enriched Data - IPBES G'!$L$2:$L$229,1,false)</f>
        <v>#N/A</v>
      </c>
      <c r="M46" s="2" t="s">
        <v>1476</v>
      </c>
      <c r="N46" s="2" t="s">
        <v>1385</v>
      </c>
      <c r="O46" s="2" t="s">
        <v>1386</v>
      </c>
      <c r="Q46" s="2" t="s">
        <v>1770</v>
      </c>
      <c r="AB46" s="2" t="s">
        <v>1771</v>
      </c>
      <c r="AO46" s="2" t="s">
        <v>1368</v>
      </c>
    </row>
    <row r="47" ht="15.75" customHeight="1">
      <c r="A47" s="2" t="s">
        <v>1772</v>
      </c>
      <c r="B47" s="2" t="s">
        <v>1361</v>
      </c>
      <c r="C47" s="2">
        <v>2013.0</v>
      </c>
      <c r="D47" s="2" t="s">
        <v>1773</v>
      </c>
      <c r="E47" s="2" t="s">
        <v>1774</v>
      </c>
      <c r="F47" s="2" t="s">
        <v>1363</v>
      </c>
      <c r="H47" s="2" t="s">
        <v>1775</v>
      </c>
      <c r="I47" s="2" t="s">
        <v>1776</v>
      </c>
      <c r="J47" s="12" t="str">
        <f>VLOOKUP(I47,'Copy of Enriched Data - IPBES G'!$L$2:$L$229,1,false)</f>
        <v>#N/A</v>
      </c>
      <c r="L47" s="2" t="s">
        <v>1777</v>
      </c>
      <c r="M47" s="2" t="s">
        <v>1429</v>
      </c>
      <c r="N47" s="2" t="s">
        <v>1385</v>
      </c>
      <c r="O47" s="2" t="s">
        <v>1386</v>
      </c>
      <c r="Q47" s="2" t="s">
        <v>1778</v>
      </c>
      <c r="S47" s="2" t="s">
        <v>1779</v>
      </c>
      <c r="T47" s="2">
        <v>368.0</v>
      </c>
      <c r="AO47" s="2" t="s">
        <v>1368</v>
      </c>
    </row>
    <row r="48" ht="15.75" customHeight="1">
      <c r="A48" s="2" t="s">
        <v>1780</v>
      </c>
      <c r="B48" s="2" t="s">
        <v>1781</v>
      </c>
      <c r="C48" s="2">
        <v>2014.0</v>
      </c>
      <c r="D48" s="2" t="s">
        <v>1782</v>
      </c>
      <c r="E48" s="2" t="s">
        <v>1783</v>
      </c>
      <c r="J48" s="12" t="str">
        <f>VLOOKUP(I48,'Copy of Enriched Data - IPBES G'!$L$2:$L$229,1,false)</f>
        <v>#N/A</v>
      </c>
      <c r="L48" s="2" t="s">
        <v>1784</v>
      </c>
      <c r="M48" s="2" t="s">
        <v>1476</v>
      </c>
      <c r="N48" s="2" t="s">
        <v>1385</v>
      </c>
      <c r="O48" s="2" t="s">
        <v>1386</v>
      </c>
      <c r="AC48" s="2" t="s">
        <v>1785</v>
      </c>
      <c r="AO48" s="2" t="s">
        <v>1368</v>
      </c>
    </row>
    <row r="49" ht="15.75" customHeight="1">
      <c r="A49" s="2" t="s">
        <v>1786</v>
      </c>
      <c r="B49" s="2" t="s">
        <v>1361</v>
      </c>
      <c r="C49" s="2">
        <v>2008.0</v>
      </c>
      <c r="D49" s="2" t="s">
        <v>1787</v>
      </c>
      <c r="E49" s="2" t="s">
        <v>1788</v>
      </c>
      <c r="F49" s="2" t="s">
        <v>1789</v>
      </c>
      <c r="H49" s="2" t="s">
        <v>1790</v>
      </c>
      <c r="I49" s="2" t="s">
        <v>1791</v>
      </c>
      <c r="J49" s="12" t="str">
        <f>VLOOKUP(I49,'Copy of Enriched Data - IPBES G'!$L$2:$L$229,1,false)</f>
        <v>#N/A</v>
      </c>
      <c r="L49" s="2" t="s">
        <v>1792</v>
      </c>
      <c r="M49" s="2" t="s">
        <v>1458</v>
      </c>
      <c r="N49" s="2" t="s">
        <v>1385</v>
      </c>
      <c r="O49" s="2" t="s">
        <v>1386</v>
      </c>
      <c r="AO49" s="2" t="s">
        <v>1368</v>
      </c>
    </row>
    <row r="50" ht="15.75" customHeight="1">
      <c r="A50" s="2" t="s">
        <v>1799</v>
      </c>
      <c r="B50" s="2" t="s">
        <v>1766</v>
      </c>
      <c r="C50" s="2">
        <v>1997.0</v>
      </c>
      <c r="D50" s="2" t="s">
        <v>1800</v>
      </c>
      <c r="E50" s="2" t="s">
        <v>1801</v>
      </c>
      <c r="F50" s="2" t="s">
        <v>1802</v>
      </c>
      <c r="J50" s="12" t="str">
        <f>VLOOKUP(I50,'Copy of Enriched Data - IPBES G'!$L$2:$L$229,1,false)</f>
        <v>#N/A</v>
      </c>
      <c r="L50" s="2" t="s">
        <v>1803</v>
      </c>
      <c r="M50" s="2" t="s">
        <v>1804</v>
      </c>
      <c r="N50" s="2" t="s">
        <v>1385</v>
      </c>
      <c r="O50" s="2" t="s">
        <v>1386</v>
      </c>
      <c r="AO50" s="2" t="s">
        <v>1368</v>
      </c>
    </row>
    <row r="51" ht="15.75" customHeight="1">
      <c r="A51" s="2" t="s">
        <v>1805</v>
      </c>
      <c r="B51" s="2" t="s">
        <v>1396</v>
      </c>
      <c r="C51" s="2">
        <v>2013.0</v>
      </c>
      <c r="D51" s="2" t="s">
        <v>1806</v>
      </c>
      <c r="E51" s="2" t="s">
        <v>1807</v>
      </c>
      <c r="J51" s="12" t="str">
        <f>VLOOKUP(I51,'Copy of Enriched Data - IPBES G'!$L$2:$L$229,1,false)</f>
        <v>#N/A</v>
      </c>
      <c r="L51" s="2" t="s">
        <v>1808</v>
      </c>
      <c r="M51" s="2" t="s">
        <v>1429</v>
      </c>
      <c r="N51" s="2" t="s">
        <v>1385</v>
      </c>
      <c r="O51" s="2" t="s">
        <v>1386</v>
      </c>
      <c r="AB51" s="2" t="s">
        <v>1809</v>
      </c>
      <c r="AO51" s="2" t="s">
        <v>1368</v>
      </c>
    </row>
    <row r="52" ht="15.75" customHeight="1">
      <c r="A52" s="2" t="s">
        <v>1810</v>
      </c>
      <c r="B52" s="2" t="s">
        <v>1361</v>
      </c>
      <c r="C52" s="2">
        <v>2011.0</v>
      </c>
      <c r="D52" s="2" t="s">
        <v>1811</v>
      </c>
      <c r="E52" s="2" t="s">
        <v>1812</v>
      </c>
      <c r="F52" s="2" t="s">
        <v>1425</v>
      </c>
      <c r="H52" s="2" t="s">
        <v>1426</v>
      </c>
      <c r="I52" s="2" t="s">
        <v>1813</v>
      </c>
      <c r="J52" s="12" t="str">
        <f>VLOOKUP(I52,'Copy of Enriched Data - IPBES G'!$L$2:$L$229,1,false)</f>
        <v>#N/A</v>
      </c>
      <c r="M52" s="2" t="s">
        <v>1627</v>
      </c>
      <c r="N52" s="2" t="s">
        <v>1385</v>
      </c>
      <c r="O52" s="2" t="s">
        <v>1386</v>
      </c>
      <c r="Q52" s="2" t="s">
        <v>1814</v>
      </c>
      <c r="S52" s="2" t="s">
        <v>1462</v>
      </c>
      <c r="T52" s="2">
        <v>61.0</v>
      </c>
      <c r="AO52" s="2" t="s">
        <v>1368</v>
      </c>
    </row>
    <row r="53" ht="15.75" customHeight="1">
      <c r="A53" s="2" t="s">
        <v>1815</v>
      </c>
      <c r="B53" s="2" t="s">
        <v>1396</v>
      </c>
      <c r="C53" s="2">
        <v>1985.0</v>
      </c>
      <c r="D53" s="2" t="s">
        <v>1816</v>
      </c>
      <c r="E53" s="2" t="s">
        <v>1817</v>
      </c>
      <c r="G53" s="2" t="s">
        <v>1818</v>
      </c>
      <c r="J53" s="12" t="str">
        <f>VLOOKUP(I53,'Copy of Enriched Data - IPBES G'!$L$2:$L$229,1,false)</f>
        <v>#N/A</v>
      </c>
      <c r="L53" s="2" t="s">
        <v>1819</v>
      </c>
      <c r="M53" s="2" t="s">
        <v>1820</v>
      </c>
      <c r="N53" s="2" t="s">
        <v>1385</v>
      </c>
      <c r="O53" s="2" t="s">
        <v>1386</v>
      </c>
      <c r="R53" s="2">
        <v>266.0</v>
      </c>
      <c r="AB53" s="2" t="s">
        <v>1821</v>
      </c>
      <c r="AO53" s="2" t="s">
        <v>1368</v>
      </c>
    </row>
    <row r="54" ht="15.75" customHeight="1">
      <c r="A54" s="2" t="s">
        <v>1822</v>
      </c>
      <c r="B54" s="2" t="s">
        <v>1361</v>
      </c>
      <c r="C54" s="2">
        <v>2009.0</v>
      </c>
      <c r="D54" s="2" t="s">
        <v>1823</v>
      </c>
      <c r="E54" s="2" t="s">
        <v>1824</v>
      </c>
      <c r="F54" s="2" t="s">
        <v>1825</v>
      </c>
      <c r="I54" s="2" t="s">
        <v>1826</v>
      </c>
      <c r="J54" s="12" t="str">
        <f>VLOOKUP(I54,'Copy of Enriched Data - IPBES G'!$L$2:$L$229,1,false)</f>
        <v>#N/A</v>
      </c>
      <c r="M54" s="2" t="s">
        <v>1364</v>
      </c>
      <c r="N54" s="2" t="s">
        <v>1385</v>
      </c>
      <c r="O54" s="2" t="s">
        <v>1386</v>
      </c>
      <c r="Q54" s="2" t="s">
        <v>1827</v>
      </c>
      <c r="S54" s="2" t="s">
        <v>1506</v>
      </c>
      <c r="T54" s="2">
        <v>91.0</v>
      </c>
      <c r="AO54" s="2" t="s">
        <v>1368</v>
      </c>
    </row>
    <row r="55" ht="15.75" customHeight="1">
      <c r="A55" s="2" t="s">
        <v>1828</v>
      </c>
      <c r="B55" s="2" t="s">
        <v>1361</v>
      </c>
      <c r="C55" s="2">
        <v>2010.0</v>
      </c>
      <c r="D55" s="2" t="s">
        <v>1829</v>
      </c>
      <c r="E55" s="2" t="s">
        <v>1830</v>
      </c>
      <c r="F55" s="2" t="s">
        <v>1831</v>
      </c>
      <c r="H55" s="2" t="s">
        <v>1832</v>
      </c>
      <c r="I55" s="2" t="s">
        <v>1833</v>
      </c>
      <c r="J55" s="12" t="str">
        <f>VLOOKUP(I55,'Copy of Enriched Data - IPBES G'!$L$2:$L$229,1,false)</f>
        <v>#N/A</v>
      </c>
      <c r="L55" s="2" t="s">
        <v>1834</v>
      </c>
      <c r="M55" s="2" t="s">
        <v>1835</v>
      </c>
      <c r="N55" s="2" t="s">
        <v>1385</v>
      </c>
      <c r="O55" s="2" t="s">
        <v>1386</v>
      </c>
      <c r="Q55" s="2" t="s">
        <v>1836</v>
      </c>
      <c r="S55" s="2" t="s">
        <v>1506</v>
      </c>
      <c r="T55" s="2">
        <v>19.0</v>
      </c>
      <c r="AO55" s="2" t="s">
        <v>1368</v>
      </c>
    </row>
    <row r="56" ht="15.75" customHeight="1">
      <c r="A56" s="2" t="s">
        <v>1837</v>
      </c>
      <c r="B56" s="2" t="s">
        <v>1361</v>
      </c>
      <c r="C56" s="2">
        <v>1997.0</v>
      </c>
      <c r="D56" s="2" t="s">
        <v>1838</v>
      </c>
      <c r="E56" s="2" t="s">
        <v>1839</v>
      </c>
      <c r="F56" s="2" t="s">
        <v>1840</v>
      </c>
      <c r="I56" s="2" t="s">
        <v>1841</v>
      </c>
      <c r="J56" s="12" t="str">
        <f>VLOOKUP(I56,'Copy of Enriched Data - IPBES G'!$L$2:$L$229,1,false)</f>
        <v>#N/A</v>
      </c>
      <c r="M56" s="2" t="s">
        <v>1804</v>
      </c>
      <c r="N56" s="2" t="s">
        <v>1842</v>
      </c>
      <c r="O56" s="2" t="s">
        <v>1843</v>
      </c>
      <c r="Q56" s="2" t="s">
        <v>1844</v>
      </c>
      <c r="S56" s="2">
        <v>3.0</v>
      </c>
      <c r="T56" s="2">
        <v>28.0</v>
      </c>
      <c r="AO56" s="2" t="s">
        <v>1368</v>
      </c>
    </row>
    <row r="57" ht="15.75" customHeight="1">
      <c r="A57" s="2" t="s">
        <v>1845</v>
      </c>
      <c r="B57" s="2" t="s">
        <v>1361</v>
      </c>
      <c r="C57" s="2">
        <v>2014.0</v>
      </c>
      <c r="D57" s="2" t="s">
        <v>1846</v>
      </c>
      <c r="E57" s="2" t="s">
        <v>1847</v>
      </c>
      <c r="F57" s="2" t="s">
        <v>1848</v>
      </c>
      <c r="J57" s="12" t="str">
        <f>VLOOKUP(I57,'Copy of Enriched Data - IPBES G'!$L$2:$L$229,1,false)</f>
        <v>#N/A</v>
      </c>
      <c r="K57" s="2" t="s">
        <v>1849</v>
      </c>
      <c r="L57" s="2" t="s">
        <v>1850</v>
      </c>
      <c r="M57" s="2" t="s">
        <v>1476</v>
      </c>
      <c r="N57" s="2" t="s">
        <v>1851</v>
      </c>
      <c r="O57" s="2" t="s">
        <v>1852</v>
      </c>
      <c r="AO57" s="2" t="s">
        <v>1368</v>
      </c>
    </row>
    <row r="58" ht="15.75" customHeight="1">
      <c r="A58" s="2" t="s">
        <v>1853</v>
      </c>
      <c r="B58" s="2" t="s">
        <v>1361</v>
      </c>
      <c r="C58" s="2">
        <v>2016.0</v>
      </c>
      <c r="D58" s="2" t="s">
        <v>1854</v>
      </c>
      <c r="E58" s="2" t="s">
        <v>1855</v>
      </c>
      <c r="F58" s="2" t="s">
        <v>1856</v>
      </c>
      <c r="I58" s="2" t="s">
        <v>1857</v>
      </c>
      <c r="J58" s="12" t="str">
        <f>VLOOKUP(I58,'Copy of Enriched Data - IPBES G'!$L$2:$L$229,1,false)</f>
        <v>#N/A</v>
      </c>
      <c r="M58" s="2" t="s">
        <v>1502</v>
      </c>
      <c r="N58" s="2" t="s">
        <v>1858</v>
      </c>
      <c r="O58" s="2" t="s">
        <v>1859</v>
      </c>
      <c r="Q58" s="2" t="s">
        <v>1860</v>
      </c>
      <c r="S58" s="2">
        <v>3.0</v>
      </c>
      <c r="T58" s="2">
        <v>6.0</v>
      </c>
      <c r="AO58" s="2" t="s">
        <v>1368</v>
      </c>
    </row>
    <row r="59" ht="15.75" customHeight="1">
      <c r="A59" s="2" t="s">
        <v>1861</v>
      </c>
      <c r="B59" s="2" t="s">
        <v>1361</v>
      </c>
      <c r="C59" s="2">
        <v>2001.0</v>
      </c>
      <c r="D59" s="2" t="s">
        <v>1846</v>
      </c>
      <c r="E59" s="2" t="s">
        <v>1862</v>
      </c>
      <c r="F59" s="2" t="s">
        <v>1863</v>
      </c>
      <c r="H59" s="2" t="s">
        <v>1864</v>
      </c>
      <c r="I59" s="2" t="s">
        <v>1865</v>
      </c>
      <c r="J59" s="12" t="str">
        <f>VLOOKUP(I59,'Copy of Enriched Data - IPBES G'!$L$2:$L$229,1,false)</f>
        <v>#N/A</v>
      </c>
      <c r="K59" s="2" t="s">
        <v>1866</v>
      </c>
      <c r="M59" s="2" t="s">
        <v>1867</v>
      </c>
      <c r="N59" s="2" t="s">
        <v>1868</v>
      </c>
      <c r="O59" s="2" t="s">
        <v>1869</v>
      </c>
      <c r="P59" s="2" t="s">
        <v>1870</v>
      </c>
      <c r="Q59" s="2" t="s">
        <v>1871</v>
      </c>
      <c r="S59" s="2">
        <v>10.0</v>
      </c>
      <c r="T59" s="2">
        <v>29.0</v>
      </c>
      <c r="V59" s="2" t="s">
        <v>1863</v>
      </c>
      <c r="AD59" s="2" t="s">
        <v>1540</v>
      </c>
      <c r="AI59" s="2" t="s">
        <v>1541</v>
      </c>
      <c r="AO59" s="2" t="s">
        <v>1872</v>
      </c>
    </row>
    <row r="60" ht="15.75" customHeight="1">
      <c r="A60" s="2" t="s">
        <v>1873</v>
      </c>
      <c r="B60" s="2" t="s">
        <v>1361</v>
      </c>
      <c r="C60" s="2">
        <v>2009.0</v>
      </c>
      <c r="D60" s="2" t="s">
        <v>1874</v>
      </c>
      <c r="E60" s="2" t="s">
        <v>1875</v>
      </c>
      <c r="F60" s="2" t="s">
        <v>1876</v>
      </c>
      <c r="H60" s="2" t="s">
        <v>1877</v>
      </c>
      <c r="I60" s="2" t="s">
        <v>1878</v>
      </c>
      <c r="J60" s="12" t="str">
        <f>VLOOKUP(I60,'Copy of Enriched Data - IPBES G'!$L$2:$L$229,1,false)</f>
        <v>#N/A</v>
      </c>
      <c r="K60" s="2" t="s">
        <v>1879</v>
      </c>
      <c r="M60" s="2" t="s">
        <v>1880</v>
      </c>
      <c r="N60" s="2" t="s">
        <v>1881</v>
      </c>
      <c r="O60" s="2" t="s">
        <v>1882</v>
      </c>
      <c r="P60" s="2" t="s">
        <v>1883</v>
      </c>
      <c r="Q60" s="2" t="s">
        <v>1884</v>
      </c>
      <c r="S60" s="2">
        <v>2.0</v>
      </c>
      <c r="T60" s="2">
        <v>4.0</v>
      </c>
      <c r="V60" s="2" t="s">
        <v>1876</v>
      </c>
      <c r="AD60" s="2" t="s">
        <v>1540</v>
      </c>
      <c r="AI60" s="2" t="s">
        <v>1541</v>
      </c>
      <c r="AO60" s="2" t="s">
        <v>1885</v>
      </c>
      <c r="AQ60" s="2" t="s">
        <v>1886</v>
      </c>
    </row>
    <row r="61" ht="15.75" customHeight="1">
      <c r="A61" s="2" t="s">
        <v>1887</v>
      </c>
      <c r="B61" s="2" t="s">
        <v>1361</v>
      </c>
      <c r="C61" s="2">
        <v>2014.0</v>
      </c>
      <c r="D61" s="2" t="s">
        <v>1888</v>
      </c>
      <c r="E61" s="2" t="s">
        <v>1889</v>
      </c>
      <c r="F61" s="2" t="s">
        <v>1890</v>
      </c>
      <c r="H61" s="2" t="s">
        <v>1891</v>
      </c>
      <c r="I61" s="2" t="s">
        <v>1892</v>
      </c>
      <c r="J61" s="12" t="str">
        <f>VLOOKUP(I61,'Copy of Enriched Data - IPBES G'!$L$2:$L$229,1,false)</f>
        <v>#N/A</v>
      </c>
      <c r="K61" s="2" t="s">
        <v>1893</v>
      </c>
      <c r="L61" s="2" t="s">
        <v>1894</v>
      </c>
      <c r="M61" s="2" t="s">
        <v>1476</v>
      </c>
      <c r="N61" s="2" t="s">
        <v>1385</v>
      </c>
      <c r="O61" s="2" t="s">
        <v>1386</v>
      </c>
      <c r="Q61" s="2" t="s">
        <v>1895</v>
      </c>
      <c r="S61" s="2">
        <v>4.0</v>
      </c>
      <c r="T61" s="2">
        <v>12.0</v>
      </c>
      <c r="AO61" s="2" t="s">
        <v>1368</v>
      </c>
    </row>
    <row r="62" ht="15.75" customHeight="1">
      <c r="A62" s="2" t="s">
        <v>1902</v>
      </c>
      <c r="B62" s="2" t="s">
        <v>1361</v>
      </c>
      <c r="C62" s="2">
        <v>2005.0</v>
      </c>
      <c r="D62" s="2" t="s">
        <v>1903</v>
      </c>
      <c r="E62" s="2" t="s">
        <v>1904</v>
      </c>
      <c r="F62" s="2" t="s">
        <v>1863</v>
      </c>
      <c r="H62" s="2" t="s">
        <v>1864</v>
      </c>
      <c r="I62" s="2" t="s">
        <v>1905</v>
      </c>
      <c r="J62" s="12" t="str">
        <f>VLOOKUP(I62,'Copy of Enriched Data - IPBES G'!$L$2:$L$229,1,false)</f>
        <v>#N/A</v>
      </c>
      <c r="L62" s="2" t="s">
        <v>1906</v>
      </c>
      <c r="M62" s="2" t="s">
        <v>1394</v>
      </c>
      <c r="N62" s="2" t="s">
        <v>1385</v>
      </c>
      <c r="O62" s="2" t="s">
        <v>1386</v>
      </c>
      <c r="Q62" s="2" t="s">
        <v>1907</v>
      </c>
      <c r="S62" s="2">
        <v>7.0</v>
      </c>
      <c r="T62" s="2">
        <v>33.0</v>
      </c>
      <c r="AO62" s="2" t="s">
        <v>1368</v>
      </c>
    </row>
    <row r="63" ht="15.75" customHeight="1">
      <c r="A63" s="2" t="s">
        <v>1908</v>
      </c>
      <c r="B63" s="2" t="s">
        <v>1361</v>
      </c>
      <c r="C63" s="2">
        <v>2009.0</v>
      </c>
      <c r="D63" s="2" t="s">
        <v>1909</v>
      </c>
      <c r="E63" s="2" t="s">
        <v>1910</v>
      </c>
      <c r="F63" s="2" t="s">
        <v>1760</v>
      </c>
      <c r="H63" s="2" t="s">
        <v>1761</v>
      </c>
      <c r="I63" s="2" t="s">
        <v>1911</v>
      </c>
      <c r="J63" s="12" t="str">
        <f>VLOOKUP(I63,'Copy of Enriched Data - IPBES G'!$L$2:$L$229,1,false)</f>
        <v>#N/A</v>
      </c>
      <c r="L63" s="2" t="s">
        <v>1912</v>
      </c>
      <c r="M63" s="2" t="s">
        <v>1364</v>
      </c>
      <c r="N63" s="2" t="s">
        <v>1385</v>
      </c>
      <c r="O63" s="2" t="s">
        <v>1386</v>
      </c>
      <c r="Q63" s="2" t="s">
        <v>1913</v>
      </c>
      <c r="S63" s="2">
        <v>11.0</v>
      </c>
      <c r="T63" s="2">
        <v>68.0</v>
      </c>
      <c r="AO63" s="2" t="s">
        <v>1368</v>
      </c>
    </row>
    <row r="64" ht="15.75" customHeight="1">
      <c r="A64" s="2" t="s">
        <v>1914</v>
      </c>
      <c r="B64" s="2" t="s">
        <v>1361</v>
      </c>
      <c r="C64" s="2">
        <v>2008.0</v>
      </c>
      <c r="D64" s="2" t="s">
        <v>1915</v>
      </c>
      <c r="E64" s="2" t="s">
        <v>1916</v>
      </c>
      <c r="F64" s="2" t="s">
        <v>1510</v>
      </c>
      <c r="H64" s="2" t="s">
        <v>1917</v>
      </c>
      <c r="I64" s="2" t="s">
        <v>1918</v>
      </c>
      <c r="J64" s="12" t="str">
        <f>VLOOKUP(I64,'Copy of Enriched Data - IPBES G'!$L$2:$L$229,1,false)</f>
        <v>#N/A</v>
      </c>
      <c r="L64" s="2" t="s">
        <v>1919</v>
      </c>
      <c r="M64" s="2" t="s">
        <v>1458</v>
      </c>
      <c r="N64" s="2" t="s">
        <v>1385</v>
      </c>
      <c r="O64" s="2" t="s">
        <v>1386</v>
      </c>
      <c r="Q64" s="2" t="s">
        <v>1920</v>
      </c>
      <c r="S64" s="2">
        <v>5882.0</v>
      </c>
      <c r="T64" s="2">
        <v>320.0</v>
      </c>
      <c r="AO64" s="2" t="s">
        <v>1368</v>
      </c>
    </row>
    <row r="65" ht="15.75" customHeight="1">
      <c r="A65" s="2" t="s">
        <v>1921</v>
      </c>
      <c r="B65" s="2" t="s">
        <v>1361</v>
      </c>
      <c r="C65" s="2">
        <v>2010.0</v>
      </c>
      <c r="D65" s="2" t="s">
        <v>1922</v>
      </c>
      <c r="E65" s="2" t="s">
        <v>1923</v>
      </c>
      <c r="F65" s="2" t="s">
        <v>1924</v>
      </c>
      <c r="I65" s="2" t="s">
        <v>1925</v>
      </c>
      <c r="J65" s="12" t="str">
        <f>VLOOKUP(I65,'Copy of Enriched Data - IPBES G'!$L$2:$L$229,1,false)</f>
        <v>#N/A</v>
      </c>
      <c r="M65" s="2" t="s">
        <v>1449</v>
      </c>
      <c r="N65" s="2" t="s">
        <v>1926</v>
      </c>
      <c r="O65" s="2" t="s">
        <v>1927</v>
      </c>
      <c r="Q65" s="2" t="s">
        <v>1928</v>
      </c>
      <c r="S65" s="2" t="s">
        <v>1480</v>
      </c>
      <c r="T65" s="2">
        <v>45.0</v>
      </c>
      <c r="AO65" s="2" t="s">
        <v>1368</v>
      </c>
    </row>
    <row r="66" ht="15.75" customHeight="1">
      <c r="A66" s="2" t="s">
        <v>1929</v>
      </c>
      <c r="B66" s="2" t="s">
        <v>1361</v>
      </c>
      <c r="C66" s="2">
        <v>2012.0</v>
      </c>
      <c r="D66" s="2" t="s">
        <v>1930</v>
      </c>
      <c r="E66" s="2" t="s">
        <v>1931</v>
      </c>
      <c r="F66" s="2" t="s">
        <v>1932</v>
      </c>
      <c r="I66" s="2" t="s">
        <v>1933</v>
      </c>
      <c r="J66" s="12" t="str">
        <f>VLOOKUP(I66,'Copy of Enriched Data - IPBES G'!$L$2:$L$229,1,false)</f>
        <v>#N/A</v>
      </c>
      <c r="M66" s="2" t="s">
        <v>1405</v>
      </c>
      <c r="N66" s="2" t="s">
        <v>1934</v>
      </c>
      <c r="O66" s="2" t="s">
        <v>1935</v>
      </c>
      <c r="Q66" s="2" t="s">
        <v>1936</v>
      </c>
      <c r="S66" s="2" t="s">
        <v>1937</v>
      </c>
      <c r="T66" s="2">
        <v>39.0</v>
      </c>
      <c r="AO66" s="2" t="s">
        <v>1368</v>
      </c>
    </row>
    <row r="67" ht="15.75" customHeight="1">
      <c r="A67" s="2" t="s">
        <v>1938</v>
      </c>
      <c r="B67" s="2" t="s">
        <v>1361</v>
      </c>
      <c r="C67" s="2">
        <v>2013.0</v>
      </c>
      <c r="D67" s="2" t="s">
        <v>1939</v>
      </c>
      <c r="E67" s="2" t="s">
        <v>1940</v>
      </c>
      <c r="F67" s="2" t="s">
        <v>1941</v>
      </c>
      <c r="I67" s="2" t="s">
        <v>1942</v>
      </c>
      <c r="J67" s="12" t="str">
        <f>VLOOKUP(I67,'Copy of Enriched Data - IPBES G'!$L$2:$L$229,1,false)</f>
        <v>#N/A</v>
      </c>
      <c r="M67" s="2" t="s">
        <v>1429</v>
      </c>
      <c r="N67" s="2" t="s">
        <v>1943</v>
      </c>
      <c r="O67" s="2" t="s">
        <v>1944</v>
      </c>
      <c r="Q67" s="2" t="s">
        <v>1945</v>
      </c>
      <c r="S67" s="2" t="s">
        <v>1443</v>
      </c>
      <c r="T67" s="2">
        <v>47.0</v>
      </c>
      <c r="AO67" s="2" t="s">
        <v>1368</v>
      </c>
    </row>
    <row r="68" ht="15.75" customHeight="1">
      <c r="A68" s="2" t="s">
        <v>1946</v>
      </c>
      <c r="B68" s="2" t="s">
        <v>1361</v>
      </c>
      <c r="C68" s="2">
        <v>2014.0</v>
      </c>
      <c r="D68" s="2" t="s">
        <v>1947</v>
      </c>
      <c r="E68" s="2" t="s">
        <v>1948</v>
      </c>
      <c r="F68" s="2" t="s">
        <v>1949</v>
      </c>
      <c r="I68" s="2" t="s">
        <v>1950</v>
      </c>
      <c r="J68" s="12" t="str">
        <f>VLOOKUP(I68,'Copy of Enriched Data - IPBES G'!$L$2:$L$229,1,false)</f>
        <v>#N/A</v>
      </c>
      <c r="M68" s="2" t="s">
        <v>1476</v>
      </c>
      <c r="N68" s="2" t="s">
        <v>1951</v>
      </c>
      <c r="O68" s="2" t="s">
        <v>1952</v>
      </c>
      <c r="Q68" s="2" t="s">
        <v>1953</v>
      </c>
      <c r="T68" s="2">
        <v>9.0</v>
      </c>
      <c r="AO68" s="2" t="s">
        <v>1368</v>
      </c>
    </row>
    <row r="69" ht="15.75" customHeight="1">
      <c r="A69" s="2" t="s">
        <v>1954</v>
      </c>
      <c r="B69" s="2" t="s">
        <v>1361</v>
      </c>
      <c r="C69" s="2">
        <v>1998.0</v>
      </c>
      <c r="D69" s="2" t="s">
        <v>1955</v>
      </c>
      <c r="E69" s="2" t="s">
        <v>1956</v>
      </c>
      <c r="F69" s="2" t="s">
        <v>1425</v>
      </c>
      <c r="I69" s="2" t="s">
        <v>1957</v>
      </c>
      <c r="J69" s="12" t="str">
        <f>VLOOKUP(I69,'Copy of Enriched Data - IPBES G'!$L$2:$L$229,1,false)</f>
        <v>#N/A</v>
      </c>
      <c r="M69" s="2" t="s">
        <v>1958</v>
      </c>
      <c r="N69" s="2" t="s">
        <v>1959</v>
      </c>
      <c r="O69" s="2" t="s">
        <v>1960</v>
      </c>
      <c r="Q69" s="2" t="s">
        <v>1961</v>
      </c>
      <c r="S69" s="2" t="s">
        <v>1453</v>
      </c>
      <c r="T69" s="2">
        <v>35.0</v>
      </c>
      <c r="AO69" s="2" t="s">
        <v>1368</v>
      </c>
    </row>
    <row r="70" ht="15.75" customHeight="1">
      <c r="A70" s="2" t="s">
        <v>1962</v>
      </c>
      <c r="B70" s="2" t="s">
        <v>1361</v>
      </c>
      <c r="C70" s="2">
        <v>2009.0</v>
      </c>
      <c r="D70" s="2" t="s">
        <v>1963</v>
      </c>
      <c r="E70" s="2" t="s">
        <v>1964</v>
      </c>
      <c r="F70" s="2" t="s">
        <v>1965</v>
      </c>
      <c r="I70" s="2" t="s">
        <v>1966</v>
      </c>
      <c r="J70" s="12" t="str">
        <f>VLOOKUP(I70,'Copy of Enriched Data - IPBES G'!$L$2:$L$229,1,false)</f>
        <v>#N/A</v>
      </c>
      <c r="M70" s="2" t="s">
        <v>1364</v>
      </c>
      <c r="N70" s="2" t="s">
        <v>1967</v>
      </c>
      <c r="O70" s="2" t="s">
        <v>1968</v>
      </c>
      <c r="Q70" s="2" t="s">
        <v>1969</v>
      </c>
      <c r="S70" s="2" t="s">
        <v>1462</v>
      </c>
      <c r="T70" s="2">
        <v>17.0</v>
      </c>
      <c r="AO70" s="2" t="s">
        <v>1368</v>
      </c>
    </row>
    <row r="71" ht="15.75" customHeight="1">
      <c r="A71" s="2" t="s">
        <v>1970</v>
      </c>
      <c r="B71" s="2" t="s">
        <v>1361</v>
      </c>
      <c r="C71" s="2">
        <v>2009.0</v>
      </c>
      <c r="D71" s="2" t="s">
        <v>1971</v>
      </c>
      <c r="E71" s="2" t="s">
        <v>1972</v>
      </c>
      <c r="F71" s="2" t="s">
        <v>1500</v>
      </c>
      <c r="I71" s="2" t="s">
        <v>1973</v>
      </c>
      <c r="J71" s="12" t="str">
        <f>VLOOKUP(I71,'Copy of Enriched Data - IPBES G'!$L$2:$L$229,1,false)</f>
        <v>#N/A</v>
      </c>
      <c r="M71" s="2" t="s">
        <v>1364</v>
      </c>
      <c r="N71" s="2" t="s">
        <v>1974</v>
      </c>
      <c r="O71" s="2" t="s">
        <v>1975</v>
      </c>
      <c r="Q71" s="2" t="s">
        <v>1976</v>
      </c>
      <c r="S71" s="2" t="s">
        <v>1453</v>
      </c>
      <c r="T71" s="2">
        <v>43.0</v>
      </c>
      <c r="AO71" s="2" t="s">
        <v>1368</v>
      </c>
    </row>
    <row r="72" ht="15.75" customHeight="1">
      <c r="A72" s="2" t="s">
        <v>1977</v>
      </c>
      <c r="B72" s="2" t="s">
        <v>1361</v>
      </c>
      <c r="C72" s="2">
        <v>2015.0</v>
      </c>
      <c r="D72" s="2" t="s">
        <v>1978</v>
      </c>
      <c r="E72" s="2" t="s">
        <v>1979</v>
      </c>
      <c r="F72" s="2" t="s">
        <v>1980</v>
      </c>
      <c r="I72" s="2" t="s">
        <v>1981</v>
      </c>
      <c r="J72" s="12" t="str">
        <f>VLOOKUP(I72,'Copy of Enriched Data - IPBES G'!$L$2:$L$229,1,false)</f>
        <v>#N/A</v>
      </c>
      <c r="M72" s="2" t="s">
        <v>1373</v>
      </c>
      <c r="N72" s="2" t="s">
        <v>1982</v>
      </c>
      <c r="O72" s="2" t="s">
        <v>1983</v>
      </c>
      <c r="Q72" s="2" t="s">
        <v>1984</v>
      </c>
      <c r="T72" s="2">
        <v>58.0</v>
      </c>
      <c r="AO72" s="2" t="s">
        <v>1368</v>
      </c>
    </row>
    <row r="73" ht="15.75" customHeight="1">
      <c r="A73" s="2" t="s">
        <v>1985</v>
      </c>
      <c r="B73" s="2" t="s">
        <v>1361</v>
      </c>
      <c r="C73" s="2">
        <v>2014.0</v>
      </c>
      <c r="D73" s="2" t="s">
        <v>1986</v>
      </c>
      <c r="E73" s="2" t="s">
        <v>1987</v>
      </c>
      <c r="F73" s="2" t="s">
        <v>1988</v>
      </c>
      <c r="J73" s="12" t="str">
        <f>VLOOKUP(I73,'Copy of Enriched Data - IPBES G'!$L$2:$L$229,1,false)</f>
        <v>#N/A</v>
      </c>
      <c r="M73" s="2" t="s">
        <v>1476</v>
      </c>
      <c r="N73" s="2" t="s">
        <v>1989</v>
      </c>
      <c r="O73" s="2" t="s">
        <v>1990</v>
      </c>
      <c r="Q73" s="2" t="s">
        <v>1991</v>
      </c>
      <c r="T73" s="2">
        <v>4.0</v>
      </c>
      <c r="AO73" s="2" t="s">
        <v>1368</v>
      </c>
    </row>
    <row r="74" ht="15.75" customHeight="1">
      <c r="A74" s="2" t="s">
        <v>1992</v>
      </c>
      <c r="B74" s="2" t="s">
        <v>1361</v>
      </c>
      <c r="C74" s="2">
        <v>2005.0</v>
      </c>
      <c r="D74" s="2" t="s">
        <v>1993</v>
      </c>
      <c r="E74" s="2" t="s">
        <v>1994</v>
      </c>
      <c r="F74" s="2" t="s">
        <v>1995</v>
      </c>
      <c r="I74" s="2" t="s">
        <v>1996</v>
      </c>
      <c r="J74" s="12" t="str">
        <f>VLOOKUP(I74,'Copy of Enriched Data - IPBES G'!$L$2:$L$229,1,false)</f>
        <v>#N/A</v>
      </c>
      <c r="M74" s="2" t="s">
        <v>1394</v>
      </c>
      <c r="N74" s="2" t="s">
        <v>1997</v>
      </c>
      <c r="O74" s="2" t="s">
        <v>1998</v>
      </c>
      <c r="Q74" s="2" t="s">
        <v>1999</v>
      </c>
      <c r="S74" s="2" t="s">
        <v>1600</v>
      </c>
      <c r="T74" s="2">
        <v>30.0</v>
      </c>
      <c r="AO74" s="2" t="s">
        <v>1368</v>
      </c>
    </row>
    <row r="75" ht="15.75" customHeight="1">
      <c r="A75" s="2" t="s">
        <v>2000</v>
      </c>
      <c r="B75" s="2" t="s">
        <v>1361</v>
      </c>
      <c r="C75" s="2">
        <v>2002.0</v>
      </c>
      <c r="D75" s="2" t="s">
        <v>2001</v>
      </c>
      <c r="E75" s="2" t="s">
        <v>2002</v>
      </c>
      <c r="F75" s="2" t="s">
        <v>2003</v>
      </c>
      <c r="I75" s="2" t="s">
        <v>2004</v>
      </c>
      <c r="J75" s="12" t="str">
        <f>VLOOKUP(I75,'Copy of Enriched Data - IPBES G'!$L$2:$L$229,1,false)</f>
        <v>#N/A</v>
      </c>
      <c r="M75" s="2" t="s">
        <v>1493</v>
      </c>
      <c r="N75" s="2" t="s">
        <v>2005</v>
      </c>
      <c r="O75" s="2" t="s">
        <v>2006</v>
      </c>
      <c r="Q75" s="2" t="s">
        <v>2007</v>
      </c>
      <c r="S75" s="2" t="s">
        <v>1937</v>
      </c>
      <c r="T75" s="2">
        <v>110.0</v>
      </c>
      <c r="AO75" s="2" t="s">
        <v>1368</v>
      </c>
    </row>
    <row r="76" ht="15.75" customHeight="1">
      <c r="A76" s="2" t="s">
        <v>2008</v>
      </c>
      <c r="B76" s="2" t="s">
        <v>1361</v>
      </c>
      <c r="C76" s="2">
        <v>1954.0</v>
      </c>
      <c r="D76" s="2" t="s">
        <v>2009</v>
      </c>
      <c r="E76" s="2" t="s">
        <v>2010</v>
      </c>
      <c r="F76" s="2" t="s">
        <v>2011</v>
      </c>
      <c r="I76" s="2" t="s">
        <v>2012</v>
      </c>
      <c r="J76" s="12" t="str">
        <f>VLOOKUP(I76,'Copy of Enriched Data - IPBES G'!$L$2:$L$229,1,false)</f>
        <v>#N/A</v>
      </c>
      <c r="M76" s="2" t="s">
        <v>2013</v>
      </c>
      <c r="N76" s="2" t="s">
        <v>2014</v>
      </c>
      <c r="O76" s="2" t="s">
        <v>2015</v>
      </c>
      <c r="Q76" s="2" t="s">
        <v>2016</v>
      </c>
      <c r="S76" s="2" t="s">
        <v>1453</v>
      </c>
      <c r="T76" s="2">
        <v>62.0</v>
      </c>
      <c r="AO76" s="2" t="s">
        <v>1368</v>
      </c>
    </row>
    <row r="77" ht="15.75" customHeight="1">
      <c r="A77" s="2" t="s">
        <v>2017</v>
      </c>
      <c r="B77" s="2" t="s">
        <v>1361</v>
      </c>
      <c r="C77" s="2">
        <v>2005.0</v>
      </c>
      <c r="D77" s="2" t="s">
        <v>2018</v>
      </c>
      <c r="E77" s="2" t="s">
        <v>2019</v>
      </c>
      <c r="F77" s="2" t="s">
        <v>2020</v>
      </c>
      <c r="I77" s="2" t="s">
        <v>2021</v>
      </c>
      <c r="J77" s="12" t="str">
        <f>VLOOKUP(I77,'Copy of Enriched Data - IPBES G'!$L$2:$L$229,1,false)</f>
        <v>#N/A</v>
      </c>
      <c r="M77" s="2" t="s">
        <v>1394</v>
      </c>
      <c r="N77" s="2" t="s">
        <v>2022</v>
      </c>
      <c r="O77" s="2" t="s">
        <v>2023</v>
      </c>
      <c r="Q77" s="2" t="s">
        <v>2024</v>
      </c>
      <c r="S77" s="2" t="s">
        <v>1506</v>
      </c>
      <c r="T77" s="2">
        <v>21.0</v>
      </c>
      <c r="AO77" s="2" t="s">
        <v>1368</v>
      </c>
    </row>
    <row r="78" ht="15.75" customHeight="1">
      <c r="A78" s="2" t="s">
        <v>2025</v>
      </c>
      <c r="B78" s="2" t="s">
        <v>1361</v>
      </c>
      <c r="C78" s="2">
        <v>2002.0</v>
      </c>
      <c r="D78" s="2" t="s">
        <v>2026</v>
      </c>
      <c r="E78" s="2" t="s">
        <v>2027</v>
      </c>
      <c r="F78" s="2" t="s">
        <v>2028</v>
      </c>
      <c r="I78" s="2" t="s">
        <v>2029</v>
      </c>
      <c r="J78" s="12" t="str">
        <f>VLOOKUP(I78,'Copy of Enriched Data - IPBES G'!$L$2:$L$229,1,false)</f>
        <v>#N/A</v>
      </c>
      <c r="M78" s="2" t="s">
        <v>1493</v>
      </c>
      <c r="N78" s="2" t="s">
        <v>2030</v>
      </c>
      <c r="O78" s="2" t="s">
        <v>2031</v>
      </c>
      <c r="Q78" s="2" t="s">
        <v>2032</v>
      </c>
      <c r="S78" s="2" t="s">
        <v>1600</v>
      </c>
      <c r="T78" s="2">
        <v>84.0</v>
      </c>
      <c r="AO78" s="2" t="s">
        <v>1368</v>
      </c>
    </row>
    <row r="79" ht="15.75" customHeight="1">
      <c r="A79" s="2" t="s">
        <v>2033</v>
      </c>
      <c r="B79" s="2" t="s">
        <v>1361</v>
      </c>
      <c r="C79" s="2">
        <v>1971.0</v>
      </c>
      <c r="D79" s="2" t="s">
        <v>2034</v>
      </c>
      <c r="E79" s="2" t="s">
        <v>2035</v>
      </c>
      <c r="F79" s="2" t="s">
        <v>2036</v>
      </c>
      <c r="I79" s="2" t="s">
        <v>2037</v>
      </c>
      <c r="J79" s="12" t="str">
        <f>VLOOKUP(I79,'Copy of Enriched Data - IPBES G'!$L$2:$L$229,1,false)</f>
        <v>#N/A</v>
      </c>
      <c r="M79" s="2" t="s">
        <v>2038</v>
      </c>
      <c r="N79" s="2" t="s">
        <v>2039</v>
      </c>
      <c r="O79" s="2" t="s">
        <v>2040</v>
      </c>
      <c r="Q79" s="2" t="s">
        <v>2041</v>
      </c>
      <c r="S79" s="2" t="s">
        <v>2042</v>
      </c>
      <c r="T79" s="2">
        <v>21.0</v>
      </c>
      <c r="AO79" s="2" t="s">
        <v>1368</v>
      </c>
    </row>
    <row r="80" ht="15.75" customHeight="1">
      <c r="A80" s="2" t="s">
        <v>2043</v>
      </c>
      <c r="B80" s="2" t="s">
        <v>1361</v>
      </c>
      <c r="C80" s="2">
        <v>2003.0</v>
      </c>
      <c r="D80" s="2" t="s">
        <v>2044</v>
      </c>
      <c r="E80" s="2" t="s">
        <v>2045</v>
      </c>
      <c r="F80" s="2" t="s">
        <v>2046</v>
      </c>
      <c r="J80" s="12" t="str">
        <f>VLOOKUP(I80,'Copy of Enriched Data - IPBES G'!$L$2:$L$229,1,false)</f>
        <v>#N/A</v>
      </c>
      <c r="M80" s="2" t="s">
        <v>1606</v>
      </c>
      <c r="N80" s="2" t="s">
        <v>2047</v>
      </c>
      <c r="O80" s="2" t="s">
        <v>2048</v>
      </c>
      <c r="Q80" s="2" t="s">
        <v>2049</v>
      </c>
      <c r="AO80" s="2" t="s">
        <v>1368</v>
      </c>
    </row>
    <row r="81" ht="15.75" customHeight="1">
      <c r="A81" s="2" t="s">
        <v>2050</v>
      </c>
      <c r="B81" s="2" t="s">
        <v>1361</v>
      </c>
      <c r="C81" s="2">
        <v>2014.0</v>
      </c>
      <c r="D81" s="2" t="s">
        <v>2051</v>
      </c>
      <c r="E81" s="2" t="s">
        <v>2052</v>
      </c>
      <c r="F81" s="2" t="s">
        <v>2053</v>
      </c>
      <c r="I81" s="2" t="s">
        <v>2054</v>
      </c>
      <c r="J81" s="12" t="str">
        <f>VLOOKUP(I81,'Copy of Enriched Data - IPBES G'!$L$2:$L$229,1,false)</f>
        <v>#N/A</v>
      </c>
      <c r="M81" s="2" t="s">
        <v>1476</v>
      </c>
      <c r="N81" s="2" t="s">
        <v>2055</v>
      </c>
      <c r="O81" s="2" t="s">
        <v>2056</v>
      </c>
      <c r="Q81" s="2" t="s">
        <v>2057</v>
      </c>
      <c r="S81" s="2" t="s">
        <v>1537</v>
      </c>
      <c r="T81" s="2">
        <v>12.0</v>
      </c>
      <c r="AO81" s="2" t="s">
        <v>1368</v>
      </c>
    </row>
    <row r="82" ht="15.75" customHeight="1">
      <c r="A82" s="2" t="s">
        <v>2069</v>
      </c>
      <c r="B82" s="2" t="s">
        <v>1361</v>
      </c>
      <c r="C82" s="2">
        <v>2012.0</v>
      </c>
      <c r="D82" s="2" t="s">
        <v>2070</v>
      </c>
      <c r="E82" s="2" t="s">
        <v>2071</v>
      </c>
      <c r="F82" s="2" t="s">
        <v>2072</v>
      </c>
      <c r="I82" s="2" t="s">
        <v>2073</v>
      </c>
      <c r="J82" s="12" t="str">
        <f>VLOOKUP(I82,'Copy of Enriched Data - IPBES G'!$L$2:$L$229,1,false)</f>
        <v>#N/A</v>
      </c>
      <c r="M82" s="2" t="s">
        <v>1405</v>
      </c>
      <c r="N82" s="2" t="s">
        <v>2074</v>
      </c>
      <c r="O82" s="2" t="s">
        <v>2075</v>
      </c>
      <c r="Q82" s="2" t="s">
        <v>2076</v>
      </c>
      <c r="S82" s="2" t="s">
        <v>1462</v>
      </c>
      <c r="T82" s="2">
        <v>28.0</v>
      </c>
      <c r="AO82" s="2" t="s">
        <v>1368</v>
      </c>
    </row>
    <row r="83" ht="15.75" customHeight="1">
      <c r="A83" s="2" t="s">
        <v>2077</v>
      </c>
      <c r="B83" s="2" t="s">
        <v>1361</v>
      </c>
      <c r="C83" s="2">
        <v>2008.0</v>
      </c>
      <c r="D83" s="2" t="s">
        <v>2078</v>
      </c>
      <c r="E83" s="2" t="s">
        <v>2079</v>
      </c>
      <c r="F83" s="2" t="s">
        <v>1510</v>
      </c>
      <c r="I83" s="2" t="s">
        <v>2080</v>
      </c>
      <c r="J83" s="12" t="str">
        <f>VLOOKUP(I83,'Copy of Enriched Data - IPBES G'!$L$2:$L$229,1,false)</f>
        <v>#N/A</v>
      </c>
      <c r="M83" s="2" t="s">
        <v>1458</v>
      </c>
      <c r="N83" s="2" t="s">
        <v>2081</v>
      </c>
      <c r="O83" s="2" t="s">
        <v>2082</v>
      </c>
      <c r="S83" s="2" t="s">
        <v>2083</v>
      </c>
      <c r="T83" s="2">
        <v>319.0</v>
      </c>
      <c r="AO83" s="2" t="s">
        <v>1621</v>
      </c>
    </row>
    <row r="84" ht="15.75" customHeight="1">
      <c r="A84" s="2" t="s">
        <v>2084</v>
      </c>
      <c r="B84" s="2" t="s">
        <v>1361</v>
      </c>
      <c r="C84" s="2">
        <v>1995.0</v>
      </c>
      <c r="D84" s="2" t="s">
        <v>2085</v>
      </c>
      <c r="E84" s="2" t="s">
        <v>2086</v>
      </c>
      <c r="F84" s="2" t="s">
        <v>2087</v>
      </c>
      <c r="I84" s="2" t="s">
        <v>2088</v>
      </c>
      <c r="J84" s="12" t="str">
        <f>VLOOKUP(I84,'Copy of Enriched Data - IPBES G'!$L$2:$L$229,1,false)</f>
        <v>#N/A</v>
      </c>
      <c r="M84" s="2" t="s">
        <v>2089</v>
      </c>
      <c r="N84" s="2" t="s">
        <v>2090</v>
      </c>
      <c r="O84" s="2" t="s">
        <v>2091</v>
      </c>
      <c r="Q84" s="2" t="s">
        <v>2092</v>
      </c>
      <c r="S84" s="2" t="s">
        <v>1453</v>
      </c>
      <c r="T84" s="2">
        <v>110.0</v>
      </c>
      <c r="AO84" s="2" t="s">
        <v>1368</v>
      </c>
    </row>
    <row r="85" ht="15.75" customHeight="1">
      <c r="A85" s="2" t="s">
        <v>2093</v>
      </c>
      <c r="B85" s="2" t="s">
        <v>1361</v>
      </c>
      <c r="C85" s="2">
        <v>2013.0</v>
      </c>
      <c r="D85" s="2" t="s">
        <v>2094</v>
      </c>
      <c r="E85" s="2" t="s">
        <v>2095</v>
      </c>
      <c r="F85" s="2" t="s">
        <v>2096</v>
      </c>
      <c r="I85" s="2" t="s">
        <v>2097</v>
      </c>
      <c r="J85" s="12" t="str">
        <f>VLOOKUP(I85,'Copy of Enriched Data - IPBES G'!$L$2:$L$229,1,false)</f>
        <v>#N/A</v>
      </c>
      <c r="M85" s="2" t="s">
        <v>1429</v>
      </c>
      <c r="N85" s="2" t="s">
        <v>2098</v>
      </c>
      <c r="O85" s="2" t="s">
        <v>2099</v>
      </c>
      <c r="Q85" s="2" t="s">
        <v>2100</v>
      </c>
      <c r="S85" s="2" t="s">
        <v>1600</v>
      </c>
      <c r="T85" s="2">
        <v>48.0</v>
      </c>
      <c r="AO85" s="2" t="s">
        <v>1368</v>
      </c>
    </row>
    <row r="86" ht="15.75" customHeight="1">
      <c r="A86" s="2" t="s">
        <v>2101</v>
      </c>
      <c r="B86" s="2" t="s">
        <v>1361</v>
      </c>
      <c r="C86" s="2">
        <v>2014.0</v>
      </c>
      <c r="D86" s="2" t="s">
        <v>2102</v>
      </c>
      <c r="E86" s="2" t="s">
        <v>2103</v>
      </c>
      <c r="F86" s="2" t="s">
        <v>2104</v>
      </c>
      <c r="I86" s="2" t="s">
        <v>2105</v>
      </c>
      <c r="J86" s="12" t="str">
        <f>VLOOKUP(I86,'Copy of Enriched Data - IPBES G'!$L$2:$L$229,1,false)</f>
        <v>#N/A</v>
      </c>
      <c r="M86" s="2" t="s">
        <v>1476</v>
      </c>
      <c r="N86" s="2" t="s">
        <v>2106</v>
      </c>
      <c r="O86" s="2" t="s">
        <v>2107</v>
      </c>
      <c r="Q86" s="2" t="s">
        <v>2108</v>
      </c>
      <c r="S86" s="2" t="s">
        <v>1453</v>
      </c>
      <c r="T86" s="2">
        <v>5.0</v>
      </c>
      <c r="AO86" s="2" t="s">
        <v>1368</v>
      </c>
    </row>
    <row r="87" ht="15.75" customHeight="1">
      <c r="A87" s="2" t="s">
        <v>2109</v>
      </c>
      <c r="B87" s="2" t="s">
        <v>1361</v>
      </c>
      <c r="C87" s="2">
        <v>1999.0</v>
      </c>
      <c r="D87" s="2" t="s">
        <v>2110</v>
      </c>
      <c r="E87" s="2" t="s">
        <v>2111</v>
      </c>
      <c r="F87" s="2" t="s">
        <v>2112</v>
      </c>
      <c r="I87" s="2" t="s">
        <v>2113</v>
      </c>
      <c r="J87" s="12" t="str">
        <f>VLOOKUP(I87,'Copy of Enriched Data - IPBES G'!$L$2:$L$229,1,false)</f>
        <v>#N/A</v>
      </c>
      <c r="M87" s="2" t="s">
        <v>1434</v>
      </c>
      <c r="N87" s="2" t="s">
        <v>2114</v>
      </c>
      <c r="O87" s="2" t="s">
        <v>2115</v>
      </c>
      <c r="Q87" s="2" t="s">
        <v>2116</v>
      </c>
      <c r="S87" s="2" t="s">
        <v>1453</v>
      </c>
      <c r="T87" s="2">
        <v>20.0</v>
      </c>
      <c r="AO87" s="2" t="s">
        <v>1368</v>
      </c>
    </row>
    <row r="88" ht="15.75" customHeight="1">
      <c r="A88" s="2" t="s">
        <v>2125</v>
      </c>
      <c r="B88" s="2" t="s">
        <v>1361</v>
      </c>
      <c r="C88" s="2">
        <v>2013.0</v>
      </c>
      <c r="D88" s="2" t="s">
        <v>2126</v>
      </c>
      <c r="E88" s="2" t="s">
        <v>2127</v>
      </c>
      <c r="F88" s="2" t="s">
        <v>1510</v>
      </c>
      <c r="H88" s="2" t="s">
        <v>1546</v>
      </c>
      <c r="I88" s="2" t="s">
        <v>2128</v>
      </c>
      <c r="J88" s="12" t="str">
        <f>VLOOKUP(I88,'Copy of Enriched Data - IPBES G'!$L$2:$L$229,1,false)</f>
        <v>#N/A</v>
      </c>
      <c r="K88" s="2" t="s">
        <v>2129</v>
      </c>
      <c r="L88" s="2" t="s">
        <v>2130</v>
      </c>
      <c r="M88" s="2" t="s">
        <v>2131</v>
      </c>
      <c r="N88" s="2" t="s">
        <v>2132</v>
      </c>
      <c r="O88" s="2" t="s">
        <v>2133</v>
      </c>
      <c r="P88" s="2" t="s">
        <v>2134</v>
      </c>
      <c r="Q88" s="2" t="s">
        <v>2135</v>
      </c>
      <c r="S88" s="2" t="s">
        <v>2136</v>
      </c>
      <c r="T88" s="2">
        <v>342.0</v>
      </c>
      <c r="V88" s="2" t="s">
        <v>1510</v>
      </c>
      <c r="AD88" s="2" t="s">
        <v>1540</v>
      </c>
      <c r="AI88" s="2" t="s">
        <v>1541</v>
      </c>
      <c r="AO88" s="2" t="s">
        <v>2137</v>
      </c>
    </row>
    <row r="89" ht="15.75" customHeight="1">
      <c r="A89" s="2" t="s">
        <v>2138</v>
      </c>
      <c r="B89" s="2" t="s">
        <v>1623</v>
      </c>
      <c r="C89" s="2">
        <v>2015.0</v>
      </c>
      <c r="D89" s="2" t="s">
        <v>2139</v>
      </c>
      <c r="E89" s="2" t="s">
        <v>2140</v>
      </c>
      <c r="J89" s="12" t="str">
        <f>VLOOKUP(I89,'Copy of Enriched Data - IPBES G'!$L$2:$L$229,1,false)</f>
        <v>#N/A</v>
      </c>
      <c r="K89" s="2" t="s">
        <v>2141</v>
      </c>
      <c r="M89" s="2" t="s">
        <v>1373</v>
      </c>
      <c r="N89" s="2" t="s">
        <v>2142</v>
      </c>
      <c r="O89" s="2" t="s">
        <v>2143</v>
      </c>
      <c r="Q89" s="2" t="s">
        <v>2144</v>
      </c>
      <c r="AB89" s="2" t="s">
        <v>2145</v>
      </c>
      <c r="AC89" s="2" t="s">
        <v>2146</v>
      </c>
      <c r="AO89" s="2" t="s">
        <v>1872</v>
      </c>
    </row>
    <row r="90" ht="15.75" customHeight="1">
      <c r="A90" s="2" t="s">
        <v>2170</v>
      </c>
      <c r="B90" s="2" t="s">
        <v>1361</v>
      </c>
      <c r="C90" s="2">
        <v>2005.0</v>
      </c>
      <c r="D90" s="2" t="s">
        <v>2171</v>
      </c>
      <c r="E90" s="2" t="s">
        <v>2172</v>
      </c>
      <c r="F90" s="2" t="s">
        <v>2020</v>
      </c>
      <c r="H90" s="2" t="s">
        <v>2173</v>
      </c>
      <c r="I90" s="2" t="s">
        <v>2174</v>
      </c>
      <c r="J90" s="12" t="str">
        <f>VLOOKUP(I90,'Copy of Enriched Data - IPBES G'!$L$2:$L$229,1,false)</f>
        <v>#N/A</v>
      </c>
      <c r="K90" s="2" t="s">
        <v>2175</v>
      </c>
      <c r="M90" s="2" t="s">
        <v>2176</v>
      </c>
      <c r="N90" s="2" t="s">
        <v>2177</v>
      </c>
      <c r="O90" s="2" t="s">
        <v>2178</v>
      </c>
      <c r="P90" s="2" t="s">
        <v>2179</v>
      </c>
      <c r="Q90" s="2" t="s">
        <v>2180</v>
      </c>
      <c r="S90" s="2" t="s">
        <v>1506</v>
      </c>
      <c r="T90" s="2">
        <v>21.0</v>
      </c>
      <c r="V90" s="2" t="s">
        <v>2020</v>
      </c>
      <c r="W90" s="2" t="s">
        <v>2181</v>
      </c>
      <c r="AD90" s="2" t="s">
        <v>1540</v>
      </c>
      <c r="AI90" s="2" t="s">
        <v>1541</v>
      </c>
      <c r="AO90" s="2" t="s">
        <v>1872</v>
      </c>
    </row>
    <row r="91" ht="15.75" customHeight="1">
      <c r="A91" s="2" t="s">
        <v>2182</v>
      </c>
      <c r="B91" s="2" t="s">
        <v>1396</v>
      </c>
      <c r="C91" s="2">
        <v>2012.0</v>
      </c>
      <c r="D91" s="2" t="s">
        <v>2183</v>
      </c>
      <c r="E91" s="2" t="s">
        <v>2184</v>
      </c>
      <c r="G91" s="2" t="s">
        <v>2185</v>
      </c>
      <c r="J91" s="12" t="str">
        <f>VLOOKUP(I91,'Copy of Enriched Data - IPBES G'!$L$2:$L$229,1,false)</f>
        <v>#N/A</v>
      </c>
      <c r="L91" s="2" t="s">
        <v>2186</v>
      </c>
      <c r="M91" s="2" t="s">
        <v>1405</v>
      </c>
      <c r="N91" s="2" t="s">
        <v>1562</v>
      </c>
      <c r="O91" s="2" t="s">
        <v>1563</v>
      </c>
      <c r="R91" s="2">
        <v>406.0</v>
      </c>
      <c r="AB91" s="2" t="s">
        <v>2187</v>
      </c>
      <c r="AO91" s="2" t="s">
        <v>2188</v>
      </c>
    </row>
    <row r="92" ht="15.75" customHeight="1">
      <c r="A92" s="2" t="s">
        <v>2189</v>
      </c>
      <c r="B92" s="2" t="s">
        <v>1361</v>
      </c>
      <c r="C92" s="2">
        <v>2015.0</v>
      </c>
      <c r="D92" s="2" t="s">
        <v>2190</v>
      </c>
      <c r="E92" s="2" t="s">
        <v>2191</v>
      </c>
      <c r="F92" s="2" t="s">
        <v>1760</v>
      </c>
      <c r="H92" s="2" t="s">
        <v>1761</v>
      </c>
      <c r="I92" s="2" t="s">
        <v>2192</v>
      </c>
      <c r="J92" s="12" t="str">
        <f>VLOOKUP(I92,'Copy of Enriched Data - IPBES G'!$L$2:$L$229,1,false)</f>
        <v>#N/A</v>
      </c>
      <c r="K92" s="2" t="s">
        <v>2193</v>
      </c>
      <c r="L92" s="2" t="s">
        <v>2194</v>
      </c>
      <c r="M92" s="2" t="s">
        <v>1373</v>
      </c>
      <c r="N92" s="2" t="s">
        <v>1385</v>
      </c>
      <c r="O92" s="2" t="s">
        <v>1386</v>
      </c>
      <c r="Q92" s="2" t="s">
        <v>2195</v>
      </c>
      <c r="T92" s="2">
        <v>118.0</v>
      </c>
      <c r="AO92" s="2" t="s">
        <v>1368</v>
      </c>
    </row>
    <row r="93" ht="15.75" customHeight="1">
      <c r="A93" s="2" t="s">
        <v>2196</v>
      </c>
      <c r="B93" s="2" t="s">
        <v>1623</v>
      </c>
      <c r="C93" s="2">
        <v>2016.0</v>
      </c>
      <c r="D93" s="2" t="s">
        <v>2197</v>
      </c>
      <c r="E93" s="2" t="s">
        <v>2198</v>
      </c>
      <c r="J93" s="12" t="str">
        <f>VLOOKUP(I93,'Copy of Enriched Data - IPBES G'!$L$2:$L$229,1,false)</f>
        <v>#N/A</v>
      </c>
      <c r="K93" s="2" t="s">
        <v>2199</v>
      </c>
      <c r="L93" s="2" t="s">
        <v>2200</v>
      </c>
      <c r="M93" s="2" t="s">
        <v>1502</v>
      </c>
      <c r="N93" s="2" t="s">
        <v>1385</v>
      </c>
      <c r="O93" s="2" t="s">
        <v>1386</v>
      </c>
      <c r="AB93" s="2" t="s">
        <v>2201</v>
      </c>
      <c r="AO93" s="2" t="s">
        <v>1368</v>
      </c>
    </row>
    <row r="94" ht="15.75" customHeight="1">
      <c r="A94" s="2" t="s">
        <v>2202</v>
      </c>
      <c r="B94" s="2" t="s">
        <v>1361</v>
      </c>
      <c r="C94" s="2">
        <v>2013.0</v>
      </c>
      <c r="D94" s="2" t="s">
        <v>2203</v>
      </c>
      <c r="E94" s="2" t="s">
        <v>2204</v>
      </c>
      <c r="F94" s="2" t="s">
        <v>2205</v>
      </c>
      <c r="H94" s="2" t="s">
        <v>2206</v>
      </c>
      <c r="I94" s="2" t="s">
        <v>2207</v>
      </c>
      <c r="J94" s="12" t="str">
        <f>VLOOKUP(I94,'Copy of Enriched Data - IPBES G'!$L$2:$L$229,1,false)</f>
        <v>#N/A</v>
      </c>
      <c r="K94" s="2" t="s">
        <v>2208</v>
      </c>
      <c r="M94" s="2" t="s">
        <v>2209</v>
      </c>
      <c r="N94" s="2" t="s">
        <v>1385</v>
      </c>
      <c r="O94" s="2" t="s">
        <v>1386</v>
      </c>
      <c r="P94" s="2" t="s">
        <v>2210</v>
      </c>
      <c r="Q94" s="2" t="s">
        <v>2211</v>
      </c>
      <c r="T94" s="2">
        <v>39.0</v>
      </c>
      <c r="V94" s="2" t="s">
        <v>2205</v>
      </c>
      <c r="W94" s="2" t="s">
        <v>2212</v>
      </c>
      <c r="AD94" s="2" t="s">
        <v>1540</v>
      </c>
      <c r="AI94" s="2" t="s">
        <v>1541</v>
      </c>
      <c r="AO94" s="2" t="s">
        <v>1885</v>
      </c>
    </row>
    <row r="95" ht="15.75" customHeight="1">
      <c r="A95" s="2" t="s">
        <v>2213</v>
      </c>
      <c r="B95" s="2" t="s">
        <v>1361</v>
      </c>
      <c r="C95" s="2">
        <v>2015.0</v>
      </c>
      <c r="D95" s="2" t="s">
        <v>2214</v>
      </c>
      <c r="E95" s="2" t="s">
        <v>2215</v>
      </c>
      <c r="F95" s="2" t="s">
        <v>2216</v>
      </c>
      <c r="H95" s="2" t="s">
        <v>2217</v>
      </c>
      <c r="I95" s="2" t="s">
        <v>2218</v>
      </c>
      <c r="J95" s="12" t="str">
        <f>VLOOKUP(I95,'Copy of Enriched Data - IPBES G'!$L$2:$L$229,1,false)</f>
        <v>#N/A</v>
      </c>
      <c r="K95" s="2" t="s">
        <v>2219</v>
      </c>
      <c r="M95" s="2" t="s">
        <v>2220</v>
      </c>
      <c r="N95" s="2" t="s">
        <v>1385</v>
      </c>
      <c r="O95" s="2" t="s">
        <v>1386</v>
      </c>
      <c r="P95" s="2" t="s">
        <v>2221</v>
      </c>
      <c r="Q95" s="2" t="s">
        <v>2222</v>
      </c>
      <c r="T95" s="2">
        <v>58.0</v>
      </c>
      <c r="V95" s="2" t="s">
        <v>2216</v>
      </c>
      <c r="AD95" s="2" t="s">
        <v>1540</v>
      </c>
      <c r="AI95" s="2" t="s">
        <v>1541</v>
      </c>
      <c r="AO95" s="2" t="s">
        <v>1885</v>
      </c>
    </row>
    <row r="96" ht="15.75" customHeight="1">
      <c r="A96" s="2" t="s">
        <v>2245</v>
      </c>
      <c r="B96" s="2" t="s">
        <v>1361</v>
      </c>
      <c r="C96" s="2">
        <v>2015.0</v>
      </c>
      <c r="D96" s="2" t="s">
        <v>2246</v>
      </c>
      <c r="E96" s="2" t="s">
        <v>2247</v>
      </c>
      <c r="F96" s="2" t="s">
        <v>1789</v>
      </c>
      <c r="H96" s="2" t="s">
        <v>1790</v>
      </c>
      <c r="I96" s="2" t="s">
        <v>2248</v>
      </c>
      <c r="J96" s="12" t="str">
        <f>VLOOKUP(I96,'Copy of Enriched Data - IPBES G'!$L$2:$L$229,1,false)</f>
        <v>#N/A</v>
      </c>
      <c r="L96" s="2" t="s">
        <v>2249</v>
      </c>
      <c r="M96" s="2" t="s">
        <v>1373</v>
      </c>
      <c r="N96" s="2" t="s">
        <v>1385</v>
      </c>
      <c r="O96" s="2" t="s">
        <v>1386</v>
      </c>
      <c r="Q96" s="2" t="s">
        <v>2250</v>
      </c>
      <c r="T96" s="2">
        <v>31.0</v>
      </c>
      <c r="AO96" s="2" t="s">
        <v>1368</v>
      </c>
    </row>
    <row r="97" ht="15.75" customHeight="1">
      <c r="A97" s="2" t="s">
        <v>2251</v>
      </c>
      <c r="B97" s="2" t="s">
        <v>1361</v>
      </c>
      <c r="C97" s="2">
        <v>2008.0</v>
      </c>
      <c r="D97" s="2" t="s">
        <v>2252</v>
      </c>
      <c r="E97" s="2" t="s">
        <v>2253</v>
      </c>
      <c r="F97" s="2" t="s">
        <v>2254</v>
      </c>
      <c r="H97" s="2" t="s">
        <v>2255</v>
      </c>
      <c r="I97" s="2" t="s">
        <v>2256</v>
      </c>
      <c r="J97" s="12" t="str">
        <f>VLOOKUP(I97,'Copy of Enriched Data - IPBES G'!$L$2:$L$229,1,false)</f>
        <v>#N/A</v>
      </c>
      <c r="K97" s="2" t="s">
        <v>2257</v>
      </c>
      <c r="M97" s="2" t="s">
        <v>2258</v>
      </c>
      <c r="N97" s="2" t="s">
        <v>1385</v>
      </c>
      <c r="O97" s="2" t="s">
        <v>1386</v>
      </c>
      <c r="Q97" s="2" t="s">
        <v>2259</v>
      </c>
      <c r="S97" s="2" t="s">
        <v>1462</v>
      </c>
      <c r="T97" s="2">
        <v>29.0</v>
      </c>
      <c r="V97" s="2" t="s">
        <v>2254</v>
      </c>
      <c r="AO97" s="2" t="s">
        <v>1368</v>
      </c>
    </row>
    <row r="98" ht="15.75" customHeight="1">
      <c r="A98" s="2" t="s">
        <v>2260</v>
      </c>
      <c r="B98" s="2" t="s">
        <v>1781</v>
      </c>
      <c r="C98" s="2">
        <v>2015.0</v>
      </c>
      <c r="D98" s="2" t="s">
        <v>2261</v>
      </c>
      <c r="E98" s="2" t="s">
        <v>2262</v>
      </c>
      <c r="J98" s="12" t="str">
        <f>VLOOKUP(I98,'Copy of Enriched Data - IPBES G'!$L$2:$L$229,1,false)</f>
        <v>#N/A</v>
      </c>
      <c r="K98" s="2" t="s">
        <v>2263</v>
      </c>
      <c r="M98" s="2" t="s">
        <v>1373</v>
      </c>
      <c r="N98" s="2" t="s">
        <v>1385</v>
      </c>
      <c r="O98" s="2" t="s">
        <v>1386</v>
      </c>
      <c r="AO98" s="2" t="s">
        <v>1368</v>
      </c>
    </row>
    <row r="99" ht="15.75" customHeight="1">
      <c r="A99" s="2" t="s">
        <v>2272</v>
      </c>
      <c r="B99" s="2" t="s">
        <v>2273</v>
      </c>
      <c r="C99" s="2">
        <v>2015.0</v>
      </c>
      <c r="D99" s="2" t="s">
        <v>2274</v>
      </c>
      <c r="E99" s="2" t="s">
        <v>2275</v>
      </c>
      <c r="J99" s="12" t="str">
        <f>VLOOKUP(I99,'Copy of Enriched Data - IPBES G'!$L$2:$L$229,1,false)</f>
        <v>#N/A</v>
      </c>
      <c r="M99" s="2" t="s">
        <v>1373</v>
      </c>
      <c r="N99" s="2" t="s">
        <v>1385</v>
      </c>
      <c r="O99" s="2" t="s">
        <v>1386</v>
      </c>
      <c r="AB99" s="2" t="s">
        <v>2276</v>
      </c>
      <c r="AF99" s="2" t="s">
        <v>2277</v>
      </c>
      <c r="AO99" s="2" t="s">
        <v>1368</v>
      </c>
    </row>
    <row r="100" ht="15.75" customHeight="1">
      <c r="A100" s="2" t="s">
        <v>2278</v>
      </c>
      <c r="B100" s="2" t="s">
        <v>1623</v>
      </c>
      <c r="C100" s="2">
        <v>2013.0</v>
      </c>
      <c r="D100" s="2" t="s">
        <v>2279</v>
      </c>
      <c r="E100" s="2" t="s">
        <v>2280</v>
      </c>
      <c r="J100" s="12" t="str">
        <f>VLOOKUP(I100,'Copy of Enriched Data - IPBES G'!$L$2:$L$229,1,false)</f>
        <v>#N/A</v>
      </c>
      <c r="M100" s="2" t="s">
        <v>1429</v>
      </c>
      <c r="N100" s="2" t="s">
        <v>1385</v>
      </c>
      <c r="O100" s="2" t="s">
        <v>1386</v>
      </c>
      <c r="AB100" s="2" t="s">
        <v>2281</v>
      </c>
      <c r="AC100" s="2" t="s">
        <v>1608</v>
      </c>
      <c r="AO100" s="2" t="s">
        <v>1368</v>
      </c>
    </row>
    <row r="101" ht="15.75" customHeight="1">
      <c r="A101" s="2" t="s">
        <v>2282</v>
      </c>
      <c r="B101" s="2" t="s">
        <v>1781</v>
      </c>
      <c r="C101" s="2">
        <v>2003.0</v>
      </c>
      <c r="D101" s="2" t="s">
        <v>2283</v>
      </c>
      <c r="E101" s="2" t="s">
        <v>2284</v>
      </c>
      <c r="J101" s="12" t="str">
        <f>VLOOKUP(I101,'Copy of Enriched Data - IPBES G'!$L$2:$L$229,1,false)</f>
        <v>#N/A</v>
      </c>
      <c r="K101" s="2" t="s">
        <v>2285</v>
      </c>
      <c r="M101" s="2" t="s">
        <v>1606</v>
      </c>
      <c r="N101" s="2" t="s">
        <v>1385</v>
      </c>
      <c r="O101" s="2" t="s">
        <v>1386</v>
      </c>
      <c r="AO101" s="2" t="s">
        <v>1368</v>
      </c>
    </row>
    <row r="102" ht="15.75" customHeight="1">
      <c r="A102" s="2" t="s">
        <v>2286</v>
      </c>
      <c r="B102" s="2" t="s">
        <v>1623</v>
      </c>
      <c r="C102" s="2">
        <v>2009.0</v>
      </c>
      <c r="D102" s="2" t="s">
        <v>2287</v>
      </c>
      <c r="E102" s="2" t="s">
        <v>2288</v>
      </c>
      <c r="J102" s="12" t="str">
        <f>VLOOKUP(I102,'Copy of Enriched Data - IPBES G'!$L$2:$L$229,1,false)</f>
        <v>#N/A</v>
      </c>
      <c r="K102" s="2" t="s">
        <v>2289</v>
      </c>
      <c r="M102" s="2" t="s">
        <v>2290</v>
      </c>
      <c r="N102" s="2" t="s">
        <v>1385</v>
      </c>
      <c r="O102" s="2" t="s">
        <v>1386</v>
      </c>
      <c r="AB102" s="2" t="s">
        <v>1653</v>
      </c>
      <c r="AC102" s="2" t="s">
        <v>2291</v>
      </c>
      <c r="AO102" s="2" t="s">
        <v>1368</v>
      </c>
    </row>
    <row r="103" ht="15.75" customHeight="1">
      <c r="A103" s="2" t="s">
        <v>2292</v>
      </c>
      <c r="B103" s="2" t="s">
        <v>1361</v>
      </c>
      <c r="C103" s="2">
        <v>2006.0</v>
      </c>
      <c r="D103" s="2" t="s">
        <v>2293</v>
      </c>
      <c r="E103" s="2" t="s">
        <v>2294</v>
      </c>
      <c r="F103" s="2" t="s">
        <v>2295</v>
      </c>
      <c r="H103" s="2" t="s">
        <v>2296</v>
      </c>
      <c r="I103" s="2" t="s">
        <v>2297</v>
      </c>
      <c r="J103" s="12" t="str">
        <f>VLOOKUP(I103,'Copy of Enriched Data - IPBES G'!$L$2:$L$229,1,false)</f>
        <v>#N/A</v>
      </c>
      <c r="K103" s="2" t="s">
        <v>2298</v>
      </c>
      <c r="L103" s="2" t="s">
        <v>2299</v>
      </c>
      <c r="M103" s="2" t="s">
        <v>2300</v>
      </c>
      <c r="N103" s="2" t="s">
        <v>1385</v>
      </c>
      <c r="O103" s="2" t="s">
        <v>1386</v>
      </c>
      <c r="Q103" s="2" t="s">
        <v>2301</v>
      </c>
      <c r="S103" s="2" t="s">
        <v>1462</v>
      </c>
      <c r="T103" s="2">
        <v>42.0</v>
      </c>
      <c r="AO103" s="2" t="s">
        <v>1368</v>
      </c>
    </row>
    <row r="104" ht="15.75" customHeight="1">
      <c r="A104" s="2" t="s">
        <v>2302</v>
      </c>
      <c r="B104" s="2" t="s">
        <v>1361</v>
      </c>
      <c r="C104" s="2">
        <v>2000.0</v>
      </c>
      <c r="D104" s="2" t="s">
        <v>2303</v>
      </c>
      <c r="E104" s="2" t="s">
        <v>2304</v>
      </c>
      <c r="F104" s="2" t="s">
        <v>2305</v>
      </c>
      <c r="H104" s="2" t="s">
        <v>2306</v>
      </c>
      <c r="I104" s="2" t="s">
        <v>2307</v>
      </c>
      <c r="J104" s="12" t="str">
        <f>VLOOKUP(I104,'Copy of Enriched Data - IPBES G'!$L$2:$L$229,1,false)</f>
        <v>#N/A</v>
      </c>
      <c r="K104" s="2" t="s">
        <v>2308</v>
      </c>
      <c r="L104" s="2" t="s">
        <v>2309</v>
      </c>
      <c r="M104" s="2" t="s">
        <v>2310</v>
      </c>
      <c r="N104" s="2" t="s">
        <v>1385</v>
      </c>
      <c r="O104" s="2" t="s">
        <v>1386</v>
      </c>
      <c r="Q104" s="2" t="s">
        <v>2311</v>
      </c>
      <c r="S104" s="2" t="s">
        <v>1453</v>
      </c>
      <c r="T104" s="2">
        <v>43.0</v>
      </c>
      <c r="AO104" s="2" t="s">
        <v>1368</v>
      </c>
    </row>
    <row r="105" ht="15.75" customHeight="1">
      <c r="A105" s="2" t="s">
        <v>2312</v>
      </c>
      <c r="B105" s="2" t="s">
        <v>1396</v>
      </c>
      <c r="C105" s="2">
        <v>2015.0</v>
      </c>
      <c r="D105" s="2" t="s">
        <v>2313</v>
      </c>
      <c r="E105" s="2" t="s">
        <v>2314</v>
      </c>
      <c r="J105" s="12" t="str">
        <f>VLOOKUP(I105,'Copy of Enriched Data - IPBES G'!$L$2:$L$229,1,false)</f>
        <v>#N/A</v>
      </c>
      <c r="K105" s="2" t="s">
        <v>2315</v>
      </c>
      <c r="L105" s="2" t="s">
        <v>2316</v>
      </c>
      <c r="M105" s="2" t="s">
        <v>1373</v>
      </c>
      <c r="N105" s="2" t="s">
        <v>1385</v>
      </c>
      <c r="O105" s="2" t="s">
        <v>1386</v>
      </c>
      <c r="AB105" s="2" t="s">
        <v>2317</v>
      </c>
      <c r="AO105" s="2" t="s">
        <v>1368</v>
      </c>
    </row>
    <row r="106" ht="15.75" customHeight="1">
      <c r="A106" s="2" t="s">
        <v>2323</v>
      </c>
      <c r="B106" s="2" t="s">
        <v>1361</v>
      </c>
      <c r="C106" s="2">
        <v>1994.0</v>
      </c>
      <c r="D106" s="2" t="s">
        <v>2324</v>
      </c>
      <c r="E106" s="2" t="s">
        <v>2325</v>
      </c>
      <c r="F106" s="2" t="s">
        <v>1425</v>
      </c>
      <c r="I106" s="2" t="s">
        <v>2326</v>
      </c>
      <c r="J106" s="12" t="str">
        <f>VLOOKUP(I106,'Copy of Enriched Data - IPBES G'!$L$2:$L$229,1,false)</f>
        <v>#N/A</v>
      </c>
      <c r="M106" s="2" t="s">
        <v>2327</v>
      </c>
      <c r="N106" s="2" t="s">
        <v>1385</v>
      </c>
      <c r="O106" s="2" t="s">
        <v>1386</v>
      </c>
      <c r="Q106" s="2" t="s">
        <v>2328</v>
      </c>
      <c r="S106" s="2" t="s">
        <v>1453</v>
      </c>
      <c r="T106" s="2">
        <v>27.0</v>
      </c>
      <c r="AO106" s="2" t="s">
        <v>1368</v>
      </c>
    </row>
    <row r="107" ht="15.75" customHeight="1">
      <c r="A107" s="2" t="s">
        <v>2329</v>
      </c>
      <c r="B107" s="2" t="s">
        <v>1361</v>
      </c>
      <c r="C107" s="2">
        <v>2009.0</v>
      </c>
      <c r="D107" s="2" t="s">
        <v>2330</v>
      </c>
      <c r="E107" s="2" t="s">
        <v>2331</v>
      </c>
      <c r="F107" s="2" t="s">
        <v>2332</v>
      </c>
      <c r="I107" s="2" t="s">
        <v>2333</v>
      </c>
      <c r="J107" s="12" t="str">
        <f>VLOOKUP(I107,'Copy of Enriched Data - IPBES G'!$L$2:$L$229,1,false)</f>
        <v>#N/A</v>
      </c>
      <c r="L107" s="2" t="s">
        <v>2334</v>
      </c>
      <c r="M107" s="2" t="s">
        <v>1364</v>
      </c>
      <c r="N107" s="2" t="s">
        <v>1385</v>
      </c>
      <c r="O107" s="2" t="s">
        <v>1386</v>
      </c>
      <c r="Q107" s="2" t="s">
        <v>2335</v>
      </c>
      <c r="S107" s="2" t="s">
        <v>2336</v>
      </c>
      <c r="AO107" s="2" t="s">
        <v>1368</v>
      </c>
    </row>
    <row r="108" ht="15.75" customHeight="1">
      <c r="A108" s="2" t="s">
        <v>2337</v>
      </c>
      <c r="B108" s="2" t="s">
        <v>1361</v>
      </c>
      <c r="C108" s="2">
        <v>2010.0</v>
      </c>
      <c r="D108" s="2" t="s">
        <v>2338</v>
      </c>
      <c r="E108" s="2" t="s">
        <v>2339</v>
      </c>
      <c r="F108" s="2" t="s">
        <v>2340</v>
      </c>
      <c r="H108" s="2" t="s">
        <v>2341</v>
      </c>
      <c r="I108" s="2" t="s">
        <v>2342</v>
      </c>
      <c r="J108" s="12" t="str">
        <f>VLOOKUP(I108,'Copy of Enriched Data - IPBES G'!$L$2:$L$229,1,false)</f>
        <v>#N/A</v>
      </c>
      <c r="L108" s="2" t="s">
        <v>2343</v>
      </c>
      <c r="M108" s="2" t="s">
        <v>1449</v>
      </c>
      <c r="N108" s="2" t="s">
        <v>1385</v>
      </c>
      <c r="O108" s="2" t="s">
        <v>1386</v>
      </c>
      <c r="AO108" s="2" t="s">
        <v>1368</v>
      </c>
    </row>
    <row r="109" ht="15.75" customHeight="1">
      <c r="A109" s="2" t="s">
        <v>2347</v>
      </c>
      <c r="B109" s="2" t="s">
        <v>1361</v>
      </c>
      <c r="C109" s="2">
        <v>2012.0</v>
      </c>
      <c r="D109" s="2" t="s">
        <v>2348</v>
      </c>
      <c r="E109" s="2" t="s">
        <v>2349</v>
      </c>
      <c r="F109" s="2" t="s">
        <v>2350</v>
      </c>
      <c r="H109" s="2" t="s">
        <v>2351</v>
      </c>
      <c r="I109" s="2" t="s">
        <v>2352</v>
      </c>
      <c r="J109" s="12" t="str">
        <f>VLOOKUP(I109,'Copy of Enriched Data - IPBES G'!$L$2:$L$229,1,false)</f>
        <v>#N/A</v>
      </c>
      <c r="L109" s="2" t="s">
        <v>2353</v>
      </c>
      <c r="M109" s="2" t="s">
        <v>1405</v>
      </c>
      <c r="N109" s="2" t="s">
        <v>1385</v>
      </c>
      <c r="O109" s="2" t="s">
        <v>1386</v>
      </c>
      <c r="Q109" s="2" t="s">
        <v>2354</v>
      </c>
      <c r="S109" s="2" t="s">
        <v>1462</v>
      </c>
      <c r="T109" s="2">
        <v>15.0</v>
      </c>
      <c r="AO109" s="2" t="s">
        <v>1368</v>
      </c>
    </row>
    <row r="110" ht="15.75" customHeight="1">
      <c r="A110" s="2" t="s">
        <v>2355</v>
      </c>
      <c r="B110" s="2" t="s">
        <v>1361</v>
      </c>
      <c r="C110" s="2">
        <v>2012.0</v>
      </c>
      <c r="D110" s="2" t="s">
        <v>2356</v>
      </c>
      <c r="E110" s="2" t="s">
        <v>2357</v>
      </c>
      <c r="F110" s="2" t="s">
        <v>2358</v>
      </c>
      <c r="H110" s="2" t="s">
        <v>2359</v>
      </c>
      <c r="I110" s="2" t="s">
        <v>2360</v>
      </c>
      <c r="J110" s="12" t="str">
        <f>VLOOKUP(I110,'Copy of Enriched Data - IPBES G'!$L$2:$L$229,1,false)</f>
        <v>#N/A</v>
      </c>
      <c r="L110" s="2" t="s">
        <v>2361</v>
      </c>
      <c r="M110" s="2" t="s">
        <v>1405</v>
      </c>
      <c r="N110" s="2" t="s">
        <v>1385</v>
      </c>
      <c r="O110" s="2" t="s">
        <v>1386</v>
      </c>
      <c r="AO110" s="2" t="s">
        <v>1368</v>
      </c>
    </row>
    <row r="111" ht="15.75" customHeight="1">
      <c r="A111" s="2" t="s">
        <v>2369</v>
      </c>
      <c r="B111" s="2" t="s">
        <v>1396</v>
      </c>
      <c r="C111" s="2">
        <v>2004.0</v>
      </c>
      <c r="D111" s="2" t="s">
        <v>2370</v>
      </c>
      <c r="E111" s="2" t="s">
        <v>2371</v>
      </c>
      <c r="G111" s="2" t="s">
        <v>2372</v>
      </c>
      <c r="J111" s="12" t="str">
        <f>VLOOKUP(I111,'Copy of Enriched Data - IPBES G'!$L$2:$L$229,1,false)</f>
        <v>#N/A</v>
      </c>
      <c r="M111" s="2" t="s">
        <v>2373</v>
      </c>
      <c r="N111" s="2" t="s">
        <v>1385</v>
      </c>
      <c r="O111" s="2" t="s">
        <v>1386</v>
      </c>
      <c r="T111" s="2">
        <v>6.0</v>
      </c>
      <c r="AB111" s="2" t="s">
        <v>2374</v>
      </c>
      <c r="AO111" s="2" t="s">
        <v>1368</v>
      </c>
    </row>
    <row r="112" ht="15.75" customHeight="1">
      <c r="A112" s="2" t="s">
        <v>2375</v>
      </c>
      <c r="B112" s="2" t="s">
        <v>1396</v>
      </c>
      <c r="C112" s="2">
        <v>2007.0</v>
      </c>
      <c r="D112" s="2" t="s">
        <v>2376</v>
      </c>
      <c r="E112" s="2" t="s">
        <v>2377</v>
      </c>
      <c r="G112" s="2" t="s">
        <v>2378</v>
      </c>
      <c r="J112" s="12" t="str">
        <f>VLOOKUP(I112,'Copy of Enriched Data - IPBES G'!$L$2:$L$229,1,false)</f>
        <v>#N/A</v>
      </c>
      <c r="L112" s="2" t="s">
        <v>2379</v>
      </c>
      <c r="M112" s="2" t="s">
        <v>2380</v>
      </c>
      <c r="N112" s="2" t="s">
        <v>1385</v>
      </c>
      <c r="O112" s="2" t="s">
        <v>1386</v>
      </c>
      <c r="AO112" s="2" t="s">
        <v>1368</v>
      </c>
    </row>
    <row r="113" ht="15.75" customHeight="1">
      <c r="A113" s="2" t="s">
        <v>2381</v>
      </c>
      <c r="B113" s="2" t="s">
        <v>1361</v>
      </c>
      <c r="C113" s="2">
        <v>1978.0</v>
      </c>
      <c r="D113" s="2" t="s">
        <v>2382</v>
      </c>
      <c r="E113" s="2" t="s">
        <v>2383</v>
      </c>
      <c r="F113" s="2" t="s">
        <v>1510</v>
      </c>
      <c r="H113" s="2" t="s">
        <v>1546</v>
      </c>
      <c r="I113" s="2" t="s">
        <v>2384</v>
      </c>
      <c r="J113" s="12" t="str">
        <f>VLOOKUP(I113,'Copy of Enriched Data - IPBES G'!$L$2:$L$229,1,false)</f>
        <v>#N/A</v>
      </c>
      <c r="M113" s="2" t="s">
        <v>2385</v>
      </c>
      <c r="N113" s="2" t="s">
        <v>1385</v>
      </c>
      <c r="O113" s="2" t="s">
        <v>1386</v>
      </c>
      <c r="Q113" s="2" t="s">
        <v>2386</v>
      </c>
      <c r="S113" s="2" t="s">
        <v>2387</v>
      </c>
      <c r="T113" s="2">
        <v>202.0</v>
      </c>
      <c r="AD113" s="2" t="s">
        <v>1540</v>
      </c>
      <c r="AO113" s="2" t="s">
        <v>1368</v>
      </c>
    </row>
    <row r="114" ht="15.75" customHeight="1">
      <c r="A114" s="2" t="s">
        <v>2388</v>
      </c>
      <c r="B114" s="2" t="s">
        <v>1361</v>
      </c>
      <c r="C114" s="2">
        <v>2012.0</v>
      </c>
      <c r="D114" s="2" t="s">
        <v>2389</v>
      </c>
      <c r="E114" s="2" t="s">
        <v>2390</v>
      </c>
      <c r="F114" s="2" t="s">
        <v>2391</v>
      </c>
      <c r="H114" s="2" t="s">
        <v>2392</v>
      </c>
      <c r="I114" s="2" t="s">
        <v>2393</v>
      </c>
      <c r="J114" s="12" t="str">
        <f>VLOOKUP(I114,'Copy of Enriched Data - IPBES G'!$L$2:$L$229,1,false)</f>
        <v>#N/A</v>
      </c>
      <c r="L114" s="2" t="s">
        <v>2394</v>
      </c>
      <c r="M114" s="2" t="s">
        <v>2395</v>
      </c>
      <c r="N114" s="2" t="s">
        <v>1385</v>
      </c>
      <c r="O114" s="2" t="s">
        <v>1386</v>
      </c>
      <c r="Q114" s="2" t="s">
        <v>2396</v>
      </c>
      <c r="S114" s="2" t="s">
        <v>1462</v>
      </c>
      <c r="T114" s="2">
        <v>87.0</v>
      </c>
      <c r="AO114" s="2" t="s">
        <v>1368</v>
      </c>
    </row>
    <row r="115" ht="15.75" customHeight="1">
      <c r="A115" s="2" t="s">
        <v>2397</v>
      </c>
      <c r="B115" s="2" t="s">
        <v>1361</v>
      </c>
      <c r="C115" s="2">
        <v>2010.0</v>
      </c>
      <c r="D115" s="2" t="s">
        <v>2398</v>
      </c>
      <c r="E115" s="2" t="s">
        <v>2399</v>
      </c>
      <c r="F115" s="2" t="s">
        <v>2400</v>
      </c>
      <c r="H115" s="2" t="s">
        <v>2401</v>
      </c>
      <c r="I115" s="2" t="s">
        <v>2402</v>
      </c>
      <c r="J115" s="12" t="str">
        <f>VLOOKUP(I115,'Copy of Enriched Data - IPBES G'!$L$2:$L$229,1,false)</f>
        <v>#N/A</v>
      </c>
      <c r="M115" s="2" t="s">
        <v>1449</v>
      </c>
      <c r="N115" s="2" t="s">
        <v>1385</v>
      </c>
      <c r="O115" s="2" t="s">
        <v>1386</v>
      </c>
      <c r="Q115" s="2" t="s">
        <v>2403</v>
      </c>
      <c r="S115" s="2" t="s">
        <v>1506</v>
      </c>
      <c r="T115" s="2">
        <v>30.0</v>
      </c>
      <c r="AO115" s="2" t="s">
        <v>1368</v>
      </c>
    </row>
    <row r="116" ht="15.75" customHeight="1">
      <c r="A116" s="2" t="s">
        <v>2404</v>
      </c>
      <c r="B116" s="2" t="s">
        <v>1766</v>
      </c>
      <c r="C116" s="2">
        <v>2016.0</v>
      </c>
      <c r="D116" s="2" t="s">
        <v>2405</v>
      </c>
      <c r="E116" s="2" t="s">
        <v>2406</v>
      </c>
      <c r="F116" s="2" t="s">
        <v>2407</v>
      </c>
      <c r="J116" s="12" t="str">
        <f>VLOOKUP(I116,'Copy of Enriched Data - IPBES G'!$L$2:$L$229,1,false)</f>
        <v>#N/A</v>
      </c>
      <c r="M116" s="2" t="s">
        <v>1502</v>
      </c>
      <c r="N116" s="2" t="s">
        <v>1385</v>
      </c>
      <c r="O116" s="2" t="s">
        <v>1386</v>
      </c>
      <c r="Q116" s="2" t="s">
        <v>2408</v>
      </c>
      <c r="AB116" s="2" t="s">
        <v>2409</v>
      </c>
      <c r="AC116" s="2" t="s">
        <v>2410</v>
      </c>
      <c r="AO116" s="2" t="s">
        <v>1368</v>
      </c>
      <c r="AQ116" s="2" t="s">
        <v>2411</v>
      </c>
    </row>
    <row r="117" ht="15.75" customHeight="1">
      <c r="A117" s="2" t="s">
        <v>2412</v>
      </c>
      <c r="B117" s="2" t="s">
        <v>1361</v>
      </c>
      <c r="C117" s="2">
        <v>2014.0</v>
      </c>
      <c r="D117" s="2" t="s">
        <v>2413</v>
      </c>
      <c r="E117" s="2" t="s">
        <v>2414</v>
      </c>
      <c r="F117" s="2" t="s">
        <v>2415</v>
      </c>
      <c r="H117" s="2" t="s">
        <v>2416</v>
      </c>
      <c r="I117" s="2" t="s">
        <v>2417</v>
      </c>
      <c r="J117" s="12" t="str">
        <f>VLOOKUP(I117,'Copy of Enriched Data - IPBES G'!$L$2:$L$229,1,false)</f>
        <v>#N/A</v>
      </c>
      <c r="L117" s="2" t="s">
        <v>2418</v>
      </c>
      <c r="M117" s="2" t="s">
        <v>1476</v>
      </c>
      <c r="N117" s="2" t="s">
        <v>1385</v>
      </c>
      <c r="O117" s="2" t="s">
        <v>1386</v>
      </c>
      <c r="AO117" s="2" t="s">
        <v>1368</v>
      </c>
    </row>
    <row r="118" ht="15.75" customHeight="1">
      <c r="A118" s="2" t="s">
        <v>2419</v>
      </c>
      <c r="B118" s="2" t="s">
        <v>1361</v>
      </c>
      <c r="C118" s="2">
        <v>1968.0</v>
      </c>
      <c r="D118" s="2" t="s">
        <v>2420</v>
      </c>
      <c r="E118" s="2" t="s">
        <v>2421</v>
      </c>
      <c r="F118" s="2" t="s">
        <v>1510</v>
      </c>
      <c r="H118" s="2" t="s">
        <v>1511</v>
      </c>
      <c r="I118" s="2" t="s">
        <v>2422</v>
      </c>
      <c r="J118" s="12" t="str">
        <f>VLOOKUP(I118,'Copy of Enriched Data - IPBES G'!$L$2:$L$229,1,false)</f>
        <v>#N/A</v>
      </c>
      <c r="L118" s="2" t="s">
        <v>2423</v>
      </c>
      <c r="M118" s="2" t="s">
        <v>2424</v>
      </c>
      <c r="N118" s="2" t="s">
        <v>1385</v>
      </c>
      <c r="O118" s="2" t="s">
        <v>1386</v>
      </c>
      <c r="Q118" s="2" t="s">
        <v>2425</v>
      </c>
      <c r="AO118" s="2" t="s">
        <v>1368</v>
      </c>
    </row>
    <row r="119" ht="15.75" customHeight="1">
      <c r="A119" s="2" t="s">
        <v>2426</v>
      </c>
      <c r="B119" s="2" t="s">
        <v>1396</v>
      </c>
      <c r="C119" s="2">
        <v>2000.0</v>
      </c>
      <c r="D119" s="2" t="s">
        <v>2427</v>
      </c>
      <c r="E119" s="2" t="s">
        <v>2428</v>
      </c>
      <c r="J119" s="12" t="str">
        <f>VLOOKUP(I119,'Copy of Enriched Data - IPBES G'!$L$2:$L$229,1,false)</f>
        <v>#N/A</v>
      </c>
      <c r="M119" s="2" t="s">
        <v>2429</v>
      </c>
      <c r="N119" s="2" t="s">
        <v>1385</v>
      </c>
      <c r="O119" s="2" t="s">
        <v>1386</v>
      </c>
      <c r="AB119" s="2" t="s">
        <v>2430</v>
      </c>
      <c r="AC119" s="2" t="s">
        <v>2431</v>
      </c>
      <c r="AO119" s="2" t="s">
        <v>1368</v>
      </c>
    </row>
    <row r="120" ht="15.75" customHeight="1">
      <c r="A120" s="2" t="s">
        <v>2432</v>
      </c>
      <c r="B120" s="2" t="s">
        <v>1361</v>
      </c>
      <c r="C120" s="2">
        <v>2017.0</v>
      </c>
      <c r="D120" s="2" t="s">
        <v>2190</v>
      </c>
      <c r="E120" s="2" t="s">
        <v>2433</v>
      </c>
      <c r="F120" s="2" t="s">
        <v>1863</v>
      </c>
      <c r="H120" s="2" t="s">
        <v>2434</v>
      </c>
      <c r="I120" s="2" t="s">
        <v>2435</v>
      </c>
      <c r="J120" s="12" t="str">
        <f>VLOOKUP(I120,'Copy of Enriched Data - IPBES G'!$L$2:$L$229,1,false)</f>
        <v>#N/A</v>
      </c>
      <c r="L120" s="2" t="s">
        <v>2436</v>
      </c>
      <c r="M120" s="2" t="s">
        <v>1658</v>
      </c>
      <c r="N120" s="2" t="s">
        <v>1385</v>
      </c>
      <c r="O120" s="2" t="s">
        <v>1386</v>
      </c>
      <c r="Q120" s="2" t="s">
        <v>2437</v>
      </c>
      <c r="T120" s="2">
        <v>93.0</v>
      </c>
      <c r="AO120" s="2" t="s">
        <v>1368</v>
      </c>
    </row>
    <row r="121" ht="15.75" customHeight="1">
      <c r="A121" s="2" t="s">
        <v>2438</v>
      </c>
      <c r="B121" s="2" t="s">
        <v>1396</v>
      </c>
      <c r="C121" s="2">
        <v>2013.0</v>
      </c>
      <c r="D121" s="2" t="s">
        <v>2439</v>
      </c>
      <c r="E121" s="2" t="s">
        <v>2440</v>
      </c>
      <c r="J121" s="12" t="str">
        <f>VLOOKUP(I121,'Copy of Enriched Data - IPBES G'!$L$2:$L$229,1,false)</f>
        <v>#N/A</v>
      </c>
      <c r="M121" s="2" t="s">
        <v>1429</v>
      </c>
      <c r="N121" s="2" t="s">
        <v>1385</v>
      </c>
      <c r="O121" s="2" t="s">
        <v>1386</v>
      </c>
      <c r="AB121" s="2" t="s">
        <v>2441</v>
      </c>
      <c r="AO121" s="2" t="s">
        <v>1368</v>
      </c>
    </row>
    <row r="122" ht="15.75" customHeight="1">
      <c r="A122" s="2" t="s">
        <v>2442</v>
      </c>
      <c r="B122" s="2" t="s">
        <v>1396</v>
      </c>
      <c r="C122" s="2">
        <v>2003.0</v>
      </c>
      <c r="D122" s="2" t="s">
        <v>2443</v>
      </c>
      <c r="E122" s="2" t="s">
        <v>2444</v>
      </c>
      <c r="G122" s="2" t="s">
        <v>2445</v>
      </c>
      <c r="J122" s="12" t="str">
        <f>VLOOKUP(I122,'Copy of Enriched Data - IPBES G'!$L$2:$L$229,1,false)</f>
        <v>#N/A</v>
      </c>
      <c r="L122" s="2" t="s">
        <v>2446</v>
      </c>
      <c r="M122" s="2" t="s">
        <v>1606</v>
      </c>
      <c r="N122" s="2" t="s">
        <v>1385</v>
      </c>
      <c r="O122" s="2" t="s">
        <v>1386</v>
      </c>
      <c r="R122" s="2">
        <v>740.0</v>
      </c>
      <c r="AB122" s="2" t="s">
        <v>2447</v>
      </c>
      <c r="AO122" s="2" t="s">
        <v>1368</v>
      </c>
    </row>
    <row r="123" ht="15.75" customHeight="1">
      <c r="A123" s="2" t="s">
        <v>2455</v>
      </c>
      <c r="B123" s="2" t="s">
        <v>1361</v>
      </c>
      <c r="C123" s="2">
        <v>1981.0</v>
      </c>
      <c r="D123" s="2" t="s">
        <v>2456</v>
      </c>
      <c r="E123" s="2" t="s">
        <v>2457</v>
      </c>
      <c r="F123" s="2" t="s">
        <v>2458</v>
      </c>
      <c r="H123" s="2" t="s">
        <v>2459</v>
      </c>
      <c r="I123" s="2" t="s">
        <v>2460</v>
      </c>
      <c r="J123" s="12" t="str">
        <f>VLOOKUP(I123,'Copy of Enriched Data - IPBES G'!$L$2:$L$229,1,false)</f>
        <v>#N/A</v>
      </c>
      <c r="L123" s="2" t="s">
        <v>2461</v>
      </c>
      <c r="M123" s="2" t="s">
        <v>2462</v>
      </c>
      <c r="N123" s="2" t="s">
        <v>1385</v>
      </c>
      <c r="O123" s="2" t="s">
        <v>1386</v>
      </c>
      <c r="Q123" s="2" t="s">
        <v>2463</v>
      </c>
      <c r="S123" s="2" t="s">
        <v>2271</v>
      </c>
      <c r="T123" s="2">
        <v>6.0</v>
      </c>
      <c r="AO123" s="2" t="s">
        <v>1368</v>
      </c>
    </row>
    <row r="124" ht="15.75" customHeight="1">
      <c r="A124" s="2" t="s">
        <v>2464</v>
      </c>
      <c r="B124" s="2" t="s">
        <v>1396</v>
      </c>
      <c r="C124" s="2">
        <v>2015.0</v>
      </c>
      <c r="D124" s="2" t="s">
        <v>2465</v>
      </c>
      <c r="E124" s="2" t="s">
        <v>2466</v>
      </c>
      <c r="J124" s="12" t="str">
        <f>VLOOKUP(I124,'Copy of Enriched Data - IPBES G'!$L$2:$L$229,1,false)</f>
        <v>#N/A</v>
      </c>
      <c r="M124" s="2" t="s">
        <v>1373</v>
      </c>
      <c r="N124" s="2" t="s">
        <v>1385</v>
      </c>
      <c r="O124" s="2" t="s">
        <v>1386</v>
      </c>
      <c r="T124" s="2">
        <v>142.0</v>
      </c>
      <c r="AB124" s="2" t="s">
        <v>2467</v>
      </c>
      <c r="AO124" s="2" t="s">
        <v>1368</v>
      </c>
    </row>
    <row r="125" ht="15.75" customHeight="1">
      <c r="A125" s="2" t="s">
        <v>2468</v>
      </c>
      <c r="B125" s="2" t="s">
        <v>1396</v>
      </c>
      <c r="C125" s="2">
        <v>2012.0</v>
      </c>
      <c r="D125" s="2" t="s">
        <v>2469</v>
      </c>
      <c r="E125" s="2" t="s">
        <v>2470</v>
      </c>
      <c r="G125" s="2" t="s">
        <v>2471</v>
      </c>
      <c r="J125" s="12" t="str">
        <f>VLOOKUP(I125,'Copy of Enriched Data - IPBES G'!$L$2:$L$229,1,false)</f>
        <v>#N/A</v>
      </c>
      <c r="L125" s="2" t="s">
        <v>2472</v>
      </c>
      <c r="M125" s="2" t="s">
        <v>1405</v>
      </c>
      <c r="N125" s="2" t="s">
        <v>1385</v>
      </c>
      <c r="O125" s="2" t="s">
        <v>1386</v>
      </c>
      <c r="AO125" s="2" t="s">
        <v>1368</v>
      </c>
    </row>
    <row r="126" ht="15.75" customHeight="1">
      <c r="A126" s="2" t="s">
        <v>2473</v>
      </c>
      <c r="B126" s="2" t="s">
        <v>1396</v>
      </c>
      <c r="C126" s="2">
        <v>2014.0</v>
      </c>
      <c r="D126" s="2" t="s">
        <v>2474</v>
      </c>
      <c r="E126" s="2" t="s">
        <v>2475</v>
      </c>
      <c r="J126" s="12" t="str">
        <f>VLOOKUP(I126,'Copy of Enriched Data - IPBES G'!$L$2:$L$229,1,false)</f>
        <v>#N/A</v>
      </c>
      <c r="M126" s="2" t="s">
        <v>1476</v>
      </c>
      <c r="N126" s="2" t="s">
        <v>1385</v>
      </c>
      <c r="O126" s="2" t="s">
        <v>1386</v>
      </c>
      <c r="AB126" s="2" t="s">
        <v>2476</v>
      </c>
      <c r="AO126" s="2" t="s">
        <v>1368</v>
      </c>
    </row>
    <row r="127" ht="15.75" customHeight="1">
      <c r="A127" s="2" t="s">
        <v>2483</v>
      </c>
      <c r="B127" s="2" t="s">
        <v>1396</v>
      </c>
      <c r="C127" s="2">
        <v>2009.0</v>
      </c>
      <c r="D127" s="2" t="s">
        <v>2484</v>
      </c>
      <c r="E127" s="2" t="s">
        <v>2485</v>
      </c>
      <c r="G127" s="2" t="s">
        <v>2486</v>
      </c>
      <c r="J127" s="12" t="str">
        <f>VLOOKUP(I127,'Copy of Enriched Data - IPBES G'!$L$2:$L$229,1,false)</f>
        <v>#N/A</v>
      </c>
      <c r="M127" s="2" t="s">
        <v>1364</v>
      </c>
      <c r="N127" s="2" t="s">
        <v>1385</v>
      </c>
      <c r="O127" s="2" t="s">
        <v>1386</v>
      </c>
      <c r="AB127" s="2" t="s">
        <v>2487</v>
      </c>
      <c r="AO127" s="2" t="s">
        <v>1368</v>
      </c>
    </row>
    <row r="128" ht="15.75" customHeight="1">
      <c r="A128" s="2" t="s">
        <v>2488</v>
      </c>
      <c r="B128" s="2" t="s">
        <v>1766</v>
      </c>
      <c r="C128" s="2">
        <v>1996.0</v>
      </c>
      <c r="D128" s="2" t="s">
        <v>2489</v>
      </c>
      <c r="E128" s="2" t="s">
        <v>2490</v>
      </c>
      <c r="F128" s="2" t="s">
        <v>2491</v>
      </c>
      <c r="J128" s="12" t="str">
        <f>VLOOKUP(I128,'Copy of Enriched Data - IPBES G'!$L$2:$L$229,1,false)</f>
        <v>#N/A</v>
      </c>
      <c r="M128" s="2" t="s">
        <v>2492</v>
      </c>
      <c r="N128" s="2" t="s">
        <v>1385</v>
      </c>
      <c r="O128" s="2" t="s">
        <v>1386</v>
      </c>
      <c r="Q128" s="2" t="s">
        <v>2493</v>
      </c>
      <c r="AB128" s="2" t="s">
        <v>1771</v>
      </c>
      <c r="AO128" s="2" t="s">
        <v>1368</v>
      </c>
    </row>
    <row r="129" ht="15.75" customHeight="1">
      <c r="A129" s="2" t="s">
        <v>2494</v>
      </c>
      <c r="B129" s="2" t="s">
        <v>1781</v>
      </c>
      <c r="C129" s="2">
        <v>2011.0</v>
      </c>
      <c r="D129" s="2" t="s">
        <v>2495</v>
      </c>
      <c r="E129" s="2" t="s">
        <v>2496</v>
      </c>
      <c r="J129" s="12" t="str">
        <f>VLOOKUP(I129,'Copy of Enriched Data - IPBES G'!$L$2:$L$229,1,false)</f>
        <v>#N/A</v>
      </c>
      <c r="L129" s="2" t="s">
        <v>2497</v>
      </c>
      <c r="M129" s="2" t="s">
        <v>1627</v>
      </c>
      <c r="N129" s="2" t="s">
        <v>1385</v>
      </c>
      <c r="O129" s="2" t="s">
        <v>1386</v>
      </c>
      <c r="AO129" s="2" t="s">
        <v>1368</v>
      </c>
    </row>
    <row r="130" ht="15.75" customHeight="1">
      <c r="A130" s="2" t="s">
        <v>2498</v>
      </c>
      <c r="B130" s="2" t="s">
        <v>1396</v>
      </c>
      <c r="C130" s="2">
        <v>2005.0</v>
      </c>
      <c r="D130" s="2" t="s">
        <v>2499</v>
      </c>
      <c r="E130" s="2" t="s">
        <v>2500</v>
      </c>
      <c r="J130" s="12" t="str">
        <f>VLOOKUP(I130,'Copy of Enriched Data - IPBES G'!$L$2:$L$229,1,false)</f>
        <v>#N/A</v>
      </c>
      <c r="M130" s="2" t="s">
        <v>1394</v>
      </c>
      <c r="N130" s="2" t="s">
        <v>1385</v>
      </c>
      <c r="O130" s="2" t="s">
        <v>1386</v>
      </c>
      <c r="AB130" s="2" t="s">
        <v>2501</v>
      </c>
      <c r="AC130" s="2" t="s">
        <v>1629</v>
      </c>
      <c r="AO130" s="2" t="s">
        <v>1368</v>
      </c>
    </row>
    <row r="131" ht="15.75" customHeight="1">
      <c r="A131" s="2" t="s">
        <v>2502</v>
      </c>
      <c r="B131" s="2" t="s">
        <v>1781</v>
      </c>
      <c r="C131" s="2">
        <v>2010.0</v>
      </c>
      <c r="D131" s="2" t="s">
        <v>2503</v>
      </c>
      <c r="E131" s="2" t="s">
        <v>2504</v>
      </c>
      <c r="J131" s="12" t="str">
        <f>VLOOKUP(I131,'Copy of Enriched Data - IPBES G'!$L$2:$L$229,1,false)</f>
        <v>#N/A</v>
      </c>
      <c r="L131" s="2" t="s">
        <v>2505</v>
      </c>
      <c r="M131" s="2" t="s">
        <v>1449</v>
      </c>
      <c r="N131" s="2" t="s">
        <v>1385</v>
      </c>
      <c r="O131" s="2" t="s">
        <v>1386</v>
      </c>
      <c r="AO131" s="2" t="s">
        <v>1368</v>
      </c>
    </row>
    <row r="132" ht="15.75" customHeight="1">
      <c r="A132" s="2" t="s">
        <v>2506</v>
      </c>
      <c r="B132" s="2" t="s">
        <v>1396</v>
      </c>
      <c r="C132" s="2">
        <v>2008.0</v>
      </c>
      <c r="D132" s="2" t="s">
        <v>2507</v>
      </c>
      <c r="E132" s="2" t="s">
        <v>2508</v>
      </c>
      <c r="G132" s="2" t="s">
        <v>2509</v>
      </c>
      <c r="J132" s="12" t="str">
        <f>VLOOKUP(I132,'Copy of Enriched Data - IPBES G'!$L$2:$L$229,1,false)</f>
        <v>#N/A</v>
      </c>
      <c r="L132" s="2" t="s">
        <v>2510</v>
      </c>
      <c r="M132" s="2" t="s">
        <v>1458</v>
      </c>
      <c r="N132" s="2" t="s">
        <v>1385</v>
      </c>
      <c r="O132" s="2" t="s">
        <v>1386</v>
      </c>
      <c r="AO132" s="2" t="s">
        <v>1368</v>
      </c>
    </row>
    <row r="133" ht="15.75" customHeight="1">
      <c r="A133" s="2" t="s">
        <v>2511</v>
      </c>
      <c r="B133" s="2" t="s">
        <v>1396</v>
      </c>
      <c r="C133" s="2">
        <v>2008.0</v>
      </c>
      <c r="D133" s="2" t="s">
        <v>2512</v>
      </c>
      <c r="E133" s="2" t="s">
        <v>2513</v>
      </c>
      <c r="J133" s="12" t="str">
        <f>VLOOKUP(I133,'Copy of Enriched Data - IPBES G'!$L$2:$L$229,1,false)</f>
        <v>#N/A</v>
      </c>
      <c r="M133" s="2" t="s">
        <v>1458</v>
      </c>
      <c r="N133" s="2" t="s">
        <v>1385</v>
      </c>
      <c r="O133" s="2" t="s">
        <v>1386</v>
      </c>
      <c r="AB133" s="2" t="s">
        <v>2514</v>
      </c>
      <c r="AO133" s="2" t="s">
        <v>1368</v>
      </c>
    </row>
    <row r="134" ht="15.75" customHeight="1">
      <c r="A134" s="2" t="s">
        <v>2515</v>
      </c>
      <c r="B134" s="2" t="s">
        <v>1361</v>
      </c>
      <c r="C134" s="2">
        <v>2004.0</v>
      </c>
      <c r="D134" s="2" t="s">
        <v>2516</v>
      </c>
      <c r="E134" s="2" t="s">
        <v>2517</v>
      </c>
      <c r="F134" s="2" t="s">
        <v>2518</v>
      </c>
      <c r="H134" s="2" t="s">
        <v>2519</v>
      </c>
      <c r="I134" s="2" t="s">
        <v>2520</v>
      </c>
      <c r="J134" s="12" t="str">
        <f>VLOOKUP(I134,'Copy of Enriched Data - IPBES G'!$L$2:$L$229,1,false)</f>
        <v>#N/A</v>
      </c>
      <c r="L134" s="2" t="s">
        <v>2521</v>
      </c>
      <c r="M134" s="2" t="s">
        <v>2373</v>
      </c>
      <c r="N134" s="2" t="s">
        <v>1385</v>
      </c>
      <c r="O134" s="2" t="s">
        <v>1386</v>
      </c>
      <c r="AO134" s="2" t="s">
        <v>1368</v>
      </c>
    </row>
    <row r="135" ht="15.75" customHeight="1">
      <c r="A135" s="2" t="s">
        <v>2522</v>
      </c>
      <c r="B135" s="2" t="s">
        <v>1361</v>
      </c>
      <c r="C135" s="2">
        <v>1996.0</v>
      </c>
      <c r="D135" s="2" t="s">
        <v>2523</v>
      </c>
      <c r="E135" s="2" t="s">
        <v>2524</v>
      </c>
      <c r="F135" s="2" t="s">
        <v>2525</v>
      </c>
      <c r="H135" s="2" t="s">
        <v>2526</v>
      </c>
      <c r="I135" s="2" t="s">
        <v>2527</v>
      </c>
      <c r="J135" s="12" t="str">
        <f>VLOOKUP(I135,'Copy of Enriched Data - IPBES G'!$L$2:$L$229,1,false)</f>
        <v>#N/A</v>
      </c>
      <c r="L135" s="2" t="s">
        <v>2528</v>
      </c>
      <c r="M135" s="2" t="s">
        <v>2492</v>
      </c>
      <c r="N135" s="2" t="s">
        <v>1385</v>
      </c>
      <c r="O135" s="2" t="s">
        <v>1386</v>
      </c>
      <c r="Q135" s="2" t="s">
        <v>2529</v>
      </c>
      <c r="S135" s="2" t="s">
        <v>1462</v>
      </c>
      <c r="T135" s="2">
        <v>6.0</v>
      </c>
      <c r="AO135" s="2" t="s">
        <v>1368</v>
      </c>
    </row>
    <row r="136" ht="15.75" customHeight="1">
      <c r="A136" s="2" t="s">
        <v>2530</v>
      </c>
      <c r="B136" s="2" t="s">
        <v>1361</v>
      </c>
      <c r="C136" s="2">
        <v>2002.0</v>
      </c>
      <c r="D136" s="2" t="s">
        <v>2531</v>
      </c>
      <c r="E136" s="2" t="s">
        <v>2532</v>
      </c>
      <c r="F136" s="2" t="s">
        <v>2533</v>
      </c>
      <c r="H136" s="2" t="s">
        <v>2534</v>
      </c>
      <c r="I136" s="2" t="s">
        <v>2535</v>
      </c>
      <c r="J136" s="12" t="str">
        <f>VLOOKUP(I136,'Copy of Enriched Data - IPBES G'!$L$2:$L$229,1,false)</f>
        <v>#N/A</v>
      </c>
      <c r="L136" s="2" t="s">
        <v>2536</v>
      </c>
      <c r="M136" s="2" t="s">
        <v>1493</v>
      </c>
      <c r="N136" s="2" t="s">
        <v>1385</v>
      </c>
      <c r="O136" s="2" t="s">
        <v>1386</v>
      </c>
      <c r="Q136" s="2" t="s">
        <v>2537</v>
      </c>
      <c r="S136" s="2" t="s">
        <v>1453</v>
      </c>
      <c r="T136" s="2">
        <v>77.0</v>
      </c>
      <c r="AO136" s="2" t="s">
        <v>1368</v>
      </c>
    </row>
    <row r="137" ht="15.75" customHeight="1">
      <c r="A137" s="2" t="s">
        <v>2538</v>
      </c>
      <c r="B137" s="2" t="s">
        <v>1361</v>
      </c>
      <c r="C137" s="2">
        <v>2015.0</v>
      </c>
      <c r="D137" s="2" t="s">
        <v>2539</v>
      </c>
      <c r="E137" s="2" t="s">
        <v>2540</v>
      </c>
      <c r="F137" s="2" t="s">
        <v>2541</v>
      </c>
      <c r="H137" s="2" t="s">
        <v>2542</v>
      </c>
      <c r="I137" s="2" t="s">
        <v>2543</v>
      </c>
      <c r="J137" s="12" t="str">
        <f>VLOOKUP(I137,'Copy of Enriched Data - IPBES G'!$L$2:$L$229,1,false)</f>
        <v>#N/A</v>
      </c>
      <c r="L137" s="2" t="s">
        <v>2544</v>
      </c>
      <c r="M137" s="2" t="s">
        <v>1373</v>
      </c>
      <c r="N137" s="2" t="s">
        <v>1385</v>
      </c>
      <c r="O137" s="2" t="s">
        <v>1386</v>
      </c>
      <c r="Q137" s="2" t="s">
        <v>2545</v>
      </c>
      <c r="S137" s="2" t="s">
        <v>1480</v>
      </c>
      <c r="T137" s="2">
        <v>23.0</v>
      </c>
      <c r="AO137" s="2" t="s">
        <v>1368</v>
      </c>
    </row>
    <row r="138" ht="15.75" customHeight="1">
      <c r="A138" s="2" t="s">
        <v>2546</v>
      </c>
      <c r="B138" s="2" t="s">
        <v>1361</v>
      </c>
      <c r="C138" s="2">
        <v>2015.0</v>
      </c>
      <c r="D138" s="2" t="s">
        <v>2547</v>
      </c>
      <c r="E138" s="2" t="s">
        <v>2548</v>
      </c>
      <c r="F138" s="2" t="s">
        <v>2549</v>
      </c>
      <c r="H138" s="2" t="s">
        <v>2550</v>
      </c>
      <c r="I138" s="2" t="s">
        <v>2551</v>
      </c>
      <c r="J138" s="12" t="str">
        <f>VLOOKUP(I138,'Copy of Enriched Data - IPBES G'!$L$2:$L$229,1,false)</f>
        <v>#N/A</v>
      </c>
      <c r="L138" s="2" t="s">
        <v>2552</v>
      </c>
      <c r="M138" s="2" t="s">
        <v>1373</v>
      </c>
      <c r="N138" s="2" t="s">
        <v>1385</v>
      </c>
      <c r="O138" s="2" t="s">
        <v>1386</v>
      </c>
      <c r="Q138" s="2" t="s">
        <v>2553</v>
      </c>
      <c r="S138" s="2" t="s">
        <v>1462</v>
      </c>
      <c r="T138" s="2">
        <v>20.0</v>
      </c>
      <c r="AO138" s="2" t="s">
        <v>1368</v>
      </c>
    </row>
    <row r="139" ht="15.75" customHeight="1">
      <c r="A139" s="2" t="s">
        <v>2554</v>
      </c>
      <c r="B139" s="2" t="s">
        <v>1396</v>
      </c>
      <c r="C139" s="2">
        <v>2012.0</v>
      </c>
      <c r="D139" s="2" t="s">
        <v>2555</v>
      </c>
      <c r="E139" s="2" t="s">
        <v>690</v>
      </c>
      <c r="G139" s="2" t="s">
        <v>2556</v>
      </c>
      <c r="J139" s="12" t="str">
        <f>VLOOKUP(I139,'Copy of Enriched Data - IPBES G'!$L$2:$L$229,1,false)</f>
        <v>#N/A</v>
      </c>
      <c r="L139" s="2" t="s">
        <v>2557</v>
      </c>
      <c r="M139" s="2" t="s">
        <v>1405</v>
      </c>
      <c r="N139" s="2" t="s">
        <v>1385</v>
      </c>
      <c r="O139" s="2" t="s">
        <v>1386</v>
      </c>
      <c r="AO139" s="2" t="s">
        <v>1368</v>
      </c>
    </row>
    <row r="140" ht="15.75" customHeight="1">
      <c r="A140" s="2" t="s">
        <v>2558</v>
      </c>
      <c r="B140" s="2" t="s">
        <v>1361</v>
      </c>
      <c r="C140" s="2">
        <v>2012.0</v>
      </c>
      <c r="D140" s="2" t="s">
        <v>2559</v>
      </c>
      <c r="E140" s="2" t="s">
        <v>2560</v>
      </c>
      <c r="F140" s="2" t="s">
        <v>1688</v>
      </c>
      <c r="H140" s="2" t="s">
        <v>1689</v>
      </c>
      <c r="I140" s="2" t="s">
        <v>2561</v>
      </c>
      <c r="J140" s="12" t="str">
        <f>VLOOKUP(I140,'Copy of Enriched Data - IPBES G'!$L$2:$L$229,1,false)</f>
        <v>#N/A</v>
      </c>
      <c r="K140" s="2" t="s">
        <v>2562</v>
      </c>
      <c r="L140" s="2" t="s">
        <v>2563</v>
      </c>
      <c r="M140" s="2" t="s">
        <v>1405</v>
      </c>
      <c r="N140" s="2" t="s">
        <v>1385</v>
      </c>
      <c r="O140" s="2" t="s">
        <v>1386</v>
      </c>
      <c r="Q140" s="2" t="s">
        <v>2564</v>
      </c>
      <c r="S140" s="2" t="s">
        <v>2565</v>
      </c>
      <c r="T140" s="2">
        <v>109.0</v>
      </c>
      <c r="AO140" s="2" t="s">
        <v>1368</v>
      </c>
    </row>
    <row r="141" ht="15.75" customHeight="1">
      <c r="A141" s="2" t="s">
        <v>2566</v>
      </c>
      <c r="B141" s="2" t="s">
        <v>1361</v>
      </c>
      <c r="C141" s="2">
        <v>2009.0</v>
      </c>
      <c r="D141" s="2" t="s">
        <v>2567</v>
      </c>
      <c r="E141" s="2" t="s">
        <v>2568</v>
      </c>
      <c r="F141" s="2" t="s">
        <v>2340</v>
      </c>
      <c r="H141" s="2" t="s">
        <v>2341</v>
      </c>
      <c r="I141" s="2" t="s">
        <v>2569</v>
      </c>
      <c r="J141" s="12" t="str">
        <f>VLOOKUP(I141,'Copy of Enriched Data - IPBES G'!$L$2:$L$229,1,false)</f>
        <v>#N/A</v>
      </c>
      <c r="L141" s="2" t="s">
        <v>2570</v>
      </c>
      <c r="M141" s="2" t="s">
        <v>1364</v>
      </c>
      <c r="N141" s="2" t="s">
        <v>1385</v>
      </c>
      <c r="O141" s="2" t="s">
        <v>1386</v>
      </c>
      <c r="AO141" s="2" t="s">
        <v>1368</v>
      </c>
    </row>
    <row r="142" ht="15.75" customHeight="1">
      <c r="A142" s="2" t="s">
        <v>2571</v>
      </c>
      <c r="B142" s="2" t="s">
        <v>1361</v>
      </c>
      <c r="C142" s="2">
        <v>2012.0</v>
      </c>
      <c r="D142" s="2" t="s">
        <v>2572</v>
      </c>
      <c r="E142" s="2" t="s">
        <v>2573</v>
      </c>
      <c r="F142" s="2" t="s">
        <v>1863</v>
      </c>
      <c r="H142" s="2" t="s">
        <v>1864</v>
      </c>
      <c r="I142" s="2" t="s">
        <v>2574</v>
      </c>
      <c r="J142" s="12" t="str">
        <f>VLOOKUP(I142,'Copy of Enriched Data - IPBES G'!$L$2:$L$229,1,false)</f>
        <v>#N/A</v>
      </c>
      <c r="L142" s="2" t="s">
        <v>2575</v>
      </c>
      <c r="M142" s="2" t="s">
        <v>1405</v>
      </c>
      <c r="N142" s="2" t="s">
        <v>1385</v>
      </c>
      <c r="O142" s="2" t="s">
        <v>1386</v>
      </c>
      <c r="AO142" s="2" t="s">
        <v>1368</v>
      </c>
    </row>
    <row r="143" ht="15.75" customHeight="1">
      <c r="A143" s="2" t="s">
        <v>2576</v>
      </c>
      <c r="B143" s="2" t="s">
        <v>1361</v>
      </c>
      <c r="C143" s="2">
        <v>2009.0</v>
      </c>
      <c r="D143" s="2" t="s">
        <v>2577</v>
      </c>
      <c r="E143" s="2" t="s">
        <v>2578</v>
      </c>
      <c r="F143" s="2" t="s">
        <v>2579</v>
      </c>
      <c r="H143" s="2" t="s">
        <v>2580</v>
      </c>
      <c r="I143" s="2" t="s">
        <v>2581</v>
      </c>
      <c r="J143" s="12" t="str">
        <f>VLOOKUP(I143,'Copy of Enriched Data - IPBES G'!$L$2:$L$229,1,false)</f>
        <v>#N/A</v>
      </c>
      <c r="M143" s="2" t="s">
        <v>1364</v>
      </c>
      <c r="N143" s="2" t="s">
        <v>1385</v>
      </c>
      <c r="O143" s="2" t="s">
        <v>1386</v>
      </c>
      <c r="S143" s="2" t="s">
        <v>1462</v>
      </c>
      <c r="T143" s="2">
        <v>9.0</v>
      </c>
      <c r="AO143" s="2" t="s">
        <v>1368</v>
      </c>
    </row>
    <row r="144" ht="15.75" customHeight="1">
      <c r="A144" s="2" t="s">
        <v>2582</v>
      </c>
      <c r="B144" s="2" t="s">
        <v>1361</v>
      </c>
      <c r="C144" s="2">
        <v>2003.0</v>
      </c>
      <c r="D144" s="2" t="s">
        <v>2583</v>
      </c>
      <c r="E144" s="2" t="s">
        <v>2584</v>
      </c>
      <c r="F144" s="2" t="s">
        <v>2036</v>
      </c>
      <c r="H144" s="2" t="s">
        <v>2585</v>
      </c>
      <c r="I144" s="2" t="s">
        <v>2586</v>
      </c>
      <c r="J144" s="12" t="str">
        <f>VLOOKUP(I144,'Copy of Enriched Data - IPBES G'!$L$2:$L$229,1,false)</f>
        <v>#N/A</v>
      </c>
      <c r="L144" s="2" t="s">
        <v>2587</v>
      </c>
      <c r="M144" s="2" t="s">
        <v>1606</v>
      </c>
      <c r="N144" s="2" t="s">
        <v>1385</v>
      </c>
      <c r="O144" s="2" t="s">
        <v>1386</v>
      </c>
      <c r="AO144" s="2" t="s">
        <v>1368</v>
      </c>
    </row>
    <row r="145" ht="15.75" customHeight="1">
      <c r="A145" s="2" t="s">
        <v>2588</v>
      </c>
      <c r="B145" s="2" t="s">
        <v>1361</v>
      </c>
      <c r="C145" s="2">
        <v>2010.0</v>
      </c>
      <c r="D145" s="2" t="s">
        <v>2567</v>
      </c>
      <c r="E145" s="2" t="s">
        <v>2589</v>
      </c>
      <c r="F145" s="2" t="s">
        <v>2590</v>
      </c>
      <c r="H145" s="2" t="s">
        <v>2591</v>
      </c>
      <c r="I145" s="2" t="s">
        <v>2592</v>
      </c>
      <c r="J145" s="12" t="str">
        <f>VLOOKUP(I145,'Copy of Enriched Data - IPBES G'!$L$2:$L$229,1,false)</f>
        <v>#N/A</v>
      </c>
      <c r="L145" s="2" t="s">
        <v>2593</v>
      </c>
      <c r="M145" s="2" t="s">
        <v>1449</v>
      </c>
      <c r="N145" s="2" t="s">
        <v>1385</v>
      </c>
      <c r="O145" s="2" t="s">
        <v>1386</v>
      </c>
      <c r="AO145" s="2" t="s">
        <v>1368</v>
      </c>
    </row>
    <row r="146" ht="15.75" customHeight="1">
      <c r="A146" s="2" t="s">
        <v>2594</v>
      </c>
      <c r="B146" s="2" t="s">
        <v>1361</v>
      </c>
      <c r="C146" s="2">
        <v>2009.0</v>
      </c>
      <c r="D146" s="2" t="s">
        <v>2567</v>
      </c>
      <c r="E146" s="2" t="s">
        <v>2595</v>
      </c>
      <c r="F146" s="2" t="s">
        <v>1863</v>
      </c>
      <c r="H146" s="2" t="s">
        <v>1864</v>
      </c>
      <c r="I146" s="2" t="s">
        <v>2596</v>
      </c>
      <c r="J146" s="12" t="str">
        <f>VLOOKUP(I146,'Copy of Enriched Data - IPBES G'!$L$2:$L$229,1,false)</f>
        <v>#N/A</v>
      </c>
      <c r="L146" s="2" t="s">
        <v>2597</v>
      </c>
      <c r="M146" s="2" t="s">
        <v>1364</v>
      </c>
      <c r="N146" s="2" t="s">
        <v>1385</v>
      </c>
      <c r="O146" s="2" t="s">
        <v>1386</v>
      </c>
      <c r="AO146" s="2" t="s">
        <v>1368</v>
      </c>
    </row>
    <row r="147" ht="15.75" customHeight="1">
      <c r="A147" s="2" t="s">
        <v>2598</v>
      </c>
      <c r="B147" s="2" t="s">
        <v>1361</v>
      </c>
      <c r="C147" s="2">
        <v>2007.0</v>
      </c>
      <c r="D147" s="2" t="s">
        <v>2599</v>
      </c>
      <c r="E147" s="2" t="s">
        <v>2600</v>
      </c>
      <c r="F147" s="2" t="s">
        <v>2601</v>
      </c>
      <c r="H147" s="2" t="s">
        <v>2602</v>
      </c>
      <c r="I147" s="2" t="s">
        <v>2603</v>
      </c>
      <c r="J147" s="12" t="str">
        <f>VLOOKUP(I147,'Copy of Enriched Data - IPBES G'!$L$2:$L$229,1,false)</f>
        <v>#N/A</v>
      </c>
      <c r="L147" s="2" t="s">
        <v>2604</v>
      </c>
      <c r="M147" s="2" t="s">
        <v>2380</v>
      </c>
      <c r="N147" s="2" t="s">
        <v>1385</v>
      </c>
      <c r="O147" s="2" t="s">
        <v>1386</v>
      </c>
      <c r="AO147" s="2" t="s">
        <v>1368</v>
      </c>
    </row>
    <row r="148" ht="15.75" customHeight="1">
      <c r="A148" s="2" t="s">
        <v>2605</v>
      </c>
      <c r="B148" s="2" t="s">
        <v>1623</v>
      </c>
      <c r="C148" s="2">
        <v>1991.0</v>
      </c>
      <c r="D148" s="2" t="s">
        <v>2085</v>
      </c>
      <c r="E148" s="2" t="s">
        <v>2606</v>
      </c>
      <c r="J148" s="12" t="str">
        <f>VLOOKUP(I148,'Copy of Enriched Data - IPBES G'!$L$2:$L$229,1,false)</f>
        <v>#N/A</v>
      </c>
      <c r="M148" s="2" t="s">
        <v>2607</v>
      </c>
      <c r="N148" s="2" t="s">
        <v>1385</v>
      </c>
      <c r="O148" s="2" t="s">
        <v>1386</v>
      </c>
      <c r="AB148" s="2" t="s">
        <v>1653</v>
      </c>
      <c r="AO148" s="2" t="s">
        <v>1368</v>
      </c>
    </row>
    <row r="149" ht="15.75" customHeight="1">
      <c r="A149" s="2" t="s">
        <v>2608</v>
      </c>
      <c r="B149" s="2" t="s">
        <v>1361</v>
      </c>
      <c r="C149" s="2">
        <v>2012.0</v>
      </c>
      <c r="D149" s="2" t="s">
        <v>2609</v>
      </c>
      <c r="E149" s="2" t="s">
        <v>2610</v>
      </c>
      <c r="F149" s="2" t="s">
        <v>2205</v>
      </c>
      <c r="H149" s="2" t="s">
        <v>2206</v>
      </c>
      <c r="I149" s="2" t="s">
        <v>2611</v>
      </c>
      <c r="J149" s="12" t="str">
        <f>VLOOKUP(I149,'Copy of Enriched Data - IPBES G'!$L$2:$L$229,1,false)</f>
        <v>#N/A</v>
      </c>
      <c r="M149" s="2" t="s">
        <v>2612</v>
      </c>
      <c r="N149" s="2" t="s">
        <v>1385</v>
      </c>
      <c r="O149" s="2" t="s">
        <v>1386</v>
      </c>
      <c r="Q149" s="2" t="s">
        <v>2613</v>
      </c>
      <c r="S149" s="2" t="s">
        <v>1600</v>
      </c>
      <c r="T149" s="2">
        <v>36.0</v>
      </c>
      <c r="AO149" s="2" t="s">
        <v>1368</v>
      </c>
    </row>
    <row r="150" ht="15.75" customHeight="1">
      <c r="A150" s="2" t="s">
        <v>2614</v>
      </c>
      <c r="B150" s="2" t="s">
        <v>2615</v>
      </c>
      <c r="C150" s="2">
        <v>2017.0</v>
      </c>
      <c r="D150" s="2" t="s">
        <v>2616</v>
      </c>
      <c r="E150" s="2" t="s">
        <v>2617</v>
      </c>
      <c r="J150" s="12" t="str">
        <f>VLOOKUP(I150,'Copy of Enriched Data - IPBES G'!$L$2:$L$229,1,false)</f>
        <v>#N/A</v>
      </c>
      <c r="K150" s="2" t="s">
        <v>2618</v>
      </c>
      <c r="M150" s="2" t="s">
        <v>1658</v>
      </c>
      <c r="N150" s="2" t="s">
        <v>2619</v>
      </c>
      <c r="O150" s="2" t="s">
        <v>2620</v>
      </c>
      <c r="AO150" s="2" t="s">
        <v>1368</v>
      </c>
    </row>
    <row r="151" ht="15.75" customHeight="1">
      <c r="A151" s="2" t="s">
        <v>2621</v>
      </c>
      <c r="B151" s="2" t="s">
        <v>1361</v>
      </c>
      <c r="C151" s="2">
        <v>2006.0</v>
      </c>
      <c r="D151" s="2" t="s">
        <v>2622</v>
      </c>
      <c r="E151" s="2" t="s">
        <v>2623</v>
      </c>
      <c r="F151" s="2" t="s">
        <v>2624</v>
      </c>
      <c r="I151" s="2" t="s">
        <v>2625</v>
      </c>
      <c r="J151" s="12" t="str">
        <f>VLOOKUP(I151,'Copy of Enriched Data - IPBES G'!$L$2:$L$229,1,false)</f>
        <v>#N/A</v>
      </c>
      <c r="M151" s="2" t="s">
        <v>1727</v>
      </c>
      <c r="N151" s="2" t="s">
        <v>2626</v>
      </c>
      <c r="O151" s="2" t="s">
        <v>2627</v>
      </c>
      <c r="Q151" s="2" t="s">
        <v>2628</v>
      </c>
      <c r="T151" s="2" t="s">
        <v>2629</v>
      </c>
      <c r="AO151" s="2" t="s">
        <v>1368</v>
      </c>
    </row>
    <row r="152" ht="15.75" customHeight="1">
      <c r="A152" s="2" t="s">
        <v>2638</v>
      </c>
      <c r="B152" s="2" t="s">
        <v>1361</v>
      </c>
      <c r="C152" s="2">
        <v>2013.0</v>
      </c>
      <c r="D152" s="2" t="s">
        <v>2639</v>
      </c>
      <c r="E152" s="2" t="s">
        <v>2640</v>
      </c>
      <c r="F152" s="2" t="s">
        <v>2641</v>
      </c>
      <c r="I152" s="2" t="s">
        <v>2642</v>
      </c>
      <c r="J152" s="12" t="str">
        <f>VLOOKUP(I152,'Copy of Enriched Data - IPBES G'!$L$2:$L$229,1,false)</f>
        <v>#N/A</v>
      </c>
      <c r="M152" s="2" t="s">
        <v>1429</v>
      </c>
      <c r="N152" s="2" t="s">
        <v>2643</v>
      </c>
      <c r="O152" s="2" t="s">
        <v>2644</v>
      </c>
      <c r="Q152" s="2" t="s">
        <v>2645</v>
      </c>
      <c r="S152" s="2" t="s">
        <v>1453</v>
      </c>
      <c r="T152" s="2" t="s">
        <v>2646</v>
      </c>
      <c r="AO152" s="2" t="s">
        <v>1368</v>
      </c>
    </row>
    <row r="153" ht="15.75" customHeight="1">
      <c r="A153" s="2" t="s">
        <v>2647</v>
      </c>
      <c r="B153" s="2" t="s">
        <v>1361</v>
      </c>
      <c r="C153" s="2">
        <v>2014.0</v>
      </c>
      <c r="D153" s="2" t="s">
        <v>2648</v>
      </c>
      <c r="E153" s="2" t="s">
        <v>2649</v>
      </c>
      <c r="F153" s="2" t="s">
        <v>2650</v>
      </c>
      <c r="J153" s="12" t="str">
        <f>VLOOKUP(I153,'Copy of Enriched Data - IPBES G'!$L$2:$L$229,1,false)</f>
        <v>#N/A</v>
      </c>
      <c r="M153" s="2" t="s">
        <v>2651</v>
      </c>
      <c r="N153" s="2" t="s">
        <v>2652</v>
      </c>
      <c r="O153" s="2" t="s">
        <v>2653</v>
      </c>
      <c r="Q153" s="2" t="s">
        <v>2654</v>
      </c>
      <c r="T153" s="2" t="s">
        <v>1506</v>
      </c>
      <c r="AO153" s="2" t="s">
        <v>1368</v>
      </c>
    </row>
    <row r="154" ht="15.75" customHeight="1">
      <c r="A154" s="2" t="s">
        <v>2655</v>
      </c>
      <c r="B154" s="2" t="s">
        <v>1361</v>
      </c>
      <c r="C154" s="2">
        <v>2001.0</v>
      </c>
      <c r="D154" s="2" t="s">
        <v>2656</v>
      </c>
      <c r="E154" s="2" t="s">
        <v>2657</v>
      </c>
      <c r="F154" s="2" t="s">
        <v>2658</v>
      </c>
      <c r="J154" s="12" t="str">
        <f>VLOOKUP(I154,'Copy of Enriched Data - IPBES G'!$L$2:$L$229,1,false)</f>
        <v>#N/A</v>
      </c>
      <c r="M154" s="2" t="s">
        <v>1414</v>
      </c>
      <c r="N154" s="2" t="s">
        <v>2659</v>
      </c>
      <c r="O154" s="2" t="s">
        <v>2660</v>
      </c>
      <c r="Q154" s="2" t="s">
        <v>2661</v>
      </c>
      <c r="T154" s="2" t="s">
        <v>2042</v>
      </c>
      <c r="AO154" s="2" t="s">
        <v>1368</v>
      </c>
    </row>
    <row r="155" ht="15.75" customHeight="1">
      <c r="A155" s="2" t="s">
        <v>2662</v>
      </c>
      <c r="B155" s="2" t="s">
        <v>1361</v>
      </c>
      <c r="C155" s="2">
        <v>1990.0</v>
      </c>
      <c r="D155" s="2" t="s">
        <v>2663</v>
      </c>
      <c r="E155" s="2" t="s">
        <v>2664</v>
      </c>
      <c r="F155" s="2" t="s">
        <v>2665</v>
      </c>
      <c r="H155" s="2" t="s">
        <v>2666</v>
      </c>
      <c r="I155" s="2" t="s">
        <v>2667</v>
      </c>
      <c r="J155" s="12" t="str">
        <f>VLOOKUP(I155,'Copy of Enriched Data - IPBES G'!$L$2:$L$229,1,false)</f>
        <v>#N/A</v>
      </c>
      <c r="M155" s="2" t="s">
        <v>2668</v>
      </c>
      <c r="N155" s="2" t="s">
        <v>2669</v>
      </c>
      <c r="O155" s="2" t="s">
        <v>2670</v>
      </c>
      <c r="Q155" s="2" t="s">
        <v>2671</v>
      </c>
      <c r="S155" s="2" t="s">
        <v>1462</v>
      </c>
      <c r="T155" s="2" t="s">
        <v>2672</v>
      </c>
      <c r="AO155" s="2" t="s">
        <v>1368</v>
      </c>
    </row>
    <row r="156" ht="15.75" customHeight="1">
      <c r="A156" s="2" t="s">
        <v>2673</v>
      </c>
      <c r="B156" s="2" t="s">
        <v>1361</v>
      </c>
      <c r="C156" s="2">
        <v>2007.0</v>
      </c>
      <c r="D156" s="2" t="s">
        <v>2674</v>
      </c>
      <c r="E156" s="2" t="s">
        <v>2675</v>
      </c>
      <c r="F156" s="2" t="s">
        <v>2676</v>
      </c>
      <c r="I156" s="2" t="s">
        <v>2677</v>
      </c>
      <c r="J156" s="12" t="str">
        <f>VLOOKUP(I156,'Copy of Enriched Data - IPBES G'!$L$2:$L$229,1,false)</f>
        <v>#N/A</v>
      </c>
      <c r="M156" s="2" t="s">
        <v>2380</v>
      </c>
      <c r="N156" s="2" t="s">
        <v>2678</v>
      </c>
      <c r="O156" s="2" t="s">
        <v>2679</v>
      </c>
      <c r="Q156" s="2" t="s">
        <v>2680</v>
      </c>
      <c r="S156" s="2" t="s">
        <v>1600</v>
      </c>
      <c r="T156" s="2" t="s">
        <v>2681</v>
      </c>
      <c r="AO156" s="2" t="s">
        <v>1368</v>
      </c>
    </row>
    <row r="157" ht="15.75" customHeight="1">
      <c r="A157" s="2" t="s">
        <v>2682</v>
      </c>
      <c r="B157" s="2" t="s">
        <v>1361</v>
      </c>
      <c r="C157" s="2">
        <v>2004.0</v>
      </c>
      <c r="D157" s="2" t="s">
        <v>2683</v>
      </c>
      <c r="E157" s="2" t="s">
        <v>2684</v>
      </c>
      <c r="F157" s="2" t="s">
        <v>2685</v>
      </c>
      <c r="J157" s="12" t="str">
        <f>VLOOKUP(I157,'Copy of Enriched Data - IPBES G'!$L$2:$L$229,1,false)</f>
        <v>#N/A</v>
      </c>
      <c r="M157" s="2" t="s">
        <v>2373</v>
      </c>
      <c r="N157" s="2" t="s">
        <v>2686</v>
      </c>
      <c r="O157" s="2" t="s">
        <v>2687</v>
      </c>
      <c r="AO157" s="2" t="s">
        <v>1368</v>
      </c>
    </row>
    <row r="158" ht="15.75" customHeight="1">
      <c r="A158" s="2" t="s">
        <v>2688</v>
      </c>
      <c r="B158" s="2" t="s">
        <v>1361</v>
      </c>
      <c r="C158" s="2">
        <v>2012.0</v>
      </c>
      <c r="D158" s="2" t="s">
        <v>2689</v>
      </c>
      <c r="E158" s="2" t="s">
        <v>2690</v>
      </c>
      <c r="F158" s="2" t="s">
        <v>2691</v>
      </c>
      <c r="J158" s="12" t="str">
        <f>VLOOKUP(I158,'Copy of Enriched Data - IPBES G'!$L$2:$L$229,1,false)</f>
        <v>#N/A</v>
      </c>
      <c r="L158" s="2" t="s">
        <v>2692</v>
      </c>
      <c r="M158" s="2" t="s">
        <v>1405</v>
      </c>
      <c r="N158" s="2" t="s">
        <v>2693</v>
      </c>
      <c r="O158" s="2" t="s">
        <v>2694</v>
      </c>
      <c r="AO158" s="2" t="s">
        <v>1368</v>
      </c>
    </row>
    <row r="159" ht="15.75" customHeight="1">
      <c r="A159" s="2" t="s">
        <v>2695</v>
      </c>
      <c r="B159" s="2" t="s">
        <v>1361</v>
      </c>
      <c r="C159" s="2">
        <v>1989.0</v>
      </c>
      <c r="D159" s="2" t="s">
        <v>2696</v>
      </c>
      <c r="E159" s="2" t="s">
        <v>2697</v>
      </c>
      <c r="F159" s="2" t="s">
        <v>2698</v>
      </c>
      <c r="I159" s="2" t="s">
        <v>2699</v>
      </c>
      <c r="J159" s="12" t="str">
        <f>VLOOKUP(I159,'Copy of Enriched Data - IPBES G'!$L$2:$L$229,1,false)</f>
        <v>#N/A</v>
      </c>
      <c r="L159" s="2" t="s">
        <v>2700</v>
      </c>
      <c r="M159" s="2" t="s">
        <v>2701</v>
      </c>
      <c r="N159" s="2" t="s">
        <v>2702</v>
      </c>
      <c r="O159" s="2" t="s">
        <v>2703</v>
      </c>
      <c r="Q159" s="2" t="s">
        <v>2704</v>
      </c>
      <c r="S159" s="2" t="s">
        <v>1600</v>
      </c>
      <c r="T159" s="2" t="s">
        <v>2705</v>
      </c>
      <c r="AO159" s="2" t="s">
        <v>1368</v>
      </c>
    </row>
    <row r="160" ht="15.75" customHeight="1">
      <c r="A160" s="2" t="s">
        <v>2706</v>
      </c>
      <c r="B160" s="2" t="s">
        <v>1361</v>
      </c>
      <c r="C160" s="2">
        <v>2013.0</v>
      </c>
      <c r="D160" s="2" t="s">
        <v>2707</v>
      </c>
      <c r="E160" s="2" t="s">
        <v>2708</v>
      </c>
      <c r="F160" s="2" t="s">
        <v>2709</v>
      </c>
      <c r="I160" s="2" t="s">
        <v>2710</v>
      </c>
      <c r="J160" s="12" t="str">
        <f>VLOOKUP(I160,'Copy of Enriched Data - IPBES G'!$L$2:$L$229,1,false)</f>
        <v>#N/A</v>
      </c>
      <c r="M160" s="2" t="s">
        <v>1429</v>
      </c>
      <c r="N160" s="2" t="s">
        <v>2711</v>
      </c>
      <c r="O160" s="2" t="s">
        <v>2712</v>
      </c>
      <c r="Q160" s="2" t="s">
        <v>2713</v>
      </c>
      <c r="T160" s="2" t="s">
        <v>2714</v>
      </c>
      <c r="AO160" s="2" t="s">
        <v>1368</v>
      </c>
    </row>
    <row r="161" ht="15.75" customHeight="1">
      <c r="A161" s="2" t="s">
        <v>2715</v>
      </c>
      <c r="B161" s="2" t="s">
        <v>1361</v>
      </c>
      <c r="C161" s="2">
        <v>2015.0</v>
      </c>
      <c r="D161" s="2" t="s">
        <v>2716</v>
      </c>
      <c r="E161" s="2" t="s">
        <v>2717</v>
      </c>
      <c r="F161" s="2" t="s">
        <v>2205</v>
      </c>
      <c r="I161" s="2" t="s">
        <v>2718</v>
      </c>
      <c r="J161" s="12" t="str">
        <f>VLOOKUP(I161,'Copy of Enriched Data - IPBES G'!$L$2:$L$229,1,false)</f>
        <v>#N/A</v>
      </c>
      <c r="M161" s="2" t="s">
        <v>1373</v>
      </c>
      <c r="N161" s="2" t="s">
        <v>2719</v>
      </c>
      <c r="O161" s="2" t="s">
        <v>2720</v>
      </c>
      <c r="Q161" s="2" t="s">
        <v>2721</v>
      </c>
      <c r="T161" s="2" t="s">
        <v>2722</v>
      </c>
      <c r="AO161" s="2" t="s">
        <v>1368</v>
      </c>
    </row>
    <row r="162" ht="15.75" customHeight="1">
      <c r="A162" s="2" t="s">
        <v>2723</v>
      </c>
      <c r="B162" s="2" t="s">
        <v>1361</v>
      </c>
      <c r="C162" s="2">
        <v>2001.0</v>
      </c>
      <c r="D162" s="2" t="s">
        <v>2724</v>
      </c>
      <c r="E162" s="2" t="s">
        <v>2725</v>
      </c>
      <c r="F162" s="2" t="s">
        <v>2726</v>
      </c>
      <c r="I162" s="2" t="s">
        <v>2727</v>
      </c>
      <c r="J162" s="12" t="str">
        <f>VLOOKUP(I162,'Copy of Enriched Data - IPBES G'!$L$2:$L$229,1,false)</f>
        <v>#N/A</v>
      </c>
      <c r="M162" s="2" t="s">
        <v>1414</v>
      </c>
      <c r="N162" s="2" t="s">
        <v>2728</v>
      </c>
      <c r="O162" s="2" t="s">
        <v>2729</v>
      </c>
      <c r="Q162" s="2" t="s">
        <v>1376</v>
      </c>
      <c r="S162" s="2" t="s">
        <v>1600</v>
      </c>
      <c r="T162" s="2" t="s">
        <v>2730</v>
      </c>
      <c r="AO162" s="2" t="s">
        <v>1368</v>
      </c>
    </row>
    <row r="163" ht="15.75" customHeight="1">
      <c r="A163" s="2" t="s">
        <v>2731</v>
      </c>
      <c r="B163" s="2" t="s">
        <v>1361</v>
      </c>
      <c r="C163" s="2">
        <v>1993.0</v>
      </c>
      <c r="D163" s="2" t="s">
        <v>2732</v>
      </c>
      <c r="E163" s="2" t="s">
        <v>2733</v>
      </c>
      <c r="F163" s="2" t="s">
        <v>2734</v>
      </c>
      <c r="J163" s="12" t="str">
        <f>VLOOKUP(I163,'Copy of Enriched Data - IPBES G'!$L$2:$L$229,1,false)</f>
        <v>#N/A</v>
      </c>
      <c r="M163" s="2" t="s">
        <v>2735</v>
      </c>
      <c r="N163" s="2" t="s">
        <v>2736</v>
      </c>
      <c r="O163" s="2" t="s">
        <v>2737</v>
      </c>
      <c r="Q163" s="2" t="s">
        <v>2738</v>
      </c>
      <c r="T163" s="2" t="s">
        <v>2739</v>
      </c>
      <c r="AD163" s="2" t="s">
        <v>1540</v>
      </c>
      <c r="AO163" s="2" t="s">
        <v>1885</v>
      </c>
    </row>
    <row r="164" ht="15.75" customHeight="1">
      <c r="A164" s="2" t="s">
        <v>2740</v>
      </c>
      <c r="B164" s="2" t="s">
        <v>1361</v>
      </c>
      <c r="C164" s="2">
        <v>2012.0</v>
      </c>
      <c r="D164" s="2" t="s">
        <v>2741</v>
      </c>
      <c r="E164" s="2" t="s">
        <v>2742</v>
      </c>
      <c r="F164" s="2" t="s">
        <v>2743</v>
      </c>
      <c r="I164" s="2" t="s">
        <v>2744</v>
      </c>
      <c r="J164" s="12" t="str">
        <f>VLOOKUP(I164,'Copy of Enriched Data - IPBES G'!$L$2:$L$229,1,false)</f>
        <v>#N/A</v>
      </c>
      <c r="M164" s="2" t="s">
        <v>1405</v>
      </c>
      <c r="N164" s="2" t="s">
        <v>2745</v>
      </c>
      <c r="O164" s="2" t="s">
        <v>2746</v>
      </c>
      <c r="Q164" s="2" t="s">
        <v>2747</v>
      </c>
      <c r="T164" s="2" t="s">
        <v>2565</v>
      </c>
      <c r="AO164" s="2" t="s">
        <v>1368</v>
      </c>
    </row>
    <row r="165" ht="15.75" customHeight="1">
      <c r="A165" s="2" t="s">
        <v>2748</v>
      </c>
      <c r="B165" s="2" t="s">
        <v>1361</v>
      </c>
      <c r="C165" s="2">
        <v>1976.0</v>
      </c>
      <c r="D165" s="2" t="s">
        <v>2749</v>
      </c>
      <c r="E165" s="2" t="s">
        <v>2750</v>
      </c>
      <c r="F165" s="2" t="s">
        <v>1425</v>
      </c>
      <c r="I165" s="2" t="s">
        <v>2751</v>
      </c>
      <c r="J165" s="12" t="str">
        <f>VLOOKUP(I165,'Copy of Enriched Data - IPBES G'!$L$2:$L$229,1,false)</f>
        <v>#N/A</v>
      </c>
      <c r="M165" s="2" t="s">
        <v>2752</v>
      </c>
      <c r="N165" s="2" t="s">
        <v>2753</v>
      </c>
      <c r="O165" s="2" t="s">
        <v>2754</v>
      </c>
      <c r="Q165" s="2" t="s">
        <v>2755</v>
      </c>
      <c r="S165" s="2" t="s">
        <v>1600</v>
      </c>
      <c r="T165" s="2" t="s">
        <v>1600</v>
      </c>
      <c r="AO165" s="2" t="s">
        <v>1368</v>
      </c>
    </row>
    <row r="166" ht="15.75" customHeight="1">
      <c r="A166" s="2" t="s">
        <v>2756</v>
      </c>
      <c r="B166" s="2" t="s">
        <v>1361</v>
      </c>
      <c r="C166" s="2">
        <v>2015.0</v>
      </c>
      <c r="D166" s="2" t="s">
        <v>2757</v>
      </c>
      <c r="E166" s="2" t="s">
        <v>2758</v>
      </c>
      <c r="F166" s="2" t="s">
        <v>1633</v>
      </c>
      <c r="I166" s="2" t="s">
        <v>2759</v>
      </c>
      <c r="J166" s="12" t="str">
        <f>VLOOKUP(I166,'Copy of Enriched Data - IPBES G'!$L$2:$L$229,1,false)</f>
        <v>#N/A</v>
      </c>
      <c r="M166" s="2" t="s">
        <v>1373</v>
      </c>
      <c r="N166" s="2" t="s">
        <v>2760</v>
      </c>
      <c r="O166" s="2" t="s">
        <v>2761</v>
      </c>
      <c r="Q166" s="2" t="s">
        <v>2762</v>
      </c>
      <c r="S166" s="2" t="s">
        <v>1462</v>
      </c>
      <c r="T166" s="2" t="s">
        <v>2681</v>
      </c>
      <c r="AO166" s="2" t="s">
        <v>1368</v>
      </c>
    </row>
    <row r="167" ht="15.75" customHeight="1">
      <c r="A167" s="2" t="s">
        <v>2763</v>
      </c>
      <c r="B167" s="2" t="s">
        <v>1361</v>
      </c>
      <c r="C167" s="2">
        <v>2004.0</v>
      </c>
      <c r="D167" s="2" t="s">
        <v>2764</v>
      </c>
      <c r="E167" s="2" t="s">
        <v>2765</v>
      </c>
      <c r="F167" s="2" t="s">
        <v>2766</v>
      </c>
      <c r="I167" s="2" t="s">
        <v>2767</v>
      </c>
      <c r="J167" s="12" t="str">
        <f>VLOOKUP(I167,'Copy of Enriched Data - IPBES G'!$L$2:$L$229,1,false)</f>
        <v>#N/A</v>
      </c>
      <c r="M167" s="2" t="s">
        <v>2373</v>
      </c>
      <c r="N167" s="2" t="s">
        <v>2768</v>
      </c>
      <c r="O167" s="2" t="s">
        <v>2769</v>
      </c>
      <c r="Q167" s="2" t="s">
        <v>2770</v>
      </c>
      <c r="S167" s="2" t="s">
        <v>1937</v>
      </c>
      <c r="T167" s="2" t="s">
        <v>2714</v>
      </c>
      <c r="AO167" s="2" t="s">
        <v>1368</v>
      </c>
    </row>
    <row r="168" ht="15.75" customHeight="1">
      <c r="A168" s="2" t="s">
        <v>2771</v>
      </c>
      <c r="B168" s="2" t="s">
        <v>1361</v>
      </c>
      <c r="C168" s="2">
        <v>2008.0</v>
      </c>
      <c r="D168" s="2" t="s">
        <v>2772</v>
      </c>
      <c r="E168" s="2" t="s">
        <v>2773</v>
      </c>
      <c r="F168" s="2" t="s">
        <v>1447</v>
      </c>
      <c r="I168" s="2" t="s">
        <v>2774</v>
      </c>
      <c r="J168" s="12" t="str">
        <f>VLOOKUP(I168,'Copy of Enriched Data - IPBES G'!$L$2:$L$229,1,false)</f>
        <v>#N/A</v>
      </c>
      <c r="M168" s="2" t="s">
        <v>1458</v>
      </c>
      <c r="N168" s="2" t="s">
        <v>2775</v>
      </c>
      <c r="O168" s="2" t="s">
        <v>2776</v>
      </c>
      <c r="Q168" s="2" t="s">
        <v>2777</v>
      </c>
      <c r="S168" s="2" t="s">
        <v>1506</v>
      </c>
      <c r="T168" s="2" t="s">
        <v>2778</v>
      </c>
      <c r="AO168" s="2" t="s">
        <v>1368</v>
      </c>
    </row>
    <row r="169" ht="15.75" customHeight="1">
      <c r="A169" s="2" t="s">
        <v>2779</v>
      </c>
      <c r="B169" s="2" t="s">
        <v>1361</v>
      </c>
      <c r="C169" s="2">
        <v>2003.0</v>
      </c>
      <c r="D169" s="2" t="s">
        <v>2772</v>
      </c>
      <c r="E169" s="2" t="s">
        <v>2780</v>
      </c>
      <c r="F169" s="2" t="s">
        <v>2781</v>
      </c>
      <c r="I169" s="2" t="s">
        <v>2782</v>
      </c>
      <c r="J169" s="12" t="str">
        <f>VLOOKUP(I169,'Copy of Enriched Data - IPBES G'!$L$2:$L$229,1,false)</f>
        <v>#N/A</v>
      </c>
      <c r="M169" s="2" t="s">
        <v>1606</v>
      </c>
      <c r="N169" s="2" t="s">
        <v>2783</v>
      </c>
      <c r="O169" s="2" t="s">
        <v>2784</v>
      </c>
      <c r="Q169" s="2" t="s">
        <v>2785</v>
      </c>
      <c r="S169" s="2" t="s">
        <v>1462</v>
      </c>
      <c r="T169" s="2" t="s">
        <v>2739</v>
      </c>
      <c r="AO169" s="2" t="s">
        <v>1368</v>
      </c>
    </row>
    <row r="170" ht="15.75" customHeight="1">
      <c r="A170" s="2" t="s">
        <v>2786</v>
      </c>
      <c r="B170" s="2" t="s">
        <v>1361</v>
      </c>
      <c r="C170" s="2">
        <v>1996.0</v>
      </c>
      <c r="D170" s="2" t="s">
        <v>2787</v>
      </c>
      <c r="E170" s="2" t="s">
        <v>2788</v>
      </c>
      <c r="J170" s="12" t="str">
        <f>VLOOKUP(I170,'Copy of Enriched Data - IPBES G'!$L$2:$L$229,1,false)</f>
        <v>#N/A</v>
      </c>
      <c r="M170" s="2" t="s">
        <v>2492</v>
      </c>
      <c r="N170" s="2" t="s">
        <v>2789</v>
      </c>
      <c r="O170" s="2" t="s">
        <v>2790</v>
      </c>
      <c r="AO170" s="2" t="s">
        <v>1368</v>
      </c>
    </row>
    <row r="171" ht="15.75" customHeight="1">
      <c r="A171" s="2" t="s">
        <v>2791</v>
      </c>
      <c r="B171" s="2" t="s">
        <v>1361</v>
      </c>
      <c r="C171" s="2">
        <v>2007.0</v>
      </c>
      <c r="D171" s="2" t="s">
        <v>2792</v>
      </c>
      <c r="E171" s="2" t="s">
        <v>2793</v>
      </c>
      <c r="F171" s="2" t="s">
        <v>2794</v>
      </c>
      <c r="I171" s="2" t="s">
        <v>2795</v>
      </c>
      <c r="J171" s="12" t="str">
        <f>VLOOKUP(I171,'Copy of Enriched Data - IPBES G'!$L$2:$L$229,1,false)</f>
        <v>#N/A</v>
      </c>
      <c r="M171" s="2" t="s">
        <v>2380</v>
      </c>
      <c r="N171" s="2" t="s">
        <v>2796</v>
      </c>
      <c r="O171" s="2" t="s">
        <v>2797</v>
      </c>
      <c r="Q171" s="2" t="s">
        <v>2798</v>
      </c>
      <c r="S171" s="2" t="s">
        <v>1620</v>
      </c>
      <c r="T171" s="2" t="s">
        <v>2799</v>
      </c>
      <c r="AO171" s="2" t="s">
        <v>1368</v>
      </c>
    </row>
    <row r="172" ht="15.75" customHeight="1">
      <c r="A172" s="2" t="s">
        <v>2800</v>
      </c>
      <c r="B172" s="2" t="s">
        <v>1361</v>
      </c>
      <c r="C172" s="2">
        <v>2013.0</v>
      </c>
      <c r="D172" s="2" t="s">
        <v>2801</v>
      </c>
      <c r="E172" s="2" t="s">
        <v>2802</v>
      </c>
      <c r="F172" s="2" t="s">
        <v>1425</v>
      </c>
      <c r="I172" s="2" t="s">
        <v>2803</v>
      </c>
      <c r="J172" s="12" t="str">
        <f>VLOOKUP(I172,'Copy of Enriched Data - IPBES G'!$L$2:$L$229,1,false)</f>
        <v>#N/A</v>
      </c>
      <c r="M172" s="2" t="s">
        <v>1429</v>
      </c>
      <c r="N172" s="2" t="s">
        <v>2804</v>
      </c>
      <c r="O172" s="2" t="s">
        <v>2805</v>
      </c>
      <c r="Q172" s="2" t="s">
        <v>2806</v>
      </c>
      <c r="S172" s="2" t="s">
        <v>1600</v>
      </c>
      <c r="T172" s="2" t="s">
        <v>2807</v>
      </c>
      <c r="AO172" s="2" t="s">
        <v>1368</v>
      </c>
    </row>
    <row r="173" ht="15.75" customHeight="1">
      <c r="A173" s="2" t="s">
        <v>2808</v>
      </c>
      <c r="B173" s="2" t="s">
        <v>1361</v>
      </c>
      <c r="C173" s="2">
        <v>2003.0</v>
      </c>
      <c r="D173" s="2" t="s">
        <v>2809</v>
      </c>
      <c r="E173" s="2" t="s">
        <v>2810</v>
      </c>
      <c r="F173" s="2" t="s">
        <v>2811</v>
      </c>
      <c r="I173" s="2" t="s">
        <v>2812</v>
      </c>
      <c r="J173" s="12" t="str">
        <f>VLOOKUP(I173,'Copy of Enriched Data - IPBES G'!$L$2:$L$229,1,false)</f>
        <v>#N/A</v>
      </c>
      <c r="M173" s="2" t="s">
        <v>1606</v>
      </c>
      <c r="N173" s="2" t="s">
        <v>2813</v>
      </c>
      <c r="O173" s="2" t="s">
        <v>2814</v>
      </c>
      <c r="Q173" s="2" t="s">
        <v>2815</v>
      </c>
      <c r="S173" s="2" t="s">
        <v>1453</v>
      </c>
      <c r="T173" s="2" t="s">
        <v>2816</v>
      </c>
      <c r="AO173" s="2" t="s">
        <v>1368</v>
      </c>
    </row>
    <row r="174" ht="15.75" customHeight="1">
      <c r="A174" s="2" t="s">
        <v>2817</v>
      </c>
      <c r="B174" s="2" t="s">
        <v>1361</v>
      </c>
      <c r="C174" s="2">
        <v>2011.0</v>
      </c>
      <c r="D174" s="2" t="s">
        <v>2818</v>
      </c>
      <c r="E174" s="2" t="s">
        <v>2819</v>
      </c>
      <c r="F174" s="2" t="s">
        <v>1715</v>
      </c>
      <c r="I174" s="2" t="s">
        <v>2820</v>
      </c>
      <c r="J174" s="12" t="str">
        <f>VLOOKUP(I174,'Copy of Enriched Data - IPBES G'!$L$2:$L$229,1,false)</f>
        <v>#N/A</v>
      </c>
      <c r="M174" s="2" t="s">
        <v>1627</v>
      </c>
      <c r="N174" s="2" t="s">
        <v>2821</v>
      </c>
      <c r="O174" s="2" t="s">
        <v>2822</v>
      </c>
      <c r="Q174" s="2" t="s">
        <v>2823</v>
      </c>
      <c r="S174" s="2" t="s">
        <v>1453</v>
      </c>
      <c r="T174" s="2" t="s">
        <v>2824</v>
      </c>
      <c r="AO174" s="2" t="s">
        <v>1368</v>
      </c>
    </row>
    <row r="175" ht="15.75" customHeight="1">
      <c r="A175" s="2" t="s">
        <v>2825</v>
      </c>
      <c r="B175" s="2" t="s">
        <v>1361</v>
      </c>
      <c r="C175" s="2">
        <v>2007.0</v>
      </c>
      <c r="D175" s="2" t="s">
        <v>2826</v>
      </c>
      <c r="E175" s="2" t="s">
        <v>2827</v>
      </c>
      <c r="F175" s="2" t="s">
        <v>2828</v>
      </c>
      <c r="I175" s="2" t="s">
        <v>2829</v>
      </c>
      <c r="J175" s="12" t="str">
        <f>VLOOKUP(I175,'Copy of Enriched Data - IPBES G'!$L$2:$L$229,1,false)</f>
        <v>#N/A</v>
      </c>
      <c r="M175" s="2" t="s">
        <v>2380</v>
      </c>
      <c r="N175" s="2" t="s">
        <v>2830</v>
      </c>
      <c r="O175" s="2" t="s">
        <v>2831</v>
      </c>
      <c r="Q175" s="2" t="s">
        <v>2832</v>
      </c>
      <c r="T175" s="2" t="s">
        <v>1480</v>
      </c>
      <c r="AO175" s="2" t="s">
        <v>1368</v>
      </c>
    </row>
    <row r="176" ht="15.75" customHeight="1">
      <c r="A176" s="2" t="s">
        <v>2833</v>
      </c>
      <c r="B176" s="2" t="s">
        <v>1361</v>
      </c>
      <c r="C176" s="2">
        <v>2010.0</v>
      </c>
      <c r="D176" s="2" t="s">
        <v>2834</v>
      </c>
      <c r="E176" s="2" t="s">
        <v>2835</v>
      </c>
      <c r="F176" s="2" t="s">
        <v>2836</v>
      </c>
      <c r="J176" s="12" t="str">
        <f>VLOOKUP(I176,'Copy of Enriched Data - IPBES G'!$L$2:$L$229,1,false)</f>
        <v>#N/A</v>
      </c>
      <c r="M176" s="2" t="s">
        <v>1449</v>
      </c>
      <c r="N176" s="2" t="s">
        <v>2837</v>
      </c>
      <c r="O176" s="2" t="s">
        <v>2838</v>
      </c>
      <c r="Q176" s="2" t="s">
        <v>2839</v>
      </c>
      <c r="T176" s="2" t="s">
        <v>2840</v>
      </c>
      <c r="AO176" s="2" t="s">
        <v>1368</v>
      </c>
    </row>
    <row r="177" ht="15.75" customHeight="1">
      <c r="A177" s="2" t="s">
        <v>2853</v>
      </c>
      <c r="B177" s="2" t="s">
        <v>1361</v>
      </c>
      <c r="C177" s="2">
        <v>2016.0</v>
      </c>
      <c r="D177" s="2" t="s">
        <v>2854</v>
      </c>
      <c r="E177" s="2" t="s">
        <v>2855</v>
      </c>
      <c r="F177" s="2" t="s">
        <v>1380</v>
      </c>
      <c r="H177" s="2" t="s">
        <v>2856</v>
      </c>
      <c r="I177" s="2" t="s">
        <v>2857</v>
      </c>
      <c r="J177" s="12" t="str">
        <f>VLOOKUP(I177,'Copy of Enriched Data - IPBES G'!$L$2:$L$229,1,false)</f>
        <v>#N/A</v>
      </c>
      <c r="K177" s="2" t="s">
        <v>2858</v>
      </c>
      <c r="M177" s="2" t="s">
        <v>2859</v>
      </c>
      <c r="N177" s="2" t="s">
        <v>2860</v>
      </c>
      <c r="O177" s="2" t="s">
        <v>2861</v>
      </c>
      <c r="P177" s="2" t="s">
        <v>2862</v>
      </c>
      <c r="Q177" s="2" t="s">
        <v>2863</v>
      </c>
      <c r="S177" s="2" t="s">
        <v>2864</v>
      </c>
      <c r="T177" s="2" t="s">
        <v>2865</v>
      </c>
      <c r="V177" s="2" t="s">
        <v>1380</v>
      </c>
      <c r="W177" s="2" t="s">
        <v>2866</v>
      </c>
      <c r="AD177" s="2" t="s">
        <v>1540</v>
      </c>
      <c r="AI177" s="2" t="s">
        <v>1541</v>
      </c>
      <c r="AO177" s="2" t="s">
        <v>2159</v>
      </c>
    </row>
    <row r="178" ht="15.75" customHeight="1">
      <c r="A178" s="2" t="s">
        <v>2867</v>
      </c>
      <c r="B178" s="2" t="s">
        <v>1361</v>
      </c>
      <c r="C178" s="2">
        <v>2005.0</v>
      </c>
      <c r="D178" s="2" t="s">
        <v>2868</v>
      </c>
      <c r="E178" s="2" t="s">
        <v>2869</v>
      </c>
      <c r="F178" s="2" t="s">
        <v>1863</v>
      </c>
      <c r="H178" s="2" t="s">
        <v>1864</v>
      </c>
      <c r="I178" s="2" t="s">
        <v>2870</v>
      </c>
      <c r="J178" s="12" t="str">
        <f>VLOOKUP(I178,'Copy of Enriched Data - IPBES G'!$L$2:$L$229,1,false)</f>
        <v>#N/A</v>
      </c>
      <c r="K178" s="2" t="s">
        <v>2871</v>
      </c>
      <c r="M178" s="2" t="s">
        <v>2872</v>
      </c>
      <c r="N178" s="2" t="s">
        <v>2873</v>
      </c>
      <c r="O178" s="2" t="s">
        <v>2874</v>
      </c>
      <c r="P178" s="2" t="s">
        <v>2875</v>
      </c>
      <c r="Q178" s="2" t="s">
        <v>2876</v>
      </c>
      <c r="S178" s="2" t="s">
        <v>1453</v>
      </c>
      <c r="T178" s="2" t="s">
        <v>2877</v>
      </c>
      <c r="V178" s="2" t="s">
        <v>1863</v>
      </c>
      <c r="AD178" s="2" t="s">
        <v>1540</v>
      </c>
      <c r="AI178" s="2" t="s">
        <v>1541</v>
      </c>
      <c r="AO178" s="2" t="s">
        <v>1872</v>
      </c>
    </row>
    <row r="179" ht="15.75" customHeight="1">
      <c r="A179" s="2" t="s">
        <v>2878</v>
      </c>
      <c r="B179" s="2" t="s">
        <v>1361</v>
      </c>
      <c r="C179" s="2">
        <v>2018.0</v>
      </c>
      <c r="D179" s="2" t="s">
        <v>2879</v>
      </c>
      <c r="E179" s="2" t="s">
        <v>2880</v>
      </c>
      <c r="F179" s="2" t="s">
        <v>1707</v>
      </c>
      <c r="H179" s="2" t="s">
        <v>1708</v>
      </c>
      <c r="I179" s="2" t="s">
        <v>2881</v>
      </c>
      <c r="J179" s="12" t="str">
        <f>VLOOKUP(I179,'Copy of Enriched Data - IPBES G'!$L$2:$L$229,1,false)</f>
        <v>#N/A</v>
      </c>
      <c r="K179" s="2" t="s">
        <v>2882</v>
      </c>
      <c r="M179" s="2" t="s">
        <v>2883</v>
      </c>
      <c r="N179" s="2" t="s">
        <v>2884</v>
      </c>
      <c r="O179" s="2" t="s">
        <v>2885</v>
      </c>
      <c r="P179" s="2" t="s">
        <v>2886</v>
      </c>
      <c r="Q179" s="2" t="s">
        <v>2887</v>
      </c>
      <c r="S179" s="2" t="s">
        <v>2237</v>
      </c>
      <c r="T179" s="2" t="s">
        <v>1453</v>
      </c>
      <c r="V179" s="2" t="s">
        <v>2888</v>
      </c>
      <c r="AD179" s="2" t="s">
        <v>1540</v>
      </c>
      <c r="AI179" s="2" t="s">
        <v>1541</v>
      </c>
      <c r="AO179" s="2" t="s">
        <v>2889</v>
      </c>
    </row>
    <row r="180" ht="15.75" customHeight="1">
      <c r="A180" s="2" t="s">
        <v>2902</v>
      </c>
      <c r="B180" s="2" t="s">
        <v>1361</v>
      </c>
      <c r="C180" s="2">
        <v>2018.0</v>
      </c>
      <c r="D180" s="2" t="s">
        <v>2903</v>
      </c>
      <c r="E180" s="2" t="s">
        <v>2904</v>
      </c>
      <c r="F180" s="2" t="s">
        <v>2905</v>
      </c>
      <c r="H180" s="2" t="s">
        <v>2906</v>
      </c>
      <c r="I180" s="2" t="s">
        <v>2907</v>
      </c>
      <c r="J180" s="12" t="str">
        <f>VLOOKUP(I180,'Copy of Enriched Data - IPBES G'!$L$2:$L$229,1,false)</f>
        <v>#N/A</v>
      </c>
      <c r="K180" s="2" t="s">
        <v>2908</v>
      </c>
      <c r="M180" s="2" t="s">
        <v>2909</v>
      </c>
      <c r="N180" s="2" t="s">
        <v>2910</v>
      </c>
      <c r="O180" s="2" t="s">
        <v>2911</v>
      </c>
      <c r="P180" s="2" t="s">
        <v>2912</v>
      </c>
      <c r="Q180" s="2" t="s">
        <v>2913</v>
      </c>
      <c r="S180" s="2" t="s">
        <v>1443</v>
      </c>
      <c r="T180" s="2" t="s">
        <v>1462</v>
      </c>
      <c r="V180" s="2" t="s">
        <v>2914</v>
      </c>
      <c r="AD180" s="2" t="s">
        <v>1540</v>
      </c>
      <c r="AI180" s="2" t="s">
        <v>1541</v>
      </c>
      <c r="AO180" s="2" t="s">
        <v>2915</v>
      </c>
    </row>
    <row r="181" ht="15.75" customHeight="1">
      <c r="A181" s="2" t="s">
        <v>2916</v>
      </c>
      <c r="B181" s="2" t="s">
        <v>1623</v>
      </c>
      <c r="C181" s="2">
        <v>2016.0</v>
      </c>
      <c r="D181" s="2" t="s">
        <v>2917</v>
      </c>
      <c r="E181" s="2" t="s">
        <v>2918</v>
      </c>
      <c r="J181" s="12" t="str">
        <f>VLOOKUP(I181,'Copy of Enriched Data - IPBES G'!$L$2:$L$229,1,false)</f>
        <v>#N/A</v>
      </c>
      <c r="M181" s="2" t="s">
        <v>1502</v>
      </c>
      <c r="N181" s="2" t="s">
        <v>1562</v>
      </c>
      <c r="O181" s="2" t="s">
        <v>1563</v>
      </c>
      <c r="Q181" s="2" t="s">
        <v>2919</v>
      </c>
      <c r="AB181" s="2" t="s">
        <v>2920</v>
      </c>
      <c r="AC181" s="2" t="s">
        <v>2921</v>
      </c>
      <c r="AO181" s="2" t="s">
        <v>2188</v>
      </c>
    </row>
    <row r="182" ht="15.75" customHeight="1">
      <c r="A182" s="2" t="s">
        <v>2922</v>
      </c>
      <c r="B182" s="2" t="s">
        <v>1361</v>
      </c>
      <c r="C182" s="2">
        <v>2014.0</v>
      </c>
      <c r="D182" s="2" t="s">
        <v>2923</v>
      </c>
      <c r="E182" s="2" t="s">
        <v>2924</v>
      </c>
      <c r="F182" s="2" t="s">
        <v>2549</v>
      </c>
      <c r="H182" s="2" t="s">
        <v>2925</v>
      </c>
      <c r="I182" s="2" t="s">
        <v>2926</v>
      </c>
      <c r="J182" s="12" t="str">
        <f>VLOOKUP(I182,'Copy of Enriched Data - IPBES G'!$L$2:$L$229,1,false)</f>
        <v>#N/A</v>
      </c>
      <c r="L182" s="2" t="s">
        <v>2927</v>
      </c>
      <c r="M182" s="2" t="s">
        <v>1476</v>
      </c>
      <c r="N182" s="2" t="s">
        <v>1385</v>
      </c>
      <c r="O182" s="2" t="s">
        <v>1386</v>
      </c>
      <c r="S182" s="2" t="s">
        <v>1453</v>
      </c>
      <c r="T182" s="2" t="s">
        <v>2928</v>
      </c>
      <c r="AO182" s="2" t="s">
        <v>1368</v>
      </c>
    </row>
    <row r="183" ht="15.75" customHeight="1">
      <c r="A183" s="2" t="s">
        <v>2929</v>
      </c>
      <c r="B183" s="2" t="s">
        <v>1361</v>
      </c>
      <c r="C183" s="2">
        <v>2016.0</v>
      </c>
      <c r="D183" s="2" t="s">
        <v>2930</v>
      </c>
      <c r="E183" s="2" t="s">
        <v>2931</v>
      </c>
      <c r="F183" s="2" t="s">
        <v>2932</v>
      </c>
      <c r="H183" s="2" t="s">
        <v>2933</v>
      </c>
      <c r="I183" s="2" t="s">
        <v>2934</v>
      </c>
      <c r="J183" s="12" t="str">
        <f>VLOOKUP(I183,'Copy of Enriched Data - IPBES G'!$L$2:$L$229,1,false)</f>
        <v>#N/A</v>
      </c>
      <c r="K183" s="2" t="s">
        <v>2935</v>
      </c>
      <c r="L183" s="2" t="s">
        <v>2936</v>
      </c>
      <c r="M183" s="2" t="s">
        <v>1502</v>
      </c>
      <c r="N183" s="2" t="s">
        <v>1385</v>
      </c>
      <c r="O183" s="2" t="s">
        <v>1386</v>
      </c>
      <c r="Q183" s="2" t="s">
        <v>2937</v>
      </c>
      <c r="S183" s="2" t="s">
        <v>1453</v>
      </c>
      <c r="T183" s="2" t="s">
        <v>2739</v>
      </c>
      <c r="AO183" s="2" t="s">
        <v>1368</v>
      </c>
    </row>
    <row r="184" ht="15.75" customHeight="1">
      <c r="A184" s="2" t="s">
        <v>2958</v>
      </c>
      <c r="B184" s="2" t="s">
        <v>1361</v>
      </c>
      <c r="C184" s="2">
        <v>2011.0</v>
      </c>
      <c r="D184" s="2" t="s">
        <v>2959</v>
      </c>
      <c r="E184" s="2" t="s">
        <v>2960</v>
      </c>
      <c r="F184" s="2" t="s">
        <v>1380</v>
      </c>
      <c r="H184" s="2" t="s">
        <v>2961</v>
      </c>
      <c r="I184" s="2" t="s">
        <v>2962</v>
      </c>
      <c r="J184" s="12" t="str">
        <f>VLOOKUP(I184,'Copy of Enriched Data - IPBES G'!$L$2:$L$229,1,false)</f>
        <v>#N/A</v>
      </c>
      <c r="L184" s="2" t="s">
        <v>2963</v>
      </c>
      <c r="M184" s="2" t="s">
        <v>1627</v>
      </c>
      <c r="N184" s="2" t="s">
        <v>1385</v>
      </c>
      <c r="O184" s="2" t="s">
        <v>1386</v>
      </c>
      <c r="Q184" s="2" t="s">
        <v>2964</v>
      </c>
      <c r="S184" s="2" t="s">
        <v>2965</v>
      </c>
      <c r="T184" s="2" t="s">
        <v>2966</v>
      </c>
      <c r="AO184" s="2" t="s">
        <v>2967</v>
      </c>
    </row>
    <row r="185" ht="15.75" customHeight="1">
      <c r="A185" s="2" t="s">
        <v>2968</v>
      </c>
      <c r="B185" s="2" t="s">
        <v>1361</v>
      </c>
      <c r="C185" s="2">
        <v>2015.0</v>
      </c>
      <c r="D185" s="2" t="s">
        <v>2969</v>
      </c>
      <c r="E185" s="2" t="s">
        <v>2970</v>
      </c>
      <c r="F185" s="2" t="s">
        <v>2971</v>
      </c>
      <c r="I185" s="2" t="s">
        <v>2972</v>
      </c>
      <c r="J185" s="12" t="str">
        <f>VLOOKUP(I185,'Copy of Enriched Data - IPBES G'!$L$2:$L$229,1,false)</f>
        <v>#N/A</v>
      </c>
      <c r="M185" s="2" t="s">
        <v>1373</v>
      </c>
      <c r="N185" s="2" t="s">
        <v>1385</v>
      </c>
      <c r="O185" s="2" t="s">
        <v>1386</v>
      </c>
      <c r="Q185" s="2" t="s">
        <v>2973</v>
      </c>
      <c r="S185" s="2" t="s">
        <v>2974</v>
      </c>
      <c r="T185" s="2" t="s">
        <v>2975</v>
      </c>
      <c r="AO185" s="2" t="s">
        <v>2238</v>
      </c>
    </row>
    <row r="186" ht="15.75" customHeight="1">
      <c r="A186" s="2" t="s">
        <v>2976</v>
      </c>
      <c r="B186" s="2" t="s">
        <v>1396</v>
      </c>
      <c r="C186" s="2">
        <v>2014.0</v>
      </c>
      <c r="D186" s="2" t="s">
        <v>2977</v>
      </c>
      <c r="E186" s="2" t="s">
        <v>2978</v>
      </c>
      <c r="G186" s="2" t="s">
        <v>2979</v>
      </c>
      <c r="J186" s="12" t="str">
        <f>VLOOKUP(I186,'Copy of Enriched Data - IPBES G'!$L$2:$L$229,1,false)</f>
        <v>#N/A</v>
      </c>
      <c r="K186" s="2" t="s">
        <v>2980</v>
      </c>
      <c r="M186" s="2" t="s">
        <v>1476</v>
      </c>
      <c r="N186" s="2" t="s">
        <v>1385</v>
      </c>
      <c r="O186" s="2" t="s">
        <v>1386</v>
      </c>
      <c r="AB186" s="2" t="s">
        <v>2977</v>
      </c>
      <c r="AC186" s="2" t="s">
        <v>2146</v>
      </c>
      <c r="AO186" s="2" t="s">
        <v>1368</v>
      </c>
    </row>
    <row r="187" ht="15.75" customHeight="1">
      <c r="A187" s="2" t="s">
        <v>2981</v>
      </c>
      <c r="B187" s="2" t="s">
        <v>1396</v>
      </c>
      <c r="C187" s="2">
        <v>2017.0</v>
      </c>
      <c r="D187" s="2" t="s">
        <v>2982</v>
      </c>
      <c r="E187" s="2" t="s">
        <v>2983</v>
      </c>
      <c r="J187" s="12" t="str">
        <f>VLOOKUP(I187,'Copy of Enriched Data - IPBES G'!$L$2:$L$229,1,false)</f>
        <v>#N/A</v>
      </c>
      <c r="K187" s="2" t="s">
        <v>2984</v>
      </c>
      <c r="M187" s="2" t="s">
        <v>1658</v>
      </c>
      <c r="N187" s="2" t="s">
        <v>1385</v>
      </c>
      <c r="O187" s="2" t="s">
        <v>1386</v>
      </c>
      <c r="AO187" s="2" t="s">
        <v>1368</v>
      </c>
    </row>
    <row r="188" ht="15.75" customHeight="1">
      <c r="A188" s="2" t="s">
        <v>2985</v>
      </c>
      <c r="B188" s="2" t="s">
        <v>2986</v>
      </c>
      <c r="C188" s="2">
        <v>2017.0</v>
      </c>
      <c r="D188" s="2" t="s">
        <v>2987</v>
      </c>
      <c r="E188" s="2" t="s">
        <v>2988</v>
      </c>
      <c r="J188" s="12" t="str">
        <f>VLOOKUP(I188,'Copy of Enriched Data - IPBES G'!$L$2:$L$229,1,false)</f>
        <v>#N/A</v>
      </c>
      <c r="K188" s="2" t="s">
        <v>2989</v>
      </c>
      <c r="M188" s="2" t="s">
        <v>1658</v>
      </c>
      <c r="N188" s="2" t="s">
        <v>1385</v>
      </c>
      <c r="O188" s="2" t="s">
        <v>1386</v>
      </c>
      <c r="AO188" s="2" t="s">
        <v>1368</v>
      </c>
    </row>
    <row r="189" ht="15.75" customHeight="1">
      <c r="A189" s="2" t="s">
        <v>2990</v>
      </c>
      <c r="B189" s="2" t="s">
        <v>1396</v>
      </c>
      <c r="C189" s="2">
        <v>2006.0</v>
      </c>
      <c r="D189" s="2" t="s">
        <v>2991</v>
      </c>
      <c r="E189" s="2" t="s">
        <v>2992</v>
      </c>
      <c r="J189" s="12" t="str">
        <f>VLOOKUP(I189,'Copy of Enriched Data - IPBES G'!$L$2:$L$229,1,false)</f>
        <v>#N/A</v>
      </c>
      <c r="M189" s="2" t="s">
        <v>1727</v>
      </c>
      <c r="N189" s="2" t="s">
        <v>1385</v>
      </c>
      <c r="O189" s="2" t="s">
        <v>1386</v>
      </c>
      <c r="AB189" s="2" t="s">
        <v>2993</v>
      </c>
      <c r="AO189" s="2" t="s">
        <v>1368</v>
      </c>
    </row>
    <row r="190" ht="15.75" customHeight="1">
      <c r="A190" s="2" t="s">
        <v>2994</v>
      </c>
      <c r="B190" s="2" t="s">
        <v>1396</v>
      </c>
      <c r="C190" s="2">
        <v>2017.0</v>
      </c>
      <c r="D190" s="2" t="s">
        <v>2995</v>
      </c>
      <c r="E190" s="2" t="s">
        <v>2996</v>
      </c>
      <c r="J190" s="12" t="str">
        <f>VLOOKUP(I190,'Copy of Enriched Data - IPBES G'!$L$2:$L$229,1,false)</f>
        <v>#N/A</v>
      </c>
      <c r="K190" s="2" t="s">
        <v>2997</v>
      </c>
      <c r="M190" s="2" t="s">
        <v>1658</v>
      </c>
      <c r="N190" s="2" t="s">
        <v>1385</v>
      </c>
      <c r="O190" s="2" t="s">
        <v>1386</v>
      </c>
      <c r="AO190" s="2" t="s">
        <v>1368</v>
      </c>
    </row>
    <row r="191" ht="15.75" customHeight="1">
      <c r="A191" s="2" t="s">
        <v>2998</v>
      </c>
      <c r="B191" s="2" t="s">
        <v>1361</v>
      </c>
      <c r="C191" s="2">
        <v>2012.0</v>
      </c>
      <c r="D191" s="2" t="s">
        <v>2999</v>
      </c>
      <c r="E191" s="2" t="s">
        <v>3000</v>
      </c>
      <c r="J191" s="12" t="str">
        <f>VLOOKUP(I191,'Copy of Enriched Data - IPBES G'!$L$2:$L$229,1,false)</f>
        <v>#N/A</v>
      </c>
      <c r="M191" s="2" t="s">
        <v>1405</v>
      </c>
      <c r="N191" s="2" t="s">
        <v>1385</v>
      </c>
      <c r="O191" s="2" t="s">
        <v>1386</v>
      </c>
      <c r="AO191" s="2" t="s">
        <v>1368</v>
      </c>
    </row>
    <row r="192" ht="15.75" customHeight="1">
      <c r="A192" s="2" t="s">
        <v>3001</v>
      </c>
      <c r="B192" s="2" t="s">
        <v>1396</v>
      </c>
      <c r="C192" s="2">
        <v>1981.0</v>
      </c>
      <c r="D192" s="2" t="s">
        <v>3002</v>
      </c>
      <c r="E192" s="2" t="s">
        <v>3003</v>
      </c>
      <c r="J192" s="12" t="str">
        <f>VLOOKUP(I192,'Copy of Enriched Data - IPBES G'!$L$2:$L$229,1,false)</f>
        <v>#N/A</v>
      </c>
      <c r="M192" s="2" t="s">
        <v>2462</v>
      </c>
      <c r="N192" s="2" t="s">
        <v>1385</v>
      </c>
      <c r="O192" s="2" t="s">
        <v>1386</v>
      </c>
      <c r="AB192" s="2" t="s">
        <v>3004</v>
      </c>
      <c r="AC192" s="2" t="s">
        <v>3005</v>
      </c>
      <c r="AO192" s="2" t="s">
        <v>1368</v>
      </c>
    </row>
    <row r="193" ht="15.75" customHeight="1">
      <c r="A193" s="2" t="s">
        <v>3006</v>
      </c>
      <c r="B193" s="2" t="s">
        <v>2273</v>
      </c>
      <c r="C193" s="2">
        <v>2008.0</v>
      </c>
      <c r="D193" s="2" t="s">
        <v>3007</v>
      </c>
      <c r="E193" s="2" t="s">
        <v>3008</v>
      </c>
      <c r="J193" s="12" t="str">
        <f>VLOOKUP(I193,'Copy of Enriched Data - IPBES G'!$L$2:$L$229,1,false)</f>
        <v>#N/A</v>
      </c>
      <c r="M193" s="2" t="s">
        <v>1458</v>
      </c>
      <c r="N193" s="2" t="s">
        <v>1385</v>
      </c>
      <c r="O193" s="2" t="s">
        <v>1386</v>
      </c>
      <c r="AB193" s="2" t="s">
        <v>3009</v>
      </c>
      <c r="AC193" s="2" t="s">
        <v>3010</v>
      </c>
      <c r="AO193" s="2" t="s">
        <v>1368</v>
      </c>
    </row>
    <row r="194" ht="15.75" customHeight="1">
      <c r="A194" s="2" t="s">
        <v>3011</v>
      </c>
      <c r="B194" s="2" t="s">
        <v>3012</v>
      </c>
      <c r="C194" s="2">
        <v>2009.0</v>
      </c>
      <c r="D194" s="2" t="s">
        <v>3013</v>
      </c>
      <c r="E194" s="2" t="s">
        <v>3014</v>
      </c>
      <c r="F194" s="2" t="s">
        <v>3015</v>
      </c>
      <c r="J194" s="12" t="str">
        <f>VLOOKUP(I194,'Copy of Enriched Data - IPBES G'!$L$2:$L$229,1,false)</f>
        <v>#N/A</v>
      </c>
      <c r="K194" s="2" t="s">
        <v>3016</v>
      </c>
      <c r="M194" s="2" t="s">
        <v>3017</v>
      </c>
      <c r="N194" s="2" t="s">
        <v>1385</v>
      </c>
      <c r="O194" s="2" t="s">
        <v>1386</v>
      </c>
      <c r="P194" s="2" t="s">
        <v>3018</v>
      </c>
      <c r="AO194" s="2" t="s">
        <v>1368</v>
      </c>
    </row>
    <row r="195" ht="15.75" customHeight="1">
      <c r="A195" s="2" t="s">
        <v>3019</v>
      </c>
      <c r="B195" s="2" t="s">
        <v>1623</v>
      </c>
      <c r="C195" s="2">
        <v>2007.0</v>
      </c>
      <c r="D195" s="2" t="s">
        <v>2920</v>
      </c>
      <c r="E195" s="2" t="s">
        <v>3020</v>
      </c>
      <c r="J195" s="12" t="str">
        <f>VLOOKUP(I195,'Copy of Enriched Data - IPBES G'!$L$2:$L$229,1,false)</f>
        <v>#N/A</v>
      </c>
      <c r="M195" s="2" t="s">
        <v>2380</v>
      </c>
      <c r="N195" s="2" t="s">
        <v>1385</v>
      </c>
      <c r="O195" s="2" t="s">
        <v>1386</v>
      </c>
      <c r="Q195" s="2" t="s">
        <v>3021</v>
      </c>
      <c r="AB195" s="2" t="s">
        <v>2920</v>
      </c>
      <c r="AC195" s="2" t="s">
        <v>3022</v>
      </c>
      <c r="AO195" s="2" t="s">
        <v>1368</v>
      </c>
    </row>
    <row r="196" ht="15.75" customHeight="1">
      <c r="A196" s="2" t="s">
        <v>3023</v>
      </c>
      <c r="B196" s="2" t="s">
        <v>3012</v>
      </c>
      <c r="C196" s="2">
        <v>2018.0</v>
      </c>
      <c r="D196" s="2" t="s">
        <v>3024</v>
      </c>
      <c r="E196" s="2" t="s">
        <v>3025</v>
      </c>
      <c r="J196" s="12" t="str">
        <f>VLOOKUP(I196,'Copy of Enriched Data - IPBES G'!$L$2:$L$229,1,false)</f>
        <v>#N/A</v>
      </c>
      <c r="K196" s="2" t="s">
        <v>3026</v>
      </c>
      <c r="M196" s="2" t="s">
        <v>1420</v>
      </c>
      <c r="N196" s="2" t="s">
        <v>1385</v>
      </c>
      <c r="O196" s="2" t="s">
        <v>1386</v>
      </c>
      <c r="AO196" s="2" t="s">
        <v>1368</v>
      </c>
    </row>
    <row r="197" ht="15.75" customHeight="1">
      <c r="A197" s="2" t="s">
        <v>3027</v>
      </c>
      <c r="B197" s="2" t="s">
        <v>1361</v>
      </c>
      <c r="C197" s="2">
        <v>2013.0</v>
      </c>
      <c r="D197" s="2" t="s">
        <v>3028</v>
      </c>
      <c r="E197" s="2" t="s">
        <v>3029</v>
      </c>
      <c r="F197" s="2" t="s">
        <v>2254</v>
      </c>
      <c r="H197" s="2" t="s">
        <v>3030</v>
      </c>
      <c r="I197" s="2" t="s">
        <v>3031</v>
      </c>
      <c r="J197" s="12" t="str">
        <f>VLOOKUP(I197,'Copy of Enriched Data - IPBES G'!$L$2:$L$229,1,false)</f>
        <v>#N/A</v>
      </c>
      <c r="K197" s="2" t="s">
        <v>3032</v>
      </c>
      <c r="L197" s="2" t="s">
        <v>3033</v>
      </c>
      <c r="M197" s="2" t="s">
        <v>3034</v>
      </c>
      <c r="N197" s="2" t="s">
        <v>1385</v>
      </c>
      <c r="O197" s="2" t="s">
        <v>1386</v>
      </c>
      <c r="P197" s="2" t="s">
        <v>3035</v>
      </c>
      <c r="Q197" s="2" t="s">
        <v>3036</v>
      </c>
      <c r="S197" s="2" t="s">
        <v>2237</v>
      </c>
      <c r="T197" s="2" t="s">
        <v>3037</v>
      </c>
      <c r="V197" s="2" t="s">
        <v>2254</v>
      </c>
      <c r="AD197" s="2" t="s">
        <v>1540</v>
      </c>
      <c r="AI197" s="2" t="s">
        <v>1541</v>
      </c>
      <c r="AO197" s="2" t="s">
        <v>1368</v>
      </c>
    </row>
    <row r="198" ht="15.75" customHeight="1">
      <c r="A198" s="2" t="s">
        <v>3038</v>
      </c>
      <c r="B198" s="2" t="s">
        <v>1396</v>
      </c>
      <c r="C198" s="2">
        <v>2007.0</v>
      </c>
      <c r="D198" s="2" t="s">
        <v>3039</v>
      </c>
      <c r="E198" s="2" t="s">
        <v>3040</v>
      </c>
      <c r="J198" s="12" t="str">
        <f>VLOOKUP(I198,'Copy of Enriched Data - IPBES G'!$L$2:$L$229,1,false)</f>
        <v>#N/A</v>
      </c>
      <c r="L198" s="2" t="s">
        <v>3041</v>
      </c>
      <c r="M198" s="2" t="s">
        <v>2380</v>
      </c>
      <c r="N198" s="2" t="s">
        <v>1385</v>
      </c>
      <c r="O198" s="2" t="s">
        <v>1386</v>
      </c>
      <c r="AB198" s="2" t="s">
        <v>3042</v>
      </c>
      <c r="AC198" s="2" t="s">
        <v>3043</v>
      </c>
      <c r="AO198" s="2" t="s">
        <v>1368</v>
      </c>
    </row>
    <row r="199" ht="15.75" customHeight="1">
      <c r="A199" s="2" t="s">
        <v>3044</v>
      </c>
      <c r="B199" s="2" t="s">
        <v>1361</v>
      </c>
      <c r="C199" s="2">
        <v>2014.0</v>
      </c>
      <c r="D199" s="2" t="s">
        <v>3045</v>
      </c>
      <c r="E199" s="2" t="s">
        <v>3046</v>
      </c>
      <c r="F199" s="2" t="s">
        <v>3047</v>
      </c>
      <c r="H199" s="2" t="s">
        <v>3048</v>
      </c>
      <c r="I199" s="2" t="s">
        <v>3049</v>
      </c>
      <c r="J199" s="12" t="str">
        <f>VLOOKUP(I199,'Copy of Enriched Data - IPBES G'!$L$2:$L$229,1,false)</f>
        <v>#N/A</v>
      </c>
      <c r="K199" s="2" t="s">
        <v>3050</v>
      </c>
      <c r="M199" s="2" t="s">
        <v>1476</v>
      </c>
      <c r="N199" s="2" t="s">
        <v>1385</v>
      </c>
      <c r="O199" s="2" t="s">
        <v>1386</v>
      </c>
      <c r="S199" s="2" t="s">
        <v>3051</v>
      </c>
      <c r="X199" s="2" t="s">
        <v>3052</v>
      </c>
      <c r="AO199" s="2" t="s">
        <v>1368</v>
      </c>
    </row>
    <row r="200" ht="15.75" customHeight="1">
      <c r="A200" s="2" t="s">
        <v>3053</v>
      </c>
      <c r="B200" s="2" t="s">
        <v>1781</v>
      </c>
      <c r="C200" s="2">
        <v>2011.0</v>
      </c>
      <c r="D200" s="2" t="s">
        <v>2920</v>
      </c>
      <c r="E200" s="2" t="s">
        <v>3054</v>
      </c>
      <c r="J200" s="12" t="str">
        <f>VLOOKUP(I200,'Copy of Enriched Data - IPBES G'!$L$2:$L$229,1,false)</f>
        <v>#N/A</v>
      </c>
      <c r="K200" s="2" t="s">
        <v>3055</v>
      </c>
      <c r="M200" s="2" t="s">
        <v>1627</v>
      </c>
      <c r="N200" s="2" t="s">
        <v>1385</v>
      </c>
      <c r="O200" s="2" t="s">
        <v>1386</v>
      </c>
      <c r="AO200" s="2" t="s">
        <v>1368</v>
      </c>
    </row>
    <row r="201" ht="15.75" customHeight="1">
      <c r="A201" s="2" t="s">
        <v>3056</v>
      </c>
      <c r="B201" s="2" t="s">
        <v>1361</v>
      </c>
      <c r="C201" s="2">
        <v>2011.0</v>
      </c>
      <c r="D201" s="2" t="s">
        <v>3057</v>
      </c>
      <c r="E201" s="2" t="s">
        <v>3058</v>
      </c>
      <c r="F201" s="2" t="s">
        <v>3059</v>
      </c>
      <c r="H201" s="2" t="s">
        <v>3060</v>
      </c>
      <c r="I201" s="2" t="s">
        <v>3061</v>
      </c>
      <c r="J201" s="12" t="str">
        <f>VLOOKUP(I201,'Copy of Enriched Data - IPBES G'!$L$2:$L$229,1,false)</f>
        <v>#N/A</v>
      </c>
      <c r="K201" s="2" t="s">
        <v>3062</v>
      </c>
      <c r="L201" s="2" t="s">
        <v>3063</v>
      </c>
      <c r="M201" s="2" t="s">
        <v>3064</v>
      </c>
      <c r="N201" s="2" t="s">
        <v>1385</v>
      </c>
      <c r="O201" s="2" t="s">
        <v>1386</v>
      </c>
      <c r="Q201" s="2" t="s">
        <v>3065</v>
      </c>
      <c r="S201" s="2" t="s">
        <v>1937</v>
      </c>
      <c r="T201" s="2" t="s">
        <v>2629</v>
      </c>
      <c r="AO201" s="2" t="s">
        <v>1368</v>
      </c>
    </row>
    <row r="202" ht="15.75" customHeight="1">
      <c r="A202" s="2" t="s">
        <v>3066</v>
      </c>
      <c r="B202" s="2" t="s">
        <v>1781</v>
      </c>
      <c r="C202" s="2">
        <v>2016.0</v>
      </c>
      <c r="D202" s="2" t="s">
        <v>2920</v>
      </c>
      <c r="E202" s="2" t="s">
        <v>3067</v>
      </c>
      <c r="J202" s="12" t="str">
        <f>VLOOKUP(I202,'Copy of Enriched Data - IPBES G'!$L$2:$L$229,1,false)</f>
        <v>#N/A</v>
      </c>
      <c r="M202" s="2" t="s">
        <v>1502</v>
      </c>
      <c r="N202" s="2" t="s">
        <v>1385</v>
      </c>
      <c r="O202" s="2" t="s">
        <v>1386</v>
      </c>
      <c r="AO202" s="2" t="s">
        <v>1368</v>
      </c>
    </row>
    <row r="203" ht="15.75" customHeight="1">
      <c r="A203" s="2" t="s">
        <v>3068</v>
      </c>
      <c r="B203" s="2" t="s">
        <v>1781</v>
      </c>
      <c r="C203" s="2">
        <v>2014.0</v>
      </c>
      <c r="D203" s="2" t="s">
        <v>2920</v>
      </c>
      <c r="E203" s="2" t="s">
        <v>3069</v>
      </c>
      <c r="J203" s="12" t="str">
        <f>VLOOKUP(I203,'Copy of Enriched Data - IPBES G'!$L$2:$L$229,1,false)</f>
        <v>#N/A</v>
      </c>
      <c r="M203" s="2" t="s">
        <v>1476</v>
      </c>
      <c r="N203" s="2" t="s">
        <v>1385</v>
      </c>
      <c r="O203" s="2" t="s">
        <v>1386</v>
      </c>
      <c r="AO203" s="2" t="s">
        <v>1368</v>
      </c>
    </row>
    <row r="204" ht="15.75" customHeight="1">
      <c r="A204" s="2" t="s">
        <v>3070</v>
      </c>
      <c r="B204" s="2" t="s">
        <v>1396</v>
      </c>
      <c r="C204" s="2">
        <v>2018.0</v>
      </c>
      <c r="D204" s="2" t="s">
        <v>2995</v>
      </c>
      <c r="E204" s="2" t="s">
        <v>3071</v>
      </c>
      <c r="J204" s="12" t="str">
        <f>VLOOKUP(I204,'Copy of Enriched Data - IPBES G'!$L$2:$L$229,1,false)</f>
        <v>#N/A</v>
      </c>
      <c r="K204" s="2" t="s">
        <v>3072</v>
      </c>
      <c r="M204" s="2" t="s">
        <v>1420</v>
      </c>
      <c r="N204" s="2" t="s">
        <v>1385</v>
      </c>
      <c r="O204" s="2" t="s">
        <v>1386</v>
      </c>
      <c r="P204" s="2" t="s">
        <v>3073</v>
      </c>
      <c r="AO204" s="2" t="s">
        <v>1368</v>
      </c>
    </row>
    <row r="205" ht="15.75" customHeight="1">
      <c r="A205" s="2" t="s">
        <v>3074</v>
      </c>
      <c r="B205" s="2" t="s">
        <v>1361</v>
      </c>
      <c r="C205" s="2">
        <v>2017.0</v>
      </c>
      <c r="D205" s="2" t="s">
        <v>3075</v>
      </c>
      <c r="E205" s="2" t="s">
        <v>3076</v>
      </c>
      <c r="J205" s="12" t="str">
        <f>VLOOKUP(I205,'Copy of Enriched Data - IPBES G'!$L$2:$L$229,1,false)</f>
        <v>#N/A</v>
      </c>
      <c r="K205" s="2" t="s">
        <v>3077</v>
      </c>
      <c r="L205" s="2" t="s">
        <v>3078</v>
      </c>
      <c r="M205" s="2" t="s">
        <v>1658</v>
      </c>
      <c r="N205" s="2" t="s">
        <v>1385</v>
      </c>
      <c r="O205" s="2" t="s">
        <v>1386</v>
      </c>
      <c r="AO205" s="2" t="s">
        <v>1368</v>
      </c>
    </row>
    <row r="206" ht="15.75" customHeight="1">
      <c r="A206" s="2" t="s">
        <v>3079</v>
      </c>
      <c r="B206" s="2" t="s">
        <v>1766</v>
      </c>
      <c r="C206" s="2">
        <v>2006.0</v>
      </c>
      <c r="D206" s="2" t="s">
        <v>3080</v>
      </c>
      <c r="E206" s="2" t="s">
        <v>3081</v>
      </c>
      <c r="F206" s="2" t="s">
        <v>3082</v>
      </c>
      <c r="G206" s="2" t="s">
        <v>3083</v>
      </c>
      <c r="J206" s="12" t="str">
        <f>VLOOKUP(I206,'Copy of Enriched Data - IPBES G'!$L$2:$L$229,1,false)</f>
        <v>#N/A</v>
      </c>
      <c r="K206" s="2" t="s">
        <v>3084</v>
      </c>
      <c r="L206" s="2" t="s">
        <v>3085</v>
      </c>
      <c r="M206" s="2" t="s">
        <v>1727</v>
      </c>
      <c r="N206" s="2" t="s">
        <v>1385</v>
      </c>
      <c r="O206" s="2" t="s">
        <v>1386</v>
      </c>
      <c r="Q206" s="2" t="s">
        <v>3086</v>
      </c>
      <c r="AB206" s="2" t="s">
        <v>3087</v>
      </c>
      <c r="AC206" s="2" t="s">
        <v>3088</v>
      </c>
      <c r="AK206" s="2" t="s">
        <v>3089</v>
      </c>
      <c r="AO206" s="2" t="s">
        <v>1368</v>
      </c>
      <c r="AQ206" s="2" t="s">
        <v>3090</v>
      </c>
    </row>
    <row r="207" ht="15.75" customHeight="1">
      <c r="A207" s="2" t="s">
        <v>3091</v>
      </c>
      <c r="B207" s="2" t="s">
        <v>1361</v>
      </c>
      <c r="C207" s="2">
        <v>2015.0</v>
      </c>
      <c r="D207" s="2" t="s">
        <v>3092</v>
      </c>
      <c r="E207" s="2" t="s">
        <v>3093</v>
      </c>
      <c r="F207" s="2" t="s">
        <v>2650</v>
      </c>
      <c r="H207" s="2" t="s">
        <v>3094</v>
      </c>
      <c r="I207" s="2" t="s">
        <v>3095</v>
      </c>
      <c r="J207" s="12" t="str">
        <f>VLOOKUP(I207,'Copy of Enriched Data - IPBES G'!$L$2:$L$229,1,false)</f>
        <v>#N/A</v>
      </c>
      <c r="K207" s="2" t="s">
        <v>3096</v>
      </c>
      <c r="L207" s="2" t="s">
        <v>3097</v>
      </c>
      <c r="M207" s="2" t="s">
        <v>1373</v>
      </c>
      <c r="N207" s="2" t="s">
        <v>1385</v>
      </c>
      <c r="O207" s="2" t="s">
        <v>1386</v>
      </c>
      <c r="Q207" s="2" t="s">
        <v>3098</v>
      </c>
      <c r="S207" s="2" t="s">
        <v>2271</v>
      </c>
      <c r="T207" s="2" t="s">
        <v>1480</v>
      </c>
      <c r="AO207" s="2" t="s">
        <v>1368</v>
      </c>
    </row>
    <row r="208" ht="15.75" customHeight="1">
      <c r="A208" s="2" t="s">
        <v>3099</v>
      </c>
      <c r="B208" s="2" t="s">
        <v>1361</v>
      </c>
      <c r="C208" s="2">
        <v>2011.0</v>
      </c>
      <c r="D208" s="2" t="s">
        <v>3100</v>
      </c>
      <c r="E208" s="2" t="s">
        <v>3101</v>
      </c>
      <c r="F208" s="2" t="s">
        <v>3102</v>
      </c>
      <c r="H208" s="2" t="s">
        <v>3103</v>
      </c>
      <c r="I208" s="2" t="s">
        <v>3104</v>
      </c>
      <c r="J208" s="12" t="str">
        <f>VLOOKUP(I208,'Copy of Enriched Data - IPBES G'!$L$2:$L$229,1,false)</f>
        <v>#N/A</v>
      </c>
      <c r="K208" s="2" t="s">
        <v>3105</v>
      </c>
      <c r="L208" s="2" t="s">
        <v>3106</v>
      </c>
      <c r="M208" s="2" t="s">
        <v>3107</v>
      </c>
      <c r="N208" s="2" t="s">
        <v>1385</v>
      </c>
      <c r="O208" s="2" t="s">
        <v>1386</v>
      </c>
      <c r="Q208" s="2" t="s">
        <v>3108</v>
      </c>
      <c r="S208" s="2" t="s">
        <v>1480</v>
      </c>
      <c r="T208" s="2" t="s">
        <v>1600</v>
      </c>
      <c r="AO208" s="2" t="s">
        <v>1368</v>
      </c>
    </row>
    <row r="209" ht="15.75" customHeight="1">
      <c r="A209" s="2" t="s">
        <v>3109</v>
      </c>
      <c r="B209" s="2" t="s">
        <v>1361</v>
      </c>
      <c r="C209" s="2">
        <v>1999.0</v>
      </c>
      <c r="D209" s="2" t="s">
        <v>3110</v>
      </c>
      <c r="E209" s="2" t="s">
        <v>3111</v>
      </c>
      <c r="F209" s="2" t="s">
        <v>3112</v>
      </c>
      <c r="H209" s="2" t="s">
        <v>3113</v>
      </c>
      <c r="I209" s="2" t="s">
        <v>3114</v>
      </c>
      <c r="J209" s="12" t="str">
        <f>VLOOKUP(I209,'Copy of Enriched Data - IPBES G'!$L$2:$L$229,1,false)</f>
        <v>#N/A</v>
      </c>
      <c r="L209" s="2" t="s">
        <v>3115</v>
      </c>
      <c r="M209" s="2" t="s">
        <v>1434</v>
      </c>
      <c r="N209" s="2" t="s">
        <v>1385</v>
      </c>
      <c r="O209" s="2" t="s">
        <v>1386</v>
      </c>
      <c r="AO209" s="2" t="s">
        <v>1368</v>
      </c>
    </row>
    <row r="210" ht="15.75" customHeight="1">
      <c r="A210" s="2" t="s">
        <v>3116</v>
      </c>
      <c r="B210" s="2" t="s">
        <v>1361</v>
      </c>
      <c r="C210" s="2">
        <v>2014.0</v>
      </c>
      <c r="D210" s="2" t="s">
        <v>3117</v>
      </c>
      <c r="E210" s="2" t="s">
        <v>3118</v>
      </c>
      <c r="F210" s="2" t="s">
        <v>1484</v>
      </c>
      <c r="H210" s="2" t="s">
        <v>3119</v>
      </c>
      <c r="I210" s="2" t="s">
        <v>3120</v>
      </c>
      <c r="J210" s="12" t="str">
        <f>VLOOKUP(I210,'Copy of Enriched Data - IPBES G'!$L$2:$L$229,1,false)</f>
        <v>#N/A</v>
      </c>
      <c r="L210" s="2" t="s">
        <v>3121</v>
      </c>
      <c r="M210" s="2" t="s">
        <v>1476</v>
      </c>
      <c r="N210" s="2" t="s">
        <v>1385</v>
      </c>
      <c r="O210" s="2" t="s">
        <v>1386</v>
      </c>
      <c r="Q210" s="2" t="s">
        <v>3122</v>
      </c>
      <c r="T210" s="2" t="s">
        <v>3123</v>
      </c>
      <c r="AO210" s="2" t="s">
        <v>1368</v>
      </c>
    </row>
    <row r="211" ht="15.75" customHeight="1">
      <c r="A211" s="2" t="s">
        <v>3124</v>
      </c>
      <c r="B211" s="2" t="s">
        <v>1361</v>
      </c>
      <c r="C211" s="2">
        <v>2014.0</v>
      </c>
      <c r="D211" s="2" t="s">
        <v>3125</v>
      </c>
      <c r="E211" s="2" t="s">
        <v>3126</v>
      </c>
      <c r="F211" s="2" t="s">
        <v>1789</v>
      </c>
      <c r="H211" s="2" t="s">
        <v>1790</v>
      </c>
      <c r="I211" s="2" t="s">
        <v>3127</v>
      </c>
      <c r="J211" s="12" t="str">
        <f>VLOOKUP(I211,'Copy of Enriched Data - IPBES G'!$L$2:$L$229,1,false)</f>
        <v>#N/A</v>
      </c>
      <c r="L211" s="2" t="s">
        <v>3128</v>
      </c>
      <c r="M211" s="2" t="s">
        <v>1476</v>
      </c>
      <c r="N211" s="2" t="s">
        <v>1385</v>
      </c>
      <c r="O211" s="2" t="s">
        <v>1386</v>
      </c>
      <c r="AO211" s="2" t="s">
        <v>1368</v>
      </c>
    </row>
    <row r="212" ht="15.75" customHeight="1">
      <c r="A212" s="2" t="s">
        <v>3129</v>
      </c>
      <c r="B212" s="2" t="s">
        <v>1361</v>
      </c>
      <c r="C212" s="2">
        <v>2016.0</v>
      </c>
      <c r="D212" s="2" t="s">
        <v>3130</v>
      </c>
      <c r="E212" s="2" t="s">
        <v>3131</v>
      </c>
      <c r="F212" s="2" t="s">
        <v>2350</v>
      </c>
      <c r="H212" s="2" t="s">
        <v>3132</v>
      </c>
      <c r="I212" s="2" t="s">
        <v>3133</v>
      </c>
      <c r="J212" s="12" t="str">
        <f>VLOOKUP(I212,'Copy of Enriched Data - IPBES G'!$L$2:$L$229,1,false)</f>
        <v>#N/A</v>
      </c>
      <c r="L212" s="2" t="s">
        <v>3134</v>
      </c>
      <c r="M212" s="2" t="s">
        <v>1502</v>
      </c>
      <c r="N212" s="2" t="s">
        <v>1385</v>
      </c>
      <c r="O212" s="2" t="s">
        <v>1386</v>
      </c>
      <c r="Q212" s="2" t="s">
        <v>3135</v>
      </c>
      <c r="T212" s="2" t="s">
        <v>3136</v>
      </c>
      <c r="AO212" s="2" t="s">
        <v>1368</v>
      </c>
    </row>
    <row r="213" ht="15.75" customHeight="1">
      <c r="A213" s="2" t="s">
        <v>3137</v>
      </c>
      <c r="B213" s="2" t="s">
        <v>1396</v>
      </c>
      <c r="C213" s="2">
        <v>2016.0</v>
      </c>
      <c r="D213" s="2" t="s">
        <v>3138</v>
      </c>
      <c r="E213" s="2" t="s">
        <v>3139</v>
      </c>
      <c r="G213" s="2" t="s">
        <v>3140</v>
      </c>
      <c r="J213" s="12" t="str">
        <f>VLOOKUP(I213,'Copy of Enriched Data - IPBES G'!$L$2:$L$229,1,false)</f>
        <v>#N/A</v>
      </c>
      <c r="L213" s="2" t="s">
        <v>3141</v>
      </c>
      <c r="M213" s="2" t="s">
        <v>1502</v>
      </c>
      <c r="N213" s="2" t="s">
        <v>1385</v>
      </c>
      <c r="O213" s="2" t="s">
        <v>1386</v>
      </c>
      <c r="R213" s="2" t="s">
        <v>3142</v>
      </c>
      <c r="T213" s="2" t="s">
        <v>3143</v>
      </c>
      <c r="Y213" s="2" t="s">
        <v>3144</v>
      </c>
      <c r="AO213" s="2" t="s">
        <v>1368</v>
      </c>
    </row>
    <row r="214" ht="15.75" customHeight="1">
      <c r="A214" s="2" t="s">
        <v>3145</v>
      </c>
      <c r="B214" s="2" t="s">
        <v>1361</v>
      </c>
      <c r="C214" s="2">
        <v>2003.0</v>
      </c>
      <c r="D214" s="2" t="s">
        <v>3146</v>
      </c>
      <c r="E214" s="2" t="s">
        <v>3147</v>
      </c>
      <c r="F214" s="2" t="s">
        <v>3148</v>
      </c>
      <c r="I214" s="2" t="s">
        <v>3149</v>
      </c>
      <c r="J214" s="12" t="str">
        <f>VLOOKUP(I214,'Copy of Enriched Data - IPBES G'!$L$2:$L$229,1,false)</f>
        <v>#N/A</v>
      </c>
      <c r="M214" s="2" t="s">
        <v>1606</v>
      </c>
      <c r="N214" s="2" t="s">
        <v>1385</v>
      </c>
      <c r="O214" s="2" t="s">
        <v>1386</v>
      </c>
      <c r="Q214" s="2" t="s">
        <v>3150</v>
      </c>
      <c r="S214" s="2" t="s">
        <v>1462</v>
      </c>
      <c r="T214" s="2" t="s">
        <v>2953</v>
      </c>
      <c r="AO214" s="2" t="s">
        <v>1368</v>
      </c>
    </row>
    <row r="215" ht="15.75" customHeight="1">
      <c r="A215" s="2" t="s">
        <v>3151</v>
      </c>
      <c r="B215" s="2" t="s">
        <v>1361</v>
      </c>
      <c r="C215" s="2">
        <v>2016.0</v>
      </c>
      <c r="D215" s="2" t="s">
        <v>3152</v>
      </c>
      <c r="E215" s="2" t="s">
        <v>3153</v>
      </c>
      <c r="F215" s="2" t="s">
        <v>3154</v>
      </c>
      <c r="H215" s="2" t="s">
        <v>3155</v>
      </c>
      <c r="I215" s="2" t="s">
        <v>3156</v>
      </c>
      <c r="J215" s="12" t="str">
        <f>VLOOKUP(I215,'Copy of Enriched Data - IPBES G'!$L$2:$L$229,1,false)</f>
        <v>#N/A</v>
      </c>
      <c r="M215" s="2" t="s">
        <v>1502</v>
      </c>
      <c r="N215" s="2" t="s">
        <v>1385</v>
      </c>
      <c r="O215" s="2" t="s">
        <v>1386</v>
      </c>
      <c r="Q215" s="2" t="s">
        <v>3157</v>
      </c>
      <c r="S215" s="2" t="s">
        <v>3158</v>
      </c>
      <c r="T215" s="2" t="s">
        <v>3159</v>
      </c>
      <c r="AO215" s="2" t="s">
        <v>1368</v>
      </c>
    </row>
    <row r="216" ht="15.75" customHeight="1">
      <c r="A216" s="2" t="s">
        <v>3160</v>
      </c>
      <c r="B216" s="2" t="s">
        <v>1361</v>
      </c>
      <c r="C216" s="2">
        <v>2005.0</v>
      </c>
      <c r="D216" s="2" t="s">
        <v>3161</v>
      </c>
      <c r="E216" s="2" t="s">
        <v>3162</v>
      </c>
      <c r="F216" s="2" t="s">
        <v>3163</v>
      </c>
      <c r="H216" s="2" t="s">
        <v>3164</v>
      </c>
      <c r="I216" s="2" t="s">
        <v>3165</v>
      </c>
      <c r="J216" s="12" t="str">
        <f>VLOOKUP(I216,'Copy of Enriched Data - IPBES G'!$L$2:$L$229,1,false)</f>
        <v>#N/A</v>
      </c>
      <c r="L216" s="2" t="s">
        <v>3166</v>
      </c>
      <c r="M216" s="2" t="s">
        <v>1394</v>
      </c>
      <c r="N216" s="2" t="s">
        <v>1385</v>
      </c>
      <c r="O216" s="2" t="s">
        <v>1386</v>
      </c>
      <c r="Q216" s="2" t="s">
        <v>3167</v>
      </c>
      <c r="S216" s="2" t="s">
        <v>1462</v>
      </c>
      <c r="T216" s="2" t="s">
        <v>2271</v>
      </c>
      <c r="AO216" s="2" t="s">
        <v>1368</v>
      </c>
    </row>
    <row r="217" ht="15.75" customHeight="1">
      <c r="A217" s="2" t="s">
        <v>3168</v>
      </c>
      <c r="B217" s="2" t="s">
        <v>1361</v>
      </c>
      <c r="C217" s="2">
        <v>2016.0</v>
      </c>
      <c r="D217" s="2" t="s">
        <v>3169</v>
      </c>
      <c r="E217" s="2" t="s">
        <v>3170</v>
      </c>
      <c r="F217" s="2" t="s">
        <v>1760</v>
      </c>
      <c r="H217" s="2" t="s">
        <v>1761</v>
      </c>
      <c r="I217" s="2" t="s">
        <v>3171</v>
      </c>
      <c r="J217" s="12" t="str">
        <f>VLOOKUP(I217,'Copy of Enriched Data - IPBES G'!$L$2:$L$229,1,false)</f>
        <v>#N/A</v>
      </c>
      <c r="L217" s="2" t="s">
        <v>3172</v>
      </c>
      <c r="M217" s="2" t="s">
        <v>1502</v>
      </c>
      <c r="N217" s="2" t="s">
        <v>1385</v>
      </c>
      <c r="O217" s="2" t="s">
        <v>1386</v>
      </c>
      <c r="AO217" s="2" t="s">
        <v>1368</v>
      </c>
    </row>
    <row r="218" ht="15.75" customHeight="1">
      <c r="A218" s="2" t="s">
        <v>3173</v>
      </c>
      <c r="B218" s="2" t="s">
        <v>1361</v>
      </c>
      <c r="C218" s="2">
        <v>2017.0</v>
      </c>
      <c r="D218" s="2" t="s">
        <v>3174</v>
      </c>
      <c r="E218" s="2" t="s">
        <v>3175</v>
      </c>
      <c r="F218" s="2" t="s">
        <v>2162</v>
      </c>
      <c r="H218" s="2" t="s">
        <v>2163</v>
      </c>
      <c r="I218" s="2" t="s">
        <v>3176</v>
      </c>
      <c r="J218" s="12" t="str">
        <f>VLOOKUP(I218,'Copy of Enriched Data - IPBES G'!$L$2:$L$229,1,false)</f>
        <v>#N/A</v>
      </c>
      <c r="L218" s="2" t="s">
        <v>3177</v>
      </c>
      <c r="M218" s="2" t="s">
        <v>1658</v>
      </c>
      <c r="N218" s="2" t="s">
        <v>1385</v>
      </c>
      <c r="O218" s="2" t="s">
        <v>1386</v>
      </c>
      <c r="Q218" s="2" t="s">
        <v>3178</v>
      </c>
      <c r="T218" s="2" t="s">
        <v>1506</v>
      </c>
      <c r="AO218" s="2" t="s">
        <v>1368</v>
      </c>
    </row>
    <row r="219" ht="15.75" customHeight="1">
      <c r="A219" s="2" t="s">
        <v>3179</v>
      </c>
      <c r="B219" s="2" t="s">
        <v>1361</v>
      </c>
      <c r="C219" s="2">
        <v>2010.0</v>
      </c>
      <c r="D219" s="2" t="s">
        <v>3180</v>
      </c>
      <c r="E219" s="2" t="s">
        <v>3181</v>
      </c>
      <c r="F219" s="2" t="s">
        <v>3182</v>
      </c>
      <c r="H219" s="2" t="s">
        <v>3183</v>
      </c>
      <c r="I219" s="2" t="s">
        <v>3184</v>
      </c>
      <c r="J219" s="12" t="str">
        <f>VLOOKUP(I219,'Copy of Enriched Data - IPBES G'!$L$2:$L$229,1,false)</f>
        <v>#N/A</v>
      </c>
      <c r="L219" s="2" t="s">
        <v>3185</v>
      </c>
      <c r="M219" s="2" t="s">
        <v>1449</v>
      </c>
      <c r="N219" s="2" t="s">
        <v>1385</v>
      </c>
      <c r="O219" s="2" t="s">
        <v>1386</v>
      </c>
      <c r="AO219" s="2" t="s">
        <v>1368</v>
      </c>
    </row>
    <row r="220" ht="15.75" customHeight="1">
      <c r="A220" s="2" t="s">
        <v>3186</v>
      </c>
      <c r="B220" s="2" t="s">
        <v>1361</v>
      </c>
      <c r="C220" s="2">
        <v>2009.0</v>
      </c>
      <c r="D220" s="2" t="s">
        <v>3187</v>
      </c>
      <c r="E220" s="2" t="s">
        <v>3188</v>
      </c>
      <c r="F220" s="2" t="s">
        <v>3189</v>
      </c>
      <c r="H220" s="2" t="s">
        <v>3190</v>
      </c>
      <c r="I220" s="2" t="s">
        <v>3191</v>
      </c>
      <c r="J220" s="12" t="str">
        <f>VLOOKUP(I220,'Copy of Enriched Data - IPBES G'!$L$2:$L$229,1,false)</f>
        <v>#N/A</v>
      </c>
      <c r="L220" s="2" t="s">
        <v>3192</v>
      </c>
      <c r="M220" s="2" t="s">
        <v>1364</v>
      </c>
      <c r="N220" s="2" t="s">
        <v>1385</v>
      </c>
      <c r="O220" s="2" t="s">
        <v>1386</v>
      </c>
      <c r="Q220" s="2" t="s">
        <v>3193</v>
      </c>
      <c r="S220" s="2" t="s">
        <v>1462</v>
      </c>
      <c r="T220" s="2" t="s">
        <v>2778</v>
      </c>
      <c r="AO220" s="2" t="s">
        <v>1368</v>
      </c>
    </row>
    <row r="221" ht="15.75" customHeight="1">
      <c r="A221" s="2" t="s">
        <v>3194</v>
      </c>
      <c r="B221" s="2" t="s">
        <v>1396</v>
      </c>
      <c r="C221" s="2">
        <v>2016.0</v>
      </c>
      <c r="D221" s="2" t="s">
        <v>3195</v>
      </c>
      <c r="E221" s="2" t="s">
        <v>3196</v>
      </c>
      <c r="J221" s="12" t="str">
        <f>VLOOKUP(I221,'Copy of Enriched Data - IPBES G'!$L$2:$L$229,1,false)</f>
        <v>#N/A</v>
      </c>
      <c r="M221" s="2" t="s">
        <v>1502</v>
      </c>
      <c r="N221" s="2" t="s">
        <v>1385</v>
      </c>
      <c r="O221" s="2" t="s">
        <v>1386</v>
      </c>
      <c r="AB221" s="2" t="s">
        <v>3197</v>
      </c>
      <c r="AO221" s="2" t="s">
        <v>1368</v>
      </c>
    </row>
    <row r="222" ht="15.75" customHeight="1">
      <c r="A222" s="2" t="s">
        <v>3198</v>
      </c>
      <c r="B222" s="2" t="s">
        <v>1361</v>
      </c>
      <c r="C222" s="2">
        <v>1998.0</v>
      </c>
      <c r="D222" s="2" t="s">
        <v>3199</v>
      </c>
      <c r="E222" s="2" t="s">
        <v>3200</v>
      </c>
      <c r="F222" s="2" t="s">
        <v>3201</v>
      </c>
      <c r="H222" s="2" t="s">
        <v>3202</v>
      </c>
      <c r="I222" s="2" t="s">
        <v>3203</v>
      </c>
      <c r="J222" s="12" t="str">
        <f>VLOOKUP(I222,'Copy of Enriched Data - IPBES G'!$L$2:$L$229,1,false)</f>
        <v>#N/A</v>
      </c>
      <c r="L222" s="2" t="s">
        <v>3204</v>
      </c>
      <c r="M222" s="2" t="s">
        <v>1958</v>
      </c>
      <c r="N222" s="2" t="s">
        <v>1385</v>
      </c>
      <c r="O222" s="2" t="s">
        <v>1386</v>
      </c>
      <c r="AO222" s="2" t="s">
        <v>1368</v>
      </c>
    </row>
    <row r="223" ht="15.75" customHeight="1">
      <c r="A223" s="2" t="s">
        <v>3205</v>
      </c>
      <c r="B223" s="2" t="s">
        <v>1361</v>
      </c>
      <c r="C223" s="2">
        <v>2007.0</v>
      </c>
      <c r="D223" s="2" t="s">
        <v>3206</v>
      </c>
      <c r="E223" s="2" t="s">
        <v>3207</v>
      </c>
      <c r="F223" s="2" t="s">
        <v>3208</v>
      </c>
      <c r="I223" s="2" t="s">
        <v>3209</v>
      </c>
      <c r="J223" s="12" t="str">
        <f>VLOOKUP(I223,'Copy of Enriched Data - IPBES G'!$L$2:$L$229,1,false)</f>
        <v>#N/A</v>
      </c>
      <c r="M223" s="2" t="s">
        <v>2380</v>
      </c>
      <c r="N223" s="2" t="s">
        <v>1385</v>
      </c>
      <c r="O223" s="2" t="s">
        <v>1386</v>
      </c>
      <c r="Q223" s="2" t="s">
        <v>3210</v>
      </c>
      <c r="S223" s="2" t="s">
        <v>1453</v>
      </c>
      <c r="T223" s="2" t="s">
        <v>3211</v>
      </c>
      <c r="AO223" s="2" t="s">
        <v>1368</v>
      </c>
    </row>
    <row r="224" ht="15.75" customHeight="1">
      <c r="A224" s="2" t="s">
        <v>3212</v>
      </c>
      <c r="B224" s="2" t="s">
        <v>1361</v>
      </c>
      <c r="C224" s="2">
        <v>2014.0</v>
      </c>
      <c r="D224" s="2" t="s">
        <v>3213</v>
      </c>
      <c r="E224" s="2" t="s">
        <v>3214</v>
      </c>
      <c r="F224" s="2" t="s">
        <v>3215</v>
      </c>
      <c r="H224" s="2" t="s">
        <v>3216</v>
      </c>
      <c r="I224" s="2" t="s">
        <v>3217</v>
      </c>
      <c r="J224" s="12" t="str">
        <f>VLOOKUP(I224,'Copy of Enriched Data - IPBES G'!$L$2:$L$229,1,false)</f>
        <v>#N/A</v>
      </c>
      <c r="L224" s="2" t="s">
        <v>3218</v>
      </c>
      <c r="M224" s="2" t="s">
        <v>3219</v>
      </c>
      <c r="N224" s="2" t="s">
        <v>1385</v>
      </c>
      <c r="O224" s="2" t="s">
        <v>1386</v>
      </c>
      <c r="Q224" s="2" t="s">
        <v>3220</v>
      </c>
      <c r="S224" s="2" t="s">
        <v>1600</v>
      </c>
      <c r="T224" s="2" t="s">
        <v>1937</v>
      </c>
      <c r="AO224" s="2" t="s">
        <v>1368</v>
      </c>
    </row>
    <row r="225" ht="15.75" customHeight="1">
      <c r="A225" s="2" t="s">
        <v>3221</v>
      </c>
      <c r="B225" s="2" t="s">
        <v>1361</v>
      </c>
      <c r="C225" s="2">
        <v>2005.0</v>
      </c>
      <c r="D225" s="2" t="s">
        <v>3222</v>
      </c>
      <c r="E225" s="2" t="s">
        <v>3223</v>
      </c>
      <c r="F225" s="2" t="s">
        <v>3224</v>
      </c>
      <c r="H225" s="2" t="s">
        <v>3225</v>
      </c>
      <c r="I225" s="2" t="s">
        <v>3226</v>
      </c>
      <c r="J225" s="12" t="str">
        <f>VLOOKUP(I225,'Copy of Enriched Data - IPBES G'!$L$2:$L$229,1,false)</f>
        <v>#N/A</v>
      </c>
      <c r="L225" s="2" t="s">
        <v>3227</v>
      </c>
      <c r="M225" s="2" t="s">
        <v>1394</v>
      </c>
      <c r="N225" s="2" t="s">
        <v>1385</v>
      </c>
      <c r="O225" s="2" t="s">
        <v>1386</v>
      </c>
      <c r="AO225" s="2" t="s">
        <v>1368</v>
      </c>
    </row>
    <row r="226" ht="15.75" customHeight="1">
      <c r="A226" s="2" t="s">
        <v>3228</v>
      </c>
      <c r="B226" s="2" t="s">
        <v>1361</v>
      </c>
      <c r="C226" s="2">
        <v>2011.0</v>
      </c>
      <c r="D226" s="2" t="s">
        <v>3229</v>
      </c>
      <c r="E226" s="2" t="s">
        <v>3230</v>
      </c>
      <c r="F226" s="2" t="s">
        <v>3231</v>
      </c>
      <c r="H226" s="2" t="s">
        <v>3232</v>
      </c>
      <c r="I226" s="2" t="s">
        <v>3233</v>
      </c>
      <c r="J226" s="12" t="str">
        <f>VLOOKUP(I226,'Copy of Enriched Data - IPBES G'!$L$2:$L$229,1,false)</f>
        <v>#N/A</v>
      </c>
      <c r="M226" s="2" t="s">
        <v>1627</v>
      </c>
      <c r="N226" s="2" t="s">
        <v>1385</v>
      </c>
      <c r="O226" s="2" t="s">
        <v>1386</v>
      </c>
      <c r="Q226" s="2" t="s">
        <v>3234</v>
      </c>
      <c r="S226" s="2" t="s">
        <v>2646</v>
      </c>
      <c r="T226" s="2" t="s">
        <v>3235</v>
      </c>
      <c r="AO226" s="2" t="s">
        <v>1368</v>
      </c>
    </row>
    <row r="227" ht="15.75" customHeight="1">
      <c r="A227" s="2" t="s">
        <v>3236</v>
      </c>
      <c r="B227" s="2" t="s">
        <v>1396</v>
      </c>
      <c r="C227" s="2">
        <v>2007.0</v>
      </c>
      <c r="D227" s="2" t="s">
        <v>3237</v>
      </c>
      <c r="E227" s="2" t="s">
        <v>3238</v>
      </c>
      <c r="J227" s="12" t="str">
        <f>VLOOKUP(I227,'Copy of Enriched Data - IPBES G'!$L$2:$L$229,1,false)</f>
        <v>#N/A</v>
      </c>
      <c r="L227" s="2" t="s">
        <v>3239</v>
      </c>
      <c r="M227" s="2" t="s">
        <v>2380</v>
      </c>
      <c r="N227" s="2" t="s">
        <v>1385</v>
      </c>
      <c r="O227" s="2" t="s">
        <v>1386</v>
      </c>
      <c r="AB227" s="2" t="s">
        <v>3240</v>
      </c>
      <c r="AO227" s="2" t="s">
        <v>1368</v>
      </c>
    </row>
    <row r="228" ht="15.75" customHeight="1">
      <c r="A228" s="2" t="s">
        <v>3244</v>
      </c>
      <c r="B228" s="2" t="s">
        <v>1361</v>
      </c>
      <c r="C228" s="2">
        <v>2017.0</v>
      </c>
      <c r="D228" s="2" t="s">
        <v>3245</v>
      </c>
      <c r="E228" s="2" t="s">
        <v>3246</v>
      </c>
      <c r="F228" s="2" t="s">
        <v>3247</v>
      </c>
      <c r="H228" s="2" t="s">
        <v>3248</v>
      </c>
      <c r="I228" s="2" t="s">
        <v>3249</v>
      </c>
      <c r="J228" s="12" t="str">
        <f>VLOOKUP(I228,'Copy of Enriched Data - IPBES G'!$L$2:$L$229,1,false)</f>
        <v>#N/A</v>
      </c>
      <c r="L228" s="2" t="s">
        <v>3250</v>
      </c>
      <c r="M228" s="2" t="s">
        <v>1658</v>
      </c>
      <c r="N228" s="2" t="s">
        <v>1385</v>
      </c>
      <c r="O228" s="2" t="s">
        <v>1386</v>
      </c>
      <c r="Q228" s="2" t="s">
        <v>3251</v>
      </c>
      <c r="S228" s="2" t="s">
        <v>2565</v>
      </c>
      <c r="T228" s="2" t="s">
        <v>3252</v>
      </c>
      <c r="AO228" s="2" t="s">
        <v>1368</v>
      </c>
    </row>
    <row r="229" ht="15.75" customHeight="1">
      <c r="A229" s="2" t="s">
        <v>3253</v>
      </c>
      <c r="B229" s="2" t="s">
        <v>1361</v>
      </c>
      <c r="C229" s="2">
        <v>2009.0</v>
      </c>
      <c r="D229" s="2" t="s">
        <v>3254</v>
      </c>
      <c r="E229" s="2" t="s">
        <v>3255</v>
      </c>
      <c r="F229" s="2" t="s">
        <v>3256</v>
      </c>
      <c r="I229" s="2" t="s">
        <v>3257</v>
      </c>
      <c r="J229" s="12" t="str">
        <f>VLOOKUP(I229,'Copy of Enriched Data - IPBES G'!$L$2:$L$229,1,false)</f>
        <v>#N/A</v>
      </c>
      <c r="L229" s="2" t="s">
        <v>3258</v>
      </c>
      <c r="M229" s="2" t="s">
        <v>1364</v>
      </c>
      <c r="N229" s="2" t="s">
        <v>1385</v>
      </c>
      <c r="O229" s="2" t="s">
        <v>1386</v>
      </c>
      <c r="AO229" s="2" t="s">
        <v>1368</v>
      </c>
    </row>
    <row r="230" ht="15.75" customHeight="1">
      <c r="A230" s="2" t="s">
        <v>3259</v>
      </c>
      <c r="B230" s="2" t="s">
        <v>1781</v>
      </c>
      <c r="C230" s="2">
        <v>2015.0</v>
      </c>
      <c r="D230" s="2" t="s">
        <v>3260</v>
      </c>
      <c r="E230" s="2" t="s">
        <v>3261</v>
      </c>
      <c r="J230" s="12" t="str">
        <f>VLOOKUP(I230,'Copy of Enriched Data - IPBES G'!$L$2:$L$229,1,false)</f>
        <v>#N/A</v>
      </c>
      <c r="L230" s="2" t="s">
        <v>3262</v>
      </c>
      <c r="M230" s="2" t="s">
        <v>1373</v>
      </c>
      <c r="N230" s="2" t="s">
        <v>1385</v>
      </c>
      <c r="O230" s="2" t="s">
        <v>1386</v>
      </c>
      <c r="AC230" s="2" t="s">
        <v>2410</v>
      </c>
      <c r="AD230" s="2" t="s">
        <v>3263</v>
      </c>
      <c r="AO230" s="2" t="s">
        <v>1368</v>
      </c>
    </row>
    <row r="231" ht="15.75" customHeight="1">
      <c r="A231" s="2" t="s">
        <v>3264</v>
      </c>
      <c r="B231" s="2" t="s">
        <v>1361</v>
      </c>
      <c r="C231" s="2">
        <v>2001.0</v>
      </c>
      <c r="D231" s="2" t="s">
        <v>3265</v>
      </c>
      <c r="E231" s="2" t="s">
        <v>3266</v>
      </c>
      <c r="F231" s="2" t="s">
        <v>3267</v>
      </c>
      <c r="I231" s="2" t="s">
        <v>3268</v>
      </c>
      <c r="J231" s="12" t="str">
        <f>VLOOKUP(I231,'Copy of Enriched Data - IPBES G'!$L$2:$L$229,1,false)</f>
        <v>#N/A</v>
      </c>
      <c r="L231" s="2" t="s">
        <v>3269</v>
      </c>
      <c r="M231" s="2" t="s">
        <v>1414</v>
      </c>
      <c r="N231" s="2" t="s">
        <v>1385</v>
      </c>
      <c r="O231" s="2" t="s">
        <v>1386</v>
      </c>
      <c r="Q231" s="2" t="s">
        <v>3270</v>
      </c>
      <c r="S231" s="2" t="s">
        <v>1600</v>
      </c>
      <c r="T231" s="2" t="s">
        <v>2730</v>
      </c>
      <c r="AO231" s="2" t="s">
        <v>1368</v>
      </c>
    </row>
    <row r="232" ht="15.75" customHeight="1">
      <c r="A232" s="2" t="s">
        <v>3271</v>
      </c>
      <c r="B232" s="2" t="s">
        <v>1361</v>
      </c>
      <c r="C232" s="2">
        <v>2012.0</v>
      </c>
      <c r="D232" s="2" t="s">
        <v>3272</v>
      </c>
      <c r="E232" s="2" t="s">
        <v>3273</v>
      </c>
      <c r="F232" s="2" t="s">
        <v>3274</v>
      </c>
      <c r="I232" s="2" t="s">
        <v>3275</v>
      </c>
      <c r="J232" s="12" t="str">
        <f>VLOOKUP(I232,'Copy of Enriched Data - IPBES G'!$L$2:$L$229,1,false)</f>
        <v>#N/A</v>
      </c>
      <c r="M232" s="2" t="s">
        <v>1405</v>
      </c>
      <c r="N232" s="2" t="s">
        <v>1385</v>
      </c>
      <c r="O232" s="2" t="s">
        <v>1386</v>
      </c>
      <c r="Q232" s="2" t="s">
        <v>3276</v>
      </c>
      <c r="S232" s="2" t="s">
        <v>1462</v>
      </c>
      <c r="T232" s="2" t="s">
        <v>1937</v>
      </c>
      <c r="AO232" s="2" t="s">
        <v>1368</v>
      </c>
    </row>
    <row r="233" ht="15.75" customHeight="1">
      <c r="A233" s="2" t="s">
        <v>3277</v>
      </c>
      <c r="B233" s="2" t="s">
        <v>1396</v>
      </c>
      <c r="C233" s="2">
        <v>2003.0</v>
      </c>
      <c r="D233" s="2" t="s">
        <v>3278</v>
      </c>
      <c r="E233" s="2" t="s">
        <v>3279</v>
      </c>
      <c r="G233" s="2" t="s">
        <v>3280</v>
      </c>
      <c r="J233" s="12" t="str">
        <f>VLOOKUP(I233,'Copy of Enriched Data - IPBES G'!$L$2:$L$229,1,false)</f>
        <v>#N/A</v>
      </c>
      <c r="L233" s="2" t="s">
        <v>3281</v>
      </c>
      <c r="M233" s="2" t="s">
        <v>1606</v>
      </c>
      <c r="N233" s="2" t="s">
        <v>1385</v>
      </c>
      <c r="O233" s="2" t="s">
        <v>1386</v>
      </c>
      <c r="R233" s="2" t="s">
        <v>3282</v>
      </c>
      <c r="AB233" s="2" t="s">
        <v>3283</v>
      </c>
      <c r="AO233" s="2" t="s">
        <v>1368</v>
      </c>
    </row>
    <row r="234" ht="15.75" customHeight="1">
      <c r="A234" s="2" t="s">
        <v>3284</v>
      </c>
      <c r="B234" s="2" t="s">
        <v>1766</v>
      </c>
      <c r="C234" s="2">
        <v>1986.0</v>
      </c>
      <c r="D234" s="2" t="s">
        <v>3285</v>
      </c>
      <c r="E234" s="2" t="s">
        <v>3286</v>
      </c>
      <c r="F234" s="2" t="s">
        <v>3287</v>
      </c>
      <c r="J234" s="12" t="str">
        <f>VLOOKUP(I234,'Copy of Enriched Data - IPBES G'!$L$2:$L$229,1,false)</f>
        <v>#N/A</v>
      </c>
      <c r="M234" s="2" t="s">
        <v>3288</v>
      </c>
      <c r="N234" s="2" t="s">
        <v>1385</v>
      </c>
      <c r="O234" s="2" t="s">
        <v>1386</v>
      </c>
      <c r="Q234" s="2" t="s">
        <v>3289</v>
      </c>
      <c r="T234" s="2" t="s">
        <v>1280</v>
      </c>
      <c r="AB234" s="2" t="s">
        <v>3290</v>
      </c>
      <c r="AO234" s="2" t="s">
        <v>1368</v>
      </c>
      <c r="AQ234" s="2" t="s">
        <v>3291</v>
      </c>
    </row>
    <row r="235" ht="15.75" customHeight="1">
      <c r="A235" s="2" t="s">
        <v>3292</v>
      </c>
      <c r="B235" s="2" t="s">
        <v>1361</v>
      </c>
      <c r="C235" s="2">
        <v>2012.0</v>
      </c>
      <c r="D235" s="2" t="s">
        <v>3293</v>
      </c>
      <c r="E235" s="2" t="s">
        <v>3294</v>
      </c>
      <c r="F235" s="2" t="s">
        <v>3295</v>
      </c>
      <c r="H235" s="2" t="s">
        <v>3296</v>
      </c>
      <c r="I235" s="2" t="s">
        <v>3297</v>
      </c>
      <c r="J235" s="12" t="str">
        <f>VLOOKUP(I235,'Copy of Enriched Data - IPBES G'!$L$2:$L$229,1,false)</f>
        <v>#N/A</v>
      </c>
      <c r="L235" s="2" t="s">
        <v>3298</v>
      </c>
      <c r="M235" s="2" t="s">
        <v>1405</v>
      </c>
      <c r="N235" s="2" t="s">
        <v>1385</v>
      </c>
      <c r="O235" s="2" t="s">
        <v>1386</v>
      </c>
      <c r="AO235" s="2" t="s">
        <v>1368</v>
      </c>
    </row>
    <row r="236" ht="15.75" customHeight="1">
      <c r="A236" s="2" t="s">
        <v>3299</v>
      </c>
      <c r="B236" s="2" t="s">
        <v>1361</v>
      </c>
      <c r="C236" s="2">
        <v>1998.0</v>
      </c>
      <c r="D236" s="2" t="s">
        <v>3300</v>
      </c>
      <c r="E236" s="2" t="s">
        <v>3301</v>
      </c>
      <c r="F236" s="2" t="s">
        <v>3302</v>
      </c>
      <c r="I236" s="2" t="s">
        <v>3303</v>
      </c>
      <c r="J236" s="12" t="str">
        <f>VLOOKUP(I236,'Copy of Enriched Data - IPBES G'!$L$2:$L$229,1,false)</f>
        <v>#N/A</v>
      </c>
      <c r="L236" s="2" t="s">
        <v>3304</v>
      </c>
      <c r="M236" s="2" t="s">
        <v>1958</v>
      </c>
      <c r="N236" s="2" t="s">
        <v>1385</v>
      </c>
      <c r="O236" s="2" t="s">
        <v>1386</v>
      </c>
      <c r="Q236" s="2" t="s">
        <v>3305</v>
      </c>
      <c r="S236" s="2" t="s">
        <v>1462</v>
      </c>
      <c r="T236" s="2" t="s">
        <v>3306</v>
      </c>
      <c r="AO236" s="2" t="s">
        <v>1368</v>
      </c>
    </row>
    <row r="237" ht="15.75" customHeight="1">
      <c r="A237" s="2" t="s">
        <v>3307</v>
      </c>
      <c r="B237" s="2" t="s">
        <v>1361</v>
      </c>
      <c r="C237" s="2">
        <v>1994.0</v>
      </c>
      <c r="D237" s="2" t="s">
        <v>3308</v>
      </c>
      <c r="E237" s="2" t="s">
        <v>3309</v>
      </c>
      <c r="F237" s="2" t="s">
        <v>3310</v>
      </c>
      <c r="H237" s="2" t="s">
        <v>3311</v>
      </c>
      <c r="I237" s="2" t="s">
        <v>3312</v>
      </c>
      <c r="J237" s="12" t="str">
        <f>VLOOKUP(I237,'Copy of Enriched Data - IPBES G'!$L$2:$L$229,1,false)</f>
        <v>#N/A</v>
      </c>
      <c r="L237" s="2" t="s">
        <v>3313</v>
      </c>
      <c r="M237" s="2" t="s">
        <v>2327</v>
      </c>
      <c r="N237" s="2" t="s">
        <v>1385</v>
      </c>
      <c r="O237" s="2" t="s">
        <v>1386</v>
      </c>
      <c r="AO237" s="2" t="s">
        <v>1368</v>
      </c>
    </row>
    <row r="238" ht="15.75" customHeight="1">
      <c r="A238" s="2" t="s">
        <v>3314</v>
      </c>
      <c r="B238" s="2" t="s">
        <v>1361</v>
      </c>
      <c r="C238" s="2">
        <v>2011.0</v>
      </c>
      <c r="D238" s="2" t="s">
        <v>3315</v>
      </c>
      <c r="E238" s="2" t="s">
        <v>3316</v>
      </c>
      <c r="F238" s="2" t="s">
        <v>1863</v>
      </c>
      <c r="H238" s="2" t="s">
        <v>1864</v>
      </c>
      <c r="I238" s="2" t="s">
        <v>3317</v>
      </c>
      <c r="J238" s="12" t="str">
        <f>VLOOKUP(I238,'Copy of Enriched Data - IPBES G'!$L$2:$L$229,1,false)</f>
        <v>#N/A</v>
      </c>
      <c r="L238" s="2" t="s">
        <v>3318</v>
      </c>
      <c r="M238" s="2" t="s">
        <v>1627</v>
      </c>
      <c r="N238" s="2" t="s">
        <v>1385</v>
      </c>
      <c r="O238" s="2" t="s">
        <v>1386</v>
      </c>
      <c r="AO238" s="2" t="s">
        <v>1368</v>
      </c>
    </row>
    <row r="239" ht="15.75" customHeight="1">
      <c r="A239" s="2" t="s">
        <v>3322</v>
      </c>
      <c r="B239" s="2" t="s">
        <v>1361</v>
      </c>
      <c r="C239" s="2">
        <v>2018.0</v>
      </c>
      <c r="D239" s="2" t="s">
        <v>3323</v>
      </c>
      <c r="E239" s="2" t="s">
        <v>3324</v>
      </c>
      <c r="F239" s="2" t="s">
        <v>2205</v>
      </c>
      <c r="H239" s="2" t="s">
        <v>3325</v>
      </c>
      <c r="I239" s="2" t="s">
        <v>3326</v>
      </c>
      <c r="J239" s="12" t="str">
        <f>VLOOKUP(I239,'Copy of Enriched Data - IPBES G'!$L$2:$L$229,1,false)</f>
        <v>#N/A</v>
      </c>
      <c r="L239" s="2" t="s">
        <v>3327</v>
      </c>
      <c r="M239" s="2" t="s">
        <v>1420</v>
      </c>
      <c r="N239" s="2" t="s">
        <v>1385</v>
      </c>
      <c r="O239" s="2" t="s">
        <v>1386</v>
      </c>
      <c r="Q239" s="2" t="s">
        <v>3328</v>
      </c>
      <c r="T239" s="2" t="s">
        <v>2824</v>
      </c>
      <c r="AO239" s="2" t="s">
        <v>1368</v>
      </c>
    </row>
    <row r="240" ht="15.75" customHeight="1">
      <c r="A240" s="2" t="s">
        <v>3329</v>
      </c>
      <c r="B240" s="2" t="s">
        <v>1396</v>
      </c>
      <c r="C240" s="2">
        <v>2013.0</v>
      </c>
      <c r="D240" s="2" t="s">
        <v>3330</v>
      </c>
      <c r="E240" s="2" t="s">
        <v>3331</v>
      </c>
      <c r="J240" s="12" t="str">
        <f>VLOOKUP(I240,'Copy of Enriched Data - IPBES G'!$L$2:$L$229,1,false)</f>
        <v>#N/A</v>
      </c>
      <c r="M240" s="2" t="s">
        <v>1429</v>
      </c>
      <c r="N240" s="2" t="s">
        <v>1385</v>
      </c>
      <c r="O240" s="2" t="s">
        <v>1386</v>
      </c>
      <c r="AB240" s="2" t="s">
        <v>2441</v>
      </c>
      <c r="AO240" s="2" t="s">
        <v>1368</v>
      </c>
      <c r="BJ240" s="2">
        <v>3.0</v>
      </c>
    </row>
    <row r="241" ht="15.75" customHeight="1">
      <c r="A241" s="2" t="s">
        <v>3332</v>
      </c>
      <c r="B241" s="2" t="s">
        <v>1361</v>
      </c>
      <c r="C241" s="2">
        <v>2002.0</v>
      </c>
      <c r="D241" s="2" t="s">
        <v>3333</v>
      </c>
      <c r="E241" s="2" t="s">
        <v>3334</v>
      </c>
      <c r="F241" s="2" t="s">
        <v>1510</v>
      </c>
      <c r="I241" s="2" t="s">
        <v>3335</v>
      </c>
      <c r="J241" s="12" t="str">
        <f>VLOOKUP(I241,'Copy of Enriched Data - IPBES G'!$L$2:$L$229,1,false)</f>
        <v>#N/A</v>
      </c>
      <c r="K241" s="2" t="s">
        <v>3336</v>
      </c>
      <c r="M241" s="2" t="s">
        <v>3337</v>
      </c>
      <c r="N241" s="2" t="s">
        <v>1385</v>
      </c>
      <c r="O241" s="2" t="s">
        <v>1386</v>
      </c>
      <c r="Q241" s="2" t="s">
        <v>3338</v>
      </c>
      <c r="S241" s="2" t="s">
        <v>3339</v>
      </c>
      <c r="T241" s="2" t="s">
        <v>3340</v>
      </c>
      <c r="V241" s="2" t="s">
        <v>1510</v>
      </c>
      <c r="AO241" s="2" t="s">
        <v>1368</v>
      </c>
    </row>
    <row r="242" ht="15.75" customHeight="1">
      <c r="A242" s="2" t="s">
        <v>3341</v>
      </c>
      <c r="B242" s="2" t="s">
        <v>1361</v>
      </c>
      <c r="C242" s="2">
        <v>2005.0</v>
      </c>
      <c r="D242" s="2" t="s">
        <v>3342</v>
      </c>
      <c r="E242" s="2" t="s">
        <v>3343</v>
      </c>
      <c r="F242" s="2" t="s">
        <v>1500</v>
      </c>
      <c r="I242" s="2" t="s">
        <v>3344</v>
      </c>
      <c r="J242" s="12" t="str">
        <f>VLOOKUP(I242,'Copy of Enriched Data - IPBES G'!$L$2:$L$229,1,false)</f>
        <v>#N/A</v>
      </c>
      <c r="L242" s="2" t="s">
        <v>3345</v>
      </c>
      <c r="M242" s="2" t="s">
        <v>1394</v>
      </c>
      <c r="N242" s="2" t="s">
        <v>3346</v>
      </c>
      <c r="O242" s="2" t="s">
        <v>3347</v>
      </c>
      <c r="Q242" s="2" t="s">
        <v>3348</v>
      </c>
      <c r="S242" s="2" t="s">
        <v>1506</v>
      </c>
      <c r="T242" s="2" t="s">
        <v>3349</v>
      </c>
      <c r="AO242" s="2" t="s">
        <v>1368</v>
      </c>
    </row>
    <row r="243" ht="15.75" customHeight="1">
      <c r="A243" s="2" t="s">
        <v>3350</v>
      </c>
      <c r="B243" s="2" t="s">
        <v>2615</v>
      </c>
      <c r="C243" s="2">
        <v>2001.0</v>
      </c>
      <c r="D243" s="2" t="s">
        <v>3351</v>
      </c>
      <c r="E243" s="2" t="s">
        <v>3352</v>
      </c>
      <c r="F243" s="2" t="s">
        <v>3353</v>
      </c>
      <c r="J243" s="12" t="str">
        <f>VLOOKUP(I243,'Copy of Enriched Data - IPBES G'!$L$2:$L$229,1,false)</f>
        <v>#N/A</v>
      </c>
      <c r="M243" s="2" t="s">
        <v>1414</v>
      </c>
      <c r="N243" s="2" t="s">
        <v>1967</v>
      </c>
      <c r="O243" s="2" t="s">
        <v>1968</v>
      </c>
      <c r="AO243" s="2" t="s">
        <v>1368</v>
      </c>
    </row>
    <row r="244" ht="15.75" customHeight="1">
      <c r="A244" s="2" t="s">
        <v>3360</v>
      </c>
      <c r="B244" s="2" t="s">
        <v>1361</v>
      </c>
      <c r="C244" s="2">
        <v>1960.0</v>
      </c>
      <c r="D244" s="2" t="s">
        <v>3361</v>
      </c>
      <c r="E244" s="2" t="s">
        <v>3362</v>
      </c>
      <c r="F244" s="2" t="s">
        <v>3363</v>
      </c>
      <c r="I244" s="2" t="s">
        <v>3364</v>
      </c>
      <c r="J244" s="12" t="str">
        <f>VLOOKUP(I244,'Copy of Enriched Data - IPBES G'!$L$2:$L$229,1,false)</f>
        <v>#N/A</v>
      </c>
      <c r="M244" s="2" t="s">
        <v>3365</v>
      </c>
      <c r="N244" s="2" t="s">
        <v>3366</v>
      </c>
      <c r="O244" s="2" t="s">
        <v>3367</v>
      </c>
      <c r="Q244" s="2" t="s">
        <v>3368</v>
      </c>
      <c r="AO244" s="2" t="s">
        <v>1368</v>
      </c>
    </row>
    <row r="245" ht="15.75" customHeight="1">
      <c r="A245" s="2" t="s">
        <v>3369</v>
      </c>
      <c r="B245" s="2" t="s">
        <v>1361</v>
      </c>
      <c r="C245" s="2">
        <v>2005.0</v>
      </c>
      <c r="D245" s="2" t="s">
        <v>3370</v>
      </c>
      <c r="E245" s="2" t="s">
        <v>3371</v>
      </c>
      <c r="F245" s="2" t="s">
        <v>3372</v>
      </c>
      <c r="I245" s="2" t="s">
        <v>3373</v>
      </c>
      <c r="J245" s="12" t="str">
        <f>VLOOKUP(I245,'Copy of Enriched Data - IPBES G'!$L$2:$L$229,1,false)</f>
        <v>#N/A</v>
      </c>
      <c r="M245" s="2" t="s">
        <v>1394</v>
      </c>
      <c r="N245" s="2" t="s">
        <v>3374</v>
      </c>
      <c r="O245" s="2" t="s">
        <v>3375</v>
      </c>
      <c r="S245" s="2" t="s">
        <v>1462</v>
      </c>
      <c r="T245" s="2" t="s">
        <v>1537</v>
      </c>
      <c r="AO245" s="2" t="s">
        <v>1368</v>
      </c>
    </row>
    <row r="246" ht="15.75" customHeight="1">
      <c r="A246" s="2" t="s">
        <v>3383</v>
      </c>
      <c r="B246" s="2" t="s">
        <v>1361</v>
      </c>
      <c r="C246" s="2">
        <v>2000.0</v>
      </c>
      <c r="D246" s="2" t="s">
        <v>3384</v>
      </c>
      <c r="E246" s="2" t="s">
        <v>3385</v>
      </c>
      <c r="F246" s="2" t="s">
        <v>3386</v>
      </c>
      <c r="I246" s="2" t="s">
        <v>3387</v>
      </c>
      <c r="J246" s="12" t="str">
        <f>VLOOKUP(I246,'Copy of Enriched Data - IPBES G'!$L$2:$L$229,1,false)</f>
        <v>#N/A</v>
      </c>
      <c r="M246" s="2" t="s">
        <v>2429</v>
      </c>
      <c r="N246" s="2" t="s">
        <v>3388</v>
      </c>
      <c r="O246" s="2" t="s">
        <v>3389</v>
      </c>
      <c r="Q246" s="2" t="s">
        <v>3390</v>
      </c>
      <c r="S246" s="2" t="s">
        <v>1453</v>
      </c>
      <c r="T246" s="2" t="s">
        <v>3391</v>
      </c>
      <c r="AO246" s="2" t="s">
        <v>1368</v>
      </c>
    </row>
    <row r="247" ht="15.75" customHeight="1">
      <c r="A247" s="2" t="s">
        <v>3392</v>
      </c>
      <c r="B247" s="2" t="s">
        <v>1361</v>
      </c>
      <c r="C247" s="2">
        <v>1998.0</v>
      </c>
      <c r="D247" s="2" t="s">
        <v>3393</v>
      </c>
      <c r="E247" s="2" t="s">
        <v>3394</v>
      </c>
      <c r="F247" s="2" t="s">
        <v>1510</v>
      </c>
      <c r="I247" s="2" t="s">
        <v>3395</v>
      </c>
      <c r="J247" s="12" t="str">
        <f>VLOOKUP(I247,'Copy of Enriched Data - IPBES G'!$L$2:$L$229,1,false)</f>
        <v>#N/A</v>
      </c>
      <c r="M247" s="2" t="s">
        <v>1958</v>
      </c>
      <c r="N247" s="2" t="s">
        <v>3396</v>
      </c>
      <c r="O247" s="2" t="s">
        <v>3397</v>
      </c>
      <c r="Q247" s="2" t="s">
        <v>3398</v>
      </c>
      <c r="S247" s="2" t="s">
        <v>3399</v>
      </c>
      <c r="T247" s="2" t="s">
        <v>3400</v>
      </c>
      <c r="AO247" s="2" t="s">
        <v>1368</v>
      </c>
    </row>
    <row r="248" ht="15.75" customHeight="1">
      <c r="A248" s="2" t="s">
        <v>3401</v>
      </c>
      <c r="B248" s="2" t="s">
        <v>1361</v>
      </c>
      <c r="C248" s="2">
        <v>2013.0</v>
      </c>
      <c r="D248" s="2" t="s">
        <v>3402</v>
      </c>
      <c r="E248" s="2" t="s">
        <v>3403</v>
      </c>
      <c r="F248" s="2" t="s">
        <v>3404</v>
      </c>
      <c r="I248" s="2" t="s">
        <v>3405</v>
      </c>
      <c r="J248" s="12" t="str">
        <f>VLOOKUP(I248,'Copy of Enriched Data - IPBES G'!$L$2:$L$229,1,false)</f>
        <v>#N/A</v>
      </c>
      <c r="M248" s="2" t="s">
        <v>1429</v>
      </c>
      <c r="N248" s="2" t="s">
        <v>3406</v>
      </c>
      <c r="O248" s="2" t="s">
        <v>3407</v>
      </c>
      <c r="Q248" s="2" t="s">
        <v>3408</v>
      </c>
      <c r="S248" s="2" t="s">
        <v>1600</v>
      </c>
      <c r="T248" s="2" t="s">
        <v>2237</v>
      </c>
      <c r="AO248" s="2" t="s">
        <v>1368</v>
      </c>
    </row>
    <row r="249" ht="15.75" customHeight="1">
      <c r="A249" s="2" t="s">
        <v>3409</v>
      </c>
      <c r="B249" s="2" t="s">
        <v>1361</v>
      </c>
      <c r="C249" s="2">
        <v>2003.0</v>
      </c>
      <c r="D249" s="2" t="s">
        <v>3410</v>
      </c>
      <c r="E249" s="2" t="s">
        <v>3411</v>
      </c>
      <c r="F249" s="2" t="s">
        <v>3412</v>
      </c>
      <c r="I249" s="2" t="s">
        <v>3413</v>
      </c>
      <c r="J249" s="12" t="str">
        <f>VLOOKUP(I249,'Copy of Enriched Data - IPBES G'!$L$2:$L$229,1,false)</f>
        <v>#N/A</v>
      </c>
      <c r="M249" s="2" t="s">
        <v>1606</v>
      </c>
      <c r="N249" s="2" t="s">
        <v>3414</v>
      </c>
      <c r="O249" s="2" t="s">
        <v>3415</v>
      </c>
      <c r="Q249" s="2" t="s">
        <v>3416</v>
      </c>
      <c r="S249" s="2" t="s">
        <v>1506</v>
      </c>
      <c r="T249" s="2" t="s">
        <v>3417</v>
      </c>
      <c r="AO249" s="2" t="s">
        <v>1368</v>
      </c>
    </row>
    <row r="250" ht="15.75" customHeight="1">
      <c r="A250" s="2" t="s">
        <v>3418</v>
      </c>
      <c r="B250" s="2" t="s">
        <v>1361</v>
      </c>
      <c r="C250" s="2">
        <v>2016.0</v>
      </c>
      <c r="D250" s="2" t="s">
        <v>3419</v>
      </c>
      <c r="E250" s="2" t="s">
        <v>3420</v>
      </c>
      <c r="F250" s="2" t="s">
        <v>3421</v>
      </c>
      <c r="I250" s="2" t="s">
        <v>3422</v>
      </c>
      <c r="J250" s="12" t="str">
        <f>VLOOKUP(I250,'Copy of Enriched Data - IPBES G'!$L$2:$L$229,1,false)</f>
        <v>#N/A</v>
      </c>
      <c r="M250" s="2" t="s">
        <v>1502</v>
      </c>
      <c r="N250" s="2" t="s">
        <v>3423</v>
      </c>
      <c r="O250" s="2" t="s">
        <v>3424</v>
      </c>
      <c r="Q250" s="2" t="s">
        <v>3425</v>
      </c>
      <c r="T250" s="2" t="s">
        <v>3426</v>
      </c>
      <c r="AO250" s="2" t="s">
        <v>1368</v>
      </c>
    </row>
    <row r="251" ht="15.75" customHeight="1">
      <c r="A251" s="2" t="s">
        <v>3427</v>
      </c>
      <c r="B251" s="2" t="s">
        <v>1361</v>
      </c>
      <c r="C251" s="2">
        <v>2013.0</v>
      </c>
      <c r="D251" s="2" t="s">
        <v>3428</v>
      </c>
      <c r="E251" s="2" t="s">
        <v>3429</v>
      </c>
      <c r="F251" s="2" t="s">
        <v>1760</v>
      </c>
      <c r="I251" s="2" t="s">
        <v>3430</v>
      </c>
      <c r="J251" s="12" t="str">
        <f>VLOOKUP(I251,'Copy of Enriched Data - IPBES G'!$L$2:$L$229,1,false)</f>
        <v>#N/A</v>
      </c>
      <c r="M251" s="2" t="s">
        <v>1429</v>
      </c>
      <c r="N251" s="2" t="s">
        <v>3431</v>
      </c>
      <c r="O251" s="2" t="s">
        <v>3432</v>
      </c>
      <c r="Q251" s="2" t="s">
        <v>3433</v>
      </c>
      <c r="T251" s="2" t="s">
        <v>3434</v>
      </c>
      <c r="AO251" s="2" t="s">
        <v>1368</v>
      </c>
    </row>
    <row r="252" ht="15.75" customHeight="1">
      <c r="A252" s="2" t="s">
        <v>3435</v>
      </c>
      <c r="B252" s="2" t="s">
        <v>1361</v>
      </c>
      <c r="C252" s="2">
        <v>2011.0</v>
      </c>
      <c r="D252" s="2" t="s">
        <v>3436</v>
      </c>
      <c r="E252" s="2" t="s">
        <v>3437</v>
      </c>
      <c r="J252" s="12" t="str">
        <f>VLOOKUP(I252,'Copy of Enriched Data - IPBES G'!$L$2:$L$229,1,false)</f>
        <v>#N/A</v>
      </c>
      <c r="M252" s="2" t="s">
        <v>1627</v>
      </c>
      <c r="N252" s="2" t="s">
        <v>3438</v>
      </c>
      <c r="O252" s="2" t="s">
        <v>3439</v>
      </c>
      <c r="AO252" s="2" t="s">
        <v>1368</v>
      </c>
    </row>
    <row r="253" ht="15.75" customHeight="1">
      <c r="A253" s="2" t="s">
        <v>3440</v>
      </c>
      <c r="B253" s="2" t="s">
        <v>1361</v>
      </c>
      <c r="C253" s="2">
        <v>2012.0</v>
      </c>
      <c r="D253" s="2" t="s">
        <v>3441</v>
      </c>
      <c r="E253" s="2" t="s">
        <v>3442</v>
      </c>
      <c r="F253" s="2" t="s">
        <v>1863</v>
      </c>
      <c r="I253" s="2" t="s">
        <v>3443</v>
      </c>
      <c r="J253" s="12" t="str">
        <f>VLOOKUP(I253,'Copy of Enriched Data - IPBES G'!$L$2:$L$229,1,false)</f>
        <v>#N/A</v>
      </c>
      <c r="M253" s="2" t="s">
        <v>1405</v>
      </c>
      <c r="N253" s="2" t="s">
        <v>3444</v>
      </c>
      <c r="O253" s="2" t="s">
        <v>3445</v>
      </c>
      <c r="Q253" s="2" t="s">
        <v>3446</v>
      </c>
      <c r="S253" s="2" t="s">
        <v>1506</v>
      </c>
      <c r="T253" s="2" t="s">
        <v>2799</v>
      </c>
      <c r="AO253" s="2" t="s">
        <v>1368</v>
      </c>
    </row>
    <row r="254" ht="15.75" customHeight="1">
      <c r="A254" s="2" t="s">
        <v>3447</v>
      </c>
      <c r="B254" s="2" t="s">
        <v>1361</v>
      </c>
      <c r="C254" s="2">
        <v>2010.0</v>
      </c>
      <c r="D254" s="2" t="s">
        <v>3448</v>
      </c>
      <c r="E254" s="2" t="s">
        <v>3449</v>
      </c>
      <c r="I254" s="2" t="s">
        <v>3450</v>
      </c>
      <c r="J254" s="12" t="str">
        <f>VLOOKUP(I254,'Copy of Enriched Data - IPBES G'!$L$2:$L$229,1,false)</f>
        <v>#N/A</v>
      </c>
      <c r="M254" s="2" t="s">
        <v>1449</v>
      </c>
      <c r="N254" s="2" t="s">
        <v>3451</v>
      </c>
      <c r="O254" s="2" t="s">
        <v>3452</v>
      </c>
      <c r="AO254" s="2" t="s">
        <v>1368</v>
      </c>
    </row>
    <row r="255" ht="15.75" customHeight="1">
      <c r="A255" s="2" t="s">
        <v>3453</v>
      </c>
      <c r="B255" s="2" t="s">
        <v>1361</v>
      </c>
      <c r="C255" s="2">
        <v>1992.0</v>
      </c>
      <c r="D255" s="2" t="s">
        <v>3454</v>
      </c>
      <c r="E255" s="2" t="s">
        <v>3455</v>
      </c>
      <c r="F255" s="2" t="s">
        <v>3456</v>
      </c>
      <c r="I255" s="2" t="s">
        <v>3457</v>
      </c>
      <c r="J255" s="12" t="str">
        <f>VLOOKUP(I255,'Copy of Enriched Data - IPBES G'!$L$2:$L$229,1,false)</f>
        <v>#N/A</v>
      </c>
      <c r="M255" s="2" t="s">
        <v>3458</v>
      </c>
      <c r="N255" s="2" t="s">
        <v>3459</v>
      </c>
      <c r="O255" s="2" t="s">
        <v>3460</v>
      </c>
      <c r="Q255" s="2" t="s">
        <v>3461</v>
      </c>
      <c r="AO255" s="2" t="s">
        <v>1368</v>
      </c>
    </row>
    <row r="256" ht="15.75" customHeight="1">
      <c r="A256" s="2" t="s">
        <v>3462</v>
      </c>
      <c r="B256" s="2" t="s">
        <v>1361</v>
      </c>
      <c r="C256" s="2">
        <v>2015.0</v>
      </c>
      <c r="D256" s="2" t="s">
        <v>3463</v>
      </c>
      <c r="E256" s="2" t="s">
        <v>3464</v>
      </c>
      <c r="F256" s="2" t="s">
        <v>1363</v>
      </c>
      <c r="H256" s="2" t="s">
        <v>3465</v>
      </c>
      <c r="I256" s="2" t="s">
        <v>3466</v>
      </c>
      <c r="J256" s="12" t="str">
        <f>VLOOKUP(I256,'Copy of Enriched Data - IPBES G'!$L$2:$L$229,1,false)</f>
        <v>#N/A</v>
      </c>
      <c r="K256" s="2" t="s">
        <v>3467</v>
      </c>
      <c r="L256" s="2" t="s">
        <v>3468</v>
      </c>
      <c r="M256" s="2" t="s">
        <v>3469</v>
      </c>
      <c r="N256" s="2" t="s">
        <v>3470</v>
      </c>
      <c r="O256" s="2" t="s">
        <v>3471</v>
      </c>
      <c r="P256" s="2" t="s">
        <v>3472</v>
      </c>
      <c r="Q256" s="2" t="s">
        <v>3473</v>
      </c>
      <c r="S256" s="2" t="s">
        <v>3474</v>
      </c>
      <c r="T256" s="2" t="s">
        <v>3475</v>
      </c>
      <c r="V256" s="2" t="s">
        <v>3476</v>
      </c>
      <c r="W256" s="2" t="s">
        <v>3477</v>
      </c>
      <c r="AD256" s="2" t="s">
        <v>1540</v>
      </c>
      <c r="AI256" s="2" t="s">
        <v>1541</v>
      </c>
      <c r="AO256" s="2" t="s">
        <v>3478</v>
      </c>
    </row>
    <row r="257" ht="15.75" customHeight="1">
      <c r="A257" s="2" t="s">
        <v>3479</v>
      </c>
      <c r="B257" s="2" t="s">
        <v>1361</v>
      </c>
      <c r="C257" s="2">
        <v>2012.0</v>
      </c>
      <c r="D257" s="2" t="s">
        <v>3480</v>
      </c>
      <c r="E257" s="2" t="s">
        <v>3481</v>
      </c>
      <c r="F257" s="2" t="s">
        <v>1510</v>
      </c>
      <c r="H257" s="2" t="s">
        <v>1546</v>
      </c>
      <c r="I257" s="2" t="s">
        <v>3482</v>
      </c>
      <c r="J257" s="12" t="str">
        <f>VLOOKUP(I257,'Copy of Enriched Data - IPBES G'!$L$2:$L$229,1,false)</f>
        <v>#N/A</v>
      </c>
      <c r="K257" s="2" t="s">
        <v>3483</v>
      </c>
      <c r="L257" s="2" t="s">
        <v>3484</v>
      </c>
      <c r="M257" s="2" t="s">
        <v>3485</v>
      </c>
      <c r="N257" s="2" t="s">
        <v>3486</v>
      </c>
      <c r="O257" s="2" t="s">
        <v>3487</v>
      </c>
      <c r="P257" s="2" t="s">
        <v>2134</v>
      </c>
      <c r="Q257" s="2" t="s">
        <v>3488</v>
      </c>
      <c r="S257" s="2" t="s">
        <v>3489</v>
      </c>
      <c r="T257" s="2" t="s">
        <v>3490</v>
      </c>
      <c r="V257" s="2" t="s">
        <v>1510</v>
      </c>
      <c r="AD257" s="2" t="s">
        <v>1540</v>
      </c>
      <c r="AI257" s="2" t="s">
        <v>1541</v>
      </c>
      <c r="AO257" s="2" t="s">
        <v>1885</v>
      </c>
    </row>
    <row r="258" ht="15.75" customHeight="1">
      <c r="A258" s="2" t="s">
        <v>3491</v>
      </c>
      <c r="B258" s="2" t="s">
        <v>1361</v>
      </c>
      <c r="C258" s="2">
        <v>2015.0</v>
      </c>
      <c r="D258" s="2" t="s">
        <v>3492</v>
      </c>
      <c r="E258" s="2" t="s">
        <v>3493</v>
      </c>
      <c r="F258" s="2" t="s">
        <v>1789</v>
      </c>
      <c r="H258" s="2" t="s">
        <v>1790</v>
      </c>
      <c r="I258" s="2" t="s">
        <v>3494</v>
      </c>
      <c r="J258" s="12" t="str">
        <f>VLOOKUP(I258,'Copy of Enriched Data - IPBES G'!$L$2:$L$229,1,false)</f>
        <v>#N/A</v>
      </c>
      <c r="K258" s="2" t="s">
        <v>3495</v>
      </c>
      <c r="M258" s="2" t="s">
        <v>2220</v>
      </c>
      <c r="N258" s="2" t="s">
        <v>3496</v>
      </c>
      <c r="O258" s="2" t="s">
        <v>3497</v>
      </c>
      <c r="P258" s="2" t="s">
        <v>3498</v>
      </c>
      <c r="Q258" s="2" t="s">
        <v>3499</v>
      </c>
      <c r="T258" s="2" t="s">
        <v>3037</v>
      </c>
      <c r="V258" s="2" t="s">
        <v>1789</v>
      </c>
      <c r="W258" s="2" t="s">
        <v>3500</v>
      </c>
      <c r="AD258" s="2" t="s">
        <v>1540</v>
      </c>
      <c r="AI258" s="2" t="s">
        <v>1541</v>
      </c>
      <c r="AO258" s="2" t="s">
        <v>3501</v>
      </c>
    </row>
    <row r="259" ht="15.75" customHeight="1">
      <c r="A259" s="2" t="s">
        <v>3502</v>
      </c>
      <c r="B259" s="2" t="s">
        <v>1361</v>
      </c>
      <c r="C259" s="2">
        <v>2010.0</v>
      </c>
      <c r="D259" s="2" t="s">
        <v>3503</v>
      </c>
      <c r="E259" s="2" t="s">
        <v>3504</v>
      </c>
      <c r="F259" s="2" t="s">
        <v>1760</v>
      </c>
      <c r="H259" s="2" t="s">
        <v>1761</v>
      </c>
      <c r="I259" s="2" t="s">
        <v>3505</v>
      </c>
      <c r="J259" s="12" t="str">
        <f>VLOOKUP(I259,'Copy of Enriched Data - IPBES G'!$L$2:$L$229,1,false)</f>
        <v>#N/A</v>
      </c>
      <c r="K259" s="2" t="s">
        <v>3506</v>
      </c>
      <c r="M259" s="2" t="s">
        <v>3507</v>
      </c>
      <c r="N259" s="2" t="s">
        <v>3508</v>
      </c>
      <c r="O259" s="2" t="s">
        <v>3509</v>
      </c>
      <c r="P259" s="2" t="s">
        <v>3510</v>
      </c>
      <c r="Q259" s="2" t="s">
        <v>3511</v>
      </c>
      <c r="S259" s="2" t="s">
        <v>1937</v>
      </c>
      <c r="T259" s="2" t="s">
        <v>3136</v>
      </c>
      <c r="V259" s="2" t="s">
        <v>1760</v>
      </c>
      <c r="W259" s="2" t="s">
        <v>3512</v>
      </c>
      <c r="AD259" s="2" t="s">
        <v>1540</v>
      </c>
      <c r="AI259" s="2" t="s">
        <v>1541</v>
      </c>
      <c r="AO259" s="2" t="s">
        <v>1872</v>
      </c>
    </row>
    <row r="260" ht="15.75" customHeight="1">
      <c r="A260" s="2" t="s">
        <v>3513</v>
      </c>
      <c r="B260" s="2" t="s">
        <v>1361</v>
      </c>
      <c r="C260" s="2">
        <v>2007.0</v>
      </c>
      <c r="D260" s="2" t="s">
        <v>3514</v>
      </c>
      <c r="E260" s="2" t="s">
        <v>3515</v>
      </c>
      <c r="F260" s="2" t="s">
        <v>1587</v>
      </c>
      <c r="H260" s="2" t="s">
        <v>3516</v>
      </c>
      <c r="I260" s="2" t="s">
        <v>3517</v>
      </c>
      <c r="J260" s="12" t="str">
        <f>VLOOKUP(I260,'Copy of Enriched Data - IPBES G'!$L$2:$L$229,1,false)</f>
        <v>#N/A</v>
      </c>
      <c r="L260" s="2" t="s">
        <v>3518</v>
      </c>
      <c r="M260" s="2" t="s">
        <v>2380</v>
      </c>
      <c r="N260" s="2" t="s">
        <v>1385</v>
      </c>
      <c r="O260" s="2" t="s">
        <v>1386</v>
      </c>
      <c r="Q260" s="2" t="s">
        <v>3519</v>
      </c>
      <c r="S260" s="2" t="s">
        <v>1937</v>
      </c>
      <c r="T260" s="2" t="s">
        <v>2840</v>
      </c>
      <c r="AO260" s="2" t="s">
        <v>1368</v>
      </c>
    </row>
    <row r="261" ht="15.75" customHeight="1">
      <c r="A261" s="2" t="s">
        <v>3520</v>
      </c>
      <c r="B261" s="2" t="s">
        <v>1361</v>
      </c>
      <c r="C261" s="2">
        <v>2015.0</v>
      </c>
      <c r="D261" s="2" t="s">
        <v>3521</v>
      </c>
      <c r="E261" s="2" t="s">
        <v>3522</v>
      </c>
      <c r="F261" s="2" t="s">
        <v>3523</v>
      </c>
      <c r="H261" s="2" t="s">
        <v>3524</v>
      </c>
      <c r="I261" s="2" t="s">
        <v>3525</v>
      </c>
      <c r="J261" s="12" t="str">
        <f>VLOOKUP(I261,'Copy of Enriched Data - IPBES G'!$L$2:$L$229,1,false)</f>
        <v>#N/A</v>
      </c>
      <c r="K261" s="2" t="s">
        <v>3526</v>
      </c>
      <c r="L261" s="2" t="s">
        <v>3527</v>
      </c>
      <c r="M261" s="2" t="s">
        <v>1373</v>
      </c>
      <c r="N261" s="2" t="s">
        <v>1385</v>
      </c>
      <c r="O261" s="2" t="s">
        <v>1386</v>
      </c>
      <c r="Q261" s="2" t="s">
        <v>3349</v>
      </c>
      <c r="S261" s="2" t="s">
        <v>3528</v>
      </c>
      <c r="T261" s="2" t="s">
        <v>3529</v>
      </c>
      <c r="AO261" s="2" t="s">
        <v>1368</v>
      </c>
    </row>
    <row r="262" ht="15.75" customHeight="1">
      <c r="A262" s="2" t="s">
        <v>3530</v>
      </c>
      <c r="B262" s="2" t="s">
        <v>1361</v>
      </c>
      <c r="C262" s="2">
        <v>2001.0</v>
      </c>
      <c r="D262" s="2" t="s">
        <v>3531</v>
      </c>
      <c r="E262" s="2" t="s">
        <v>3532</v>
      </c>
      <c r="F262" s="2" t="s">
        <v>3533</v>
      </c>
      <c r="I262" s="2" t="s">
        <v>3534</v>
      </c>
      <c r="J262" s="12" t="str">
        <f>VLOOKUP(I262,'Copy of Enriched Data - IPBES G'!$L$2:$L$229,1,false)</f>
        <v>#N/A</v>
      </c>
      <c r="K262" s="2" t="s">
        <v>3535</v>
      </c>
      <c r="M262" s="2" t="s">
        <v>3536</v>
      </c>
      <c r="N262" s="2" t="s">
        <v>1385</v>
      </c>
      <c r="O262" s="2" t="s">
        <v>1386</v>
      </c>
      <c r="Q262" s="2" t="s">
        <v>3282</v>
      </c>
      <c r="S262" s="2" t="s">
        <v>1453</v>
      </c>
      <c r="T262" s="2" t="s">
        <v>1620</v>
      </c>
      <c r="AO262" s="2" t="s">
        <v>2244</v>
      </c>
    </row>
    <row r="263" ht="15.75" customHeight="1">
      <c r="A263" s="2" t="s">
        <v>3537</v>
      </c>
      <c r="B263" s="2" t="s">
        <v>1361</v>
      </c>
      <c r="C263" s="2">
        <v>2008.0</v>
      </c>
      <c r="D263" s="2" t="s">
        <v>3538</v>
      </c>
      <c r="E263" s="2" t="s">
        <v>3539</v>
      </c>
      <c r="F263" s="2" t="s">
        <v>1510</v>
      </c>
      <c r="H263" s="2" t="s">
        <v>3540</v>
      </c>
      <c r="I263" s="2" t="s">
        <v>3541</v>
      </c>
      <c r="J263" s="12" t="str">
        <f>VLOOKUP(I263,'Copy of Enriched Data - IPBES G'!$L$2:$L$229,1,false)</f>
        <v>#N/A</v>
      </c>
      <c r="K263" s="2" t="s">
        <v>3542</v>
      </c>
      <c r="L263" s="2" t="s">
        <v>3543</v>
      </c>
      <c r="M263" s="2" t="s">
        <v>3544</v>
      </c>
      <c r="N263" s="2" t="s">
        <v>1385</v>
      </c>
      <c r="O263" s="2" t="s">
        <v>1386</v>
      </c>
      <c r="Q263" s="2" t="s">
        <v>3545</v>
      </c>
      <c r="S263" s="2" t="s">
        <v>3546</v>
      </c>
      <c r="T263" s="2" t="s">
        <v>3547</v>
      </c>
      <c r="AO263" s="2" t="s">
        <v>3548</v>
      </c>
    </row>
    <row r="264" ht="15.75" customHeight="1">
      <c r="A264" s="2" t="s">
        <v>3549</v>
      </c>
      <c r="B264" s="2" t="s">
        <v>1623</v>
      </c>
      <c r="C264" s="2">
        <v>2006.0</v>
      </c>
      <c r="D264" s="2" t="s">
        <v>3550</v>
      </c>
      <c r="E264" s="2" t="s">
        <v>3551</v>
      </c>
      <c r="J264" s="12" t="str">
        <f>VLOOKUP(I264,'Copy of Enriched Data - IPBES G'!$L$2:$L$229,1,false)</f>
        <v>#N/A</v>
      </c>
      <c r="K264" s="2" t="s">
        <v>3552</v>
      </c>
      <c r="M264" s="2" t="s">
        <v>1727</v>
      </c>
      <c r="N264" s="2" t="s">
        <v>1385</v>
      </c>
      <c r="O264" s="2" t="s">
        <v>1386</v>
      </c>
      <c r="Q264" s="2" t="s">
        <v>3528</v>
      </c>
      <c r="AA264" s="2" t="s">
        <v>3553</v>
      </c>
      <c r="AB264" s="2" t="s">
        <v>3554</v>
      </c>
      <c r="AC264" s="2" t="s">
        <v>3555</v>
      </c>
      <c r="AO264" s="2" t="s">
        <v>1368</v>
      </c>
    </row>
    <row r="265" ht="15.75" customHeight="1">
      <c r="A265" s="2" t="s">
        <v>3556</v>
      </c>
      <c r="B265" s="2" t="s">
        <v>1623</v>
      </c>
      <c r="C265" s="2">
        <v>2018.0</v>
      </c>
      <c r="D265" s="2" t="s">
        <v>3557</v>
      </c>
      <c r="E265" s="2" t="s">
        <v>3558</v>
      </c>
      <c r="J265" s="12" t="str">
        <f>VLOOKUP(I265,'Copy of Enriched Data - IPBES G'!$L$2:$L$229,1,false)</f>
        <v>#N/A</v>
      </c>
      <c r="K265" s="2" t="s">
        <v>3559</v>
      </c>
      <c r="M265" s="2" t="s">
        <v>1420</v>
      </c>
      <c r="N265" s="2" t="s">
        <v>1385</v>
      </c>
      <c r="O265" s="2" t="s">
        <v>1386</v>
      </c>
      <c r="AO265" s="2" t="s">
        <v>1368</v>
      </c>
    </row>
    <row r="266" ht="15.75" customHeight="1">
      <c r="A266" s="2" t="s">
        <v>3560</v>
      </c>
      <c r="B266" s="2" t="s">
        <v>1623</v>
      </c>
      <c r="C266" s="2">
        <v>2016.0</v>
      </c>
      <c r="D266" s="2" t="s">
        <v>3561</v>
      </c>
      <c r="E266" s="2" t="s">
        <v>3562</v>
      </c>
      <c r="J266" s="12" t="str">
        <f>VLOOKUP(I266,'Copy of Enriched Data - IPBES G'!$L$2:$L$229,1,false)</f>
        <v>#N/A</v>
      </c>
      <c r="K266" s="2" t="s">
        <v>3563</v>
      </c>
      <c r="M266" s="2" t="s">
        <v>1502</v>
      </c>
      <c r="N266" s="2" t="s">
        <v>1385</v>
      </c>
      <c r="O266" s="2" t="s">
        <v>1386</v>
      </c>
      <c r="Q266" s="2" t="s">
        <v>2271</v>
      </c>
      <c r="AB266" s="2" t="s">
        <v>3564</v>
      </c>
      <c r="AO266" s="2" t="s">
        <v>1368</v>
      </c>
    </row>
    <row r="267" ht="15.75" customHeight="1">
      <c r="A267" s="2" t="s">
        <v>3565</v>
      </c>
      <c r="B267" s="2" t="s">
        <v>1396</v>
      </c>
      <c r="C267" s="2">
        <v>2001.0</v>
      </c>
      <c r="D267" s="2" t="s">
        <v>3566</v>
      </c>
      <c r="E267" s="2" t="s">
        <v>3567</v>
      </c>
      <c r="G267" s="2" t="s">
        <v>3568</v>
      </c>
      <c r="J267" s="12" t="str">
        <f>VLOOKUP(I267,'Copy of Enriched Data - IPBES G'!$L$2:$L$229,1,false)</f>
        <v>#N/A</v>
      </c>
      <c r="K267" s="2" t="s">
        <v>3569</v>
      </c>
      <c r="L267" s="2" t="s">
        <v>3570</v>
      </c>
      <c r="M267" s="2" t="s">
        <v>1414</v>
      </c>
      <c r="N267" s="2" t="s">
        <v>1385</v>
      </c>
      <c r="O267" s="2" t="s">
        <v>1386</v>
      </c>
      <c r="AB267" s="2" t="s">
        <v>3571</v>
      </c>
      <c r="AC267" s="2" t="s">
        <v>1401</v>
      </c>
      <c r="AO267" s="2" t="s">
        <v>1368</v>
      </c>
    </row>
    <row r="268" ht="15.75" customHeight="1">
      <c r="A268" s="2" t="s">
        <v>3572</v>
      </c>
      <c r="B268" s="2" t="s">
        <v>1781</v>
      </c>
      <c r="C268" s="2">
        <v>2014.0</v>
      </c>
      <c r="D268" s="2" t="s">
        <v>3573</v>
      </c>
      <c r="E268" s="2" t="s">
        <v>3574</v>
      </c>
      <c r="J268" s="12" t="str">
        <f>VLOOKUP(I268,'Copy of Enriched Data - IPBES G'!$L$2:$L$229,1,false)</f>
        <v>#N/A</v>
      </c>
      <c r="M268" s="2" t="s">
        <v>1476</v>
      </c>
      <c r="N268" s="2" t="s">
        <v>1385</v>
      </c>
      <c r="O268" s="2" t="s">
        <v>1386</v>
      </c>
      <c r="AO268" s="2" t="s">
        <v>1368</v>
      </c>
    </row>
    <row r="269" ht="15.75" customHeight="1">
      <c r="A269" s="2" t="s">
        <v>3575</v>
      </c>
      <c r="B269" s="2" t="s">
        <v>1361</v>
      </c>
      <c r="C269" s="2">
        <v>2004.0</v>
      </c>
      <c r="D269" s="2" t="s">
        <v>3576</v>
      </c>
      <c r="E269" s="2" t="s">
        <v>3577</v>
      </c>
      <c r="F269" s="2" t="s">
        <v>3578</v>
      </c>
      <c r="H269" s="2" t="s">
        <v>3579</v>
      </c>
      <c r="I269" s="2" t="s">
        <v>3580</v>
      </c>
      <c r="J269" s="12" t="str">
        <f>VLOOKUP(I269,'Copy of Enriched Data - IPBES G'!$L$2:$L$229,1,false)</f>
        <v>#N/A</v>
      </c>
      <c r="K269" s="2" t="s">
        <v>3581</v>
      </c>
      <c r="L269" s="2" t="s">
        <v>3582</v>
      </c>
      <c r="M269" s="2" t="s">
        <v>3583</v>
      </c>
      <c r="N269" s="2" t="s">
        <v>1385</v>
      </c>
      <c r="O269" s="2" t="s">
        <v>1386</v>
      </c>
      <c r="Q269" s="2" t="s">
        <v>3584</v>
      </c>
      <c r="S269" s="2" t="s">
        <v>1453</v>
      </c>
      <c r="T269" s="2" t="s">
        <v>2877</v>
      </c>
      <c r="AO269" s="2" t="s">
        <v>1368</v>
      </c>
    </row>
    <row r="270" ht="15.75" customHeight="1">
      <c r="A270" s="2" t="s">
        <v>3585</v>
      </c>
      <c r="B270" s="2" t="s">
        <v>1396</v>
      </c>
      <c r="C270" s="2">
        <v>2004.0</v>
      </c>
      <c r="D270" s="2" t="s">
        <v>3586</v>
      </c>
      <c r="E270" s="2" t="s">
        <v>3587</v>
      </c>
      <c r="J270" s="12" t="str">
        <f>VLOOKUP(I270,'Copy of Enriched Data - IPBES G'!$L$2:$L$229,1,false)</f>
        <v>#N/A</v>
      </c>
      <c r="M270" s="2" t="s">
        <v>2373</v>
      </c>
      <c r="N270" s="2" t="s">
        <v>1385</v>
      </c>
      <c r="O270" s="2" t="s">
        <v>1386</v>
      </c>
      <c r="AB270" s="2" t="s">
        <v>3588</v>
      </c>
      <c r="AO270" s="2" t="s">
        <v>1368</v>
      </c>
    </row>
    <row r="271" ht="15.75" customHeight="1">
      <c r="A271" s="2" t="s">
        <v>3589</v>
      </c>
      <c r="B271" s="2" t="s">
        <v>1361</v>
      </c>
      <c r="C271" s="2">
        <v>1996.0</v>
      </c>
      <c r="D271" s="2" t="s">
        <v>3590</v>
      </c>
      <c r="E271" s="2" t="s">
        <v>3591</v>
      </c>
      <c r="F271" s="2" t="s">
        <v>3592</v>
      </c>
      <c r="H271" s="2" t="s">
        <v>3593</v>
      </c>
      <c r="I271" s="2" t="s">
        <v>3594</v>
      </c>
      <c r="J271" s="12" t="str">
        <f>VLOOKUP(I271,'Copy of Enriched Data - IPBES G'!$L$2:$L$229,1,false)</f>
        <v>#N/A</v>
      </c>
      <c r="L271" s="2" t="s">
        <v>3595</v>
      </c>
      <c r="M271" s="2" t="s">
        <v>2492</v>
      </c>
      <c r="N271" s="2" t="s">
        <v>1385</v>
      </c>
      <c r="O271" s="2" t="s">
        <v>1386</v>
      </c>
      <c r="Q271" s="2" t="s">
        <v>3596</v>
      </c>
      <c r="S271" s="2" t="s">
        <v>1600</v>
      </c>
      <c r="T271" s="2" t="s">
        <v>1537</v>
      </c>
      <c r="AO271" s="2" t="s">
        <v>1368</v>
      </c>
    </row>
    <row r="272" ht="15.75" customHeight="1">
      <c r="A272" s="2" t="s">
        <v>3597</v>
      </c>
      <c r="B272" s="2" t="s">
        <v>1361</v>
      </c>
      <c r="C272" s="2">
        <v>1998.0</v>
      </c>
      <c r="D272" s="2" t="s">
        <v>3598</v>
      </c>
      <c r="E272" s="2" t="s">
        <v>3599</v>
      </c>
      <c r="F272" s="2" t="s">
        <v>3600</v>
      </c>
      <c r="H272" s="2" t="s">
        <v>3601</v>
      </c>
      <c r="I272" s="2" t="s">
        <v>3602</v>
      </c>
      <c r="J272" s="12" t="str">
        <f>VLOOKUP(I272,'Copy of Enriched Data - IPBES G'!$L$2:$L$229,1,false)</f>
        <v>#N/A</v>
      </c>
      <c r="L272" s="2" t="s">
        <v>3603</v>
      </c>
      <c r="M272" s="2" t="s">
        <v>1958</v>
      </c>
      <c r="N272" s="2" t="s">
        <v>1385</v>
      </c>
      <c r="O272" s="2" t="s">
        <v>1386</v>
      </c>
      <c r="AO272" s="2" t="s">
        <v>1368</v>
      </c>
    </row>
    <row r="273" ht="15.75" customHeight="1">
      <c r="A273" s="2" t="s">
        <v>3604</v>
      </c>
      <c r="B273" s="2" t="s">
        <v>1396</v>
      </c>
      <c r="C273" s="2">
        <v>1973.0</v>
      </c>
      <c r="D273" s="2" t="s">
        <v>3605</v>
      </c>
      <c r="E273" s="2" t="s">
        <v>3606</v>
      </c>
      <c r="J273" s="12" t="str">
        <f>VLOOKUP(I273,'Copy of Enriched Data - IPBES G'!$L$2:$L$229,1,false)</f>
        <v>#N/A</v>
      </c>
      <c r="M273" s="2" t="s">
        <v>3607</v>
      </c>
      <c r="N273" s="2" t="s">
        <v>1385</v>
      </c>
      <c r="O273" s="2" t="s">
        <v>1386</v>
      </c>
      <c r="AB273" s="2" t="s">
        <v>3608</v>
      </c>
      <c r="AC273" s="2" t="s">
        <v>3609</v>
      </c>
      <c r="AO273" s="2" t="s">
        <v>1368</v>
      </c>
    </row>
    <row r="274" ht="15.75" customHeight="1">
      <c r="A274" s="2" t="s">
        <v>3610</v>
      </c>
      <c r="B274" s="2" t="s">
        <v>1361</v>
      </c>
      <c r="C274" s="2">
        <v>2018.0</v>
      </c>
      <c r="D274" s="2" t="s">
        <v>3611</v>
      </c>
      <c r="E274" s="2" t="s">
        <v>3612</v>
      </c>
      <c r="F274" s="2" t="s">
        <v>3613</v>
      </c>
      <c r="H274" s="2" t="s">
        <v>3614</v>
      </c>
      <c r="I274" s="2" t="s">
        <v>3615</v>
      </c>
      <c r="J274" s="12" t="str">
        <f>VLOOKUP(I274,'Copy of Enriched Data - IPBES G'!$L$2:$L$229,1,false)</f>
        <v>#N/A</v>
      </c>
      <c r="L274" s="2" t="s">
        <v>3616</v>
      </c>
      <c r="M274" s="2" t="s">
        <v>3617</v>
      </c>
      <c r="N274" s="2" t="s">
        <v>1385</v>
      </c>
      <c r="O274" s="2" t="s">
        <v>1386</v>
      </c>
      <c r="Q274" s="2" t="s">
        <v>3618</v>
      </c>
      <c r="S274" s="2" t="s">
        <v>3619</v>
      </c>
      <c r="T274" s="2" t="s">
        <v>2237</v>
      </c>
      <c r="AO274" s="2" t="s">
        <v>1368</v>
      </c>
    </row>
    <row r="275" ht="15.75" customHeight="1">
      <c r="A275" s="2" t="s">
        <v>3620</v>
      </c>
      <c r="B275" s="2" t="s">
        <v>1361</v>
      </c>
      <c r="C275" s="2">
        <v>2006.0</v>
      </c>
      <c r="D275" s="2" t="s">
        <v>3621</v>
      </c>
      <c r="E275" s="2" t="s">
        <v>3622</v>
      </c>
      <c r="F275" s="2" t="s">
        <v>3623</v>
      </c>
      <c r="H275" s="2" t="s">
        <v>3624</v>
      </c>
      <c r="I275" s="2" t="s">
        <v>3625</v>
      </c>
      <c r="J275" s="12" t="str">
        <f>VLOOKUP(I275,'Copy of Enriched Data - IPBES G'!$L$2:$L$229,1,false)</f>
        <v>#N/A</v>
      </c>
      <c r="L275" s="2" t="s">
        <v>3626</v>
      </c>
      <c r="M275" s="2" t="s">
        <v>1727</v>
      </c>
      <c r="N275" s="2" t="s">
        <v>1385</v>
      </c>
      <c r="O275" s="2" t="s">
        <v>1386</v>
      </c>
      <c r="Q275" s="2" t="s">
        <v>3627</v>
      </c>
      <c r="S275" s="2" t="s">
        <v>1462</v>
      </c>
      <c r="T275" s="2" t="s">
        <v>3628</v>
      </c>
      <c r="AO275" s="2" t="s">
        <v>1368</v>
      </c>
    </row>
    <row r="276" ht="15.75" customHeight="1">
      <c r="A276" s="2" t="s">
        <v>3629</v>
      </c>
      <c r="B276" s="2" t="s">
        <v>1361</v>
      </c>
      <c r="C276" s="2">
        <v>2001.0</v>
      </c>
      <c r="D276" s="2" t="s">
        <v>3630</v>
      </c>
      <c r="E276" s="2" t="s">
        <v>3631</v>
      </c>
      <c r="F276" s="2" t="s">
        <v>3632</v>
      </c>
      <c r="H276" s="2" t="s">
        <v>3633</v>
      </c>
      <c r="I276" s="2" t="s">
        <v>3634</v>
      </c>
      <c r="J276" s="12" t="str">
        <f>VLOOKUP(I276,'Copy of Enriched Data - IPBES G'!$L$2:$L$229,1,false)</f>
        <v>#N/A</v>
      </c>
      <c r="L276" s="2" t="s">
        <v>3635</v>
      </c>
      <c r="M276" s="2" t="s">
        <v>1414</v>
      </c>
      <c r="N276" s="2" t="s">
        <v>1385</v>
      </c>
      <c r="O276" s="2" t="s">
        <v>1386</v>
      </c>
      <c r="AO276" s="2" t="s">
        <v>1368</v>
      </c>
    </row>
    <row r="277" ht="15.75" customHeight="1">
      <c r="A277" s="2" t="s">
        <v>3636</v>
      </c>
      <c r="B277" s="2" t="s">
        <v>1361</v>
      </c>
      <c r="C277" s="2">
        <v>2004.0</v>
      </c>
      <c r="D277" s="2" t="s">
        <v>3621</v>
      </c>
      <c r="E277" s="2" t="s">
        <v>3637</v>
      </c>
      <c r="F277" s="2" t="s">
        <v>1863</v>
      </c>
      <c r="H277" s="2" t="s">
        <v>1864</v>
      </c>
      <c r="I277" s="2" t="s">
        <v>3638</v>
      </c>
      <c r="J277" s="12" t="str">
        <f>VLOOKUP(I277,'Copy of Enriched Data - IPBES G'!$L$2:$L$229,1,false)</f>
        <v>#N/A</v>
      </c>
      <c r="L277" s="2" t="s">
        <v>3639</v>
      </c>
      <c r="M277" s="2" t="s">
        <v>2373</v>
      </c>
      <c r="N277" s="2" t="s">
        <v>1385</v>
      </c>
      <c r="O277" s="2" t="s">
        <v>1386</v>
      </c>
      <c r="Q277" s="2" t="s">
        <v>3640</v>
      </c>
      <c r="S277" s="2" t="s">
        <v>1462</v>
      </c>
      <c r="T277" s="2" t="s">
        <v>2730</v>
      </c>
      <c r="AO277" s="2" t="s">
        <v>1368</v>
      </c>
    </row>
    <row r="278" ht="15.75" customHeight="1">
      <c r="A278" s="2" t="s">
        <v>3647</v>
      </c>
      <c r="B278" s="2" t="s">
        <v>1766</v>
      </c>
      <c r="C278" s="2">
        <v>2012.0</v>
      </c>
      <c r="D278" s="2" t="s">
        <v>3648</v>
      </c>
      <c r="E278" s="2" t="s">
        <v>3649</v>
      </c>
      <c r="F278" s="2" t="s">
        <v>3650</v>
      </c>
      <c r="G278" s="2" t="s">
        <v>3651</v>
      </c>
      <c r="J278" s="12" t="str">
        <f>VLOOKUP(I278,'Copy of Enriched Data - IPBES G'!$L$2:$L$229,1,false)</f>
        <v>#N/A</v>
      </c>
      <c r="L278" s="2" t="s">
        <v>3652</v>
      </c>
      <c r="M278" s="2" t="s">
        <v>1405</v>
      </c>
      <c r="N278" s="2" t="s">
        <v>1385</v>
      </c>
      <c r="O278" s="2" t="s">
        <v>1386</v>
      </c>
      <c r="AB278" s="2" t="s">
        <v>3653</v>
      </c>
      <c r="AD278" s="2" t="s">
        <v>3263</v>
      </c>
      <c r="AO278" s="2" t="s">
        <v>1368</v>
      </c>
      <c r="AQ278" s="2" t="s">
        <v>3654</v>
      </c>
    </row>
    <row r="279" ht="15.75" customHeight="1">
      <c r="A279" s="2" t="s">
        <v>3655</v>
      </c>
      <c r="B279" s="2" t="s">
        <v>1396</v>
      </c>
      <c r="C279" s="2">
        <v>1964.0</v>
      </c>
      <c r="D279" s="2" t="s">
        <v>3656</v>
      </c>
      <c r="E279" s="2" t="s">
        <v>3657</v>
      </c>
      <c r="J279" s="12" t="str">
        <f>VLOOKUP(I279,'Copy of Enriched Data - IPBES G'!$L$2:$L$229,1,false)</f>
        <v>#N/A</v>
      </c>
      <c r="M279" s="2" t="s">
        <v>3658</v>
      </c>
      <c r="N279" s="2" t="s">
        <v>1385</v>
      </c>
      <c r="O279" s="2" t="s">
        <v>1386</v>
      </c>
      <c r="AB279" s="2" t="s">
        <v>1639</v>
      </c>
      <c r="AO279" s="2" t="s">
        <v>1368</v>
      </c>
    </row>
    <row r="280" ht="15.75" customHeight="1">
      <c r="A280" s="2" t="s">
        <v>3659</v>
      </c>
      <c r="B280" s="2" t="s">
        <v>1361</v>
      </c>
      <c r="C280" s="2">
        <v>2003.0</v>
      </c>
      <c r="D280" s="2" t="s">
        <v>3660</v>
      </c>
      <c r="E280" s="2" t="s">
        <v>3661</v>
      </c>
      <c r="F280" s="2" t="s">
        <v>1425</v>
      </c>
      <c r="H280" s="2" t="s">
        <v>1426</v>
      </c>
      <c r="I280" s="2" t="s">
        <v>3662</v>
      </c>
      <c r="J280" s="12" t="str">
        <f>VLOOKUP(I280,'Copy of Enriched Data - IPBES G'!$L$2:$L$229,1,false)</f>
        <v>#N/A</v>
      </c>
      <c r="M280" s="2" t="s">
        <v>3663</v>
      </c>
      <c r="N280" s="2" t="s">
        <v>1385</v>
      </c>
      <c r="O280" s="2" t="s">
        <v>1386</v>
      </c>
      <c r="Q280" s="2" t="s">
        <v>3664</v>
      </c>
      <c r="S280" s="2" t="s">
        <v>1600</v>
      </c>
      <c r="T280" s="2" t="s">
        <v>3665</v>
      </c>
      <c r="AO280" s="2" t="s">
        <v>1368</v>
      </c>
    </row>
    <row r="281" ht="15.75" customHeight="1">
      <c r="A281" s="2" t="s">
        <v>3666</v>
      </c>
      <c r="B281" s="2" t="s">
        <v>1396</v>
      </c>
      <c r="C281" s="2">
        <v>2013.0</v>
      </c>
      <c r="D281" s="2" t="s">
        <v>3667</v>
      </c>
      <c r="E281" s="2" t="s">
        <v>3668</v>
      </c>
      <c r="J281" s="12" t="str">
        <f>VLOOKUP(I281,'Copy of Enriched Data - IPBES G'!$L$2:$L$229,1,false)</f>
        <v>#N/A</v>
      </c>
      <c r="M281" s="2" t="s">
        <v>1429</v>
      </c>
      <c r="N281" s="2" t="s">
        <v>1385</v>
      </c>
      <c r="O281" s="2" t="s">
        <v>1386</v>
      </c>
      <c r="AB281" s="2" t="s">
        <v>2476</v>
      </c>
      <c r="AO281" s="2" t="s">
        <v>1368</v>
      </c>
    </row>
    <row r="282" ht="15.75" customHeight="1">
      <c r="A282" s="2" t="s">
        <v>3669</v>
      </c>
      <c r="B282" s="2" t="s">
        <v>1361</v>
      </c>
      <c r="C282" s="2">
        <v>1994.0</v>
      </c>
      <c r="D282" s="2" t="s">
        <v>3670</v>
      </c>
      <c r="E282" s="2" t="s">
        <v>3671</v>
      </c>
      <c r="F282" s="2" t="s">
        <v>1672</v>
      </c>
      <c r="H282" s="2" t="s">
        <v>3672</v>
      </c>
      <c r="I282" s="2" t="s">
        <v>3673</v>
      </c>
      <c r="J282" s="12" t="str">
        <f>VLOOKUP(I282,'Copy of Enriched Data - IPBES G'!$L$2:$L$229,1,false)</f>
        <v>#N/A</v>
      </c>
      <c r="L282" s="2" t="s">
        <v>3674</v>
      </c>
      <c r="M282" s="2" t="s">
        <v>2327</v>
      </c>
      <c r="N282" s="2" t="s">
        <v>1385</v>
      </c>
      <c r="O282" s="2" t="s">
        <v>1386</v>
      </c>
      <c r="AO282" s="2" t="s">
        <v>1368</v>
      </c>
    </row>
    <row r="283" ht="15.75" customHeight="1">
      <c r="A283" s="2" t="s">
        <v>3675</v>
      </c>
      <c r="B283" s="2" t="s">
        <v>1766</v>
      </c>
      <c r="C283" s="2">
        <v>2018.0</v>
      </c>
      <c r="D283" s="2" t="s">
        <v>3676</v>
      </c>
      <c r="E283" s="2" t="s">
        <v>3677</v>
      </c>
      <c r="F283" s="2" t="s">
        <v>3678</v>
      </c>
      <c r="J283" s="12" t="str">
        <f>VLOOKUP(I283,'Copy of Enriched Data - IPBES G'!$L$2:$L$229,1,false)</f>
        <v>#N/A</v>
      </c>
      <c r="M283" s="2" t="s">
        <v>1420</v>
      </c>
      <c r="N283" s="2" t="s">
        <v>1385</v>
      </c>
      <c r="O283" s="2" t="s">
        <v>1386</v>
      </c>
      <c r="AO283" s="2" t="s">
        <v>1368</v>
      </c>
      <c r="AQ283" s="2" t="s">
        <v>3679</v>
      </c>
    </row>
    <row r="284" ht="15.75" customHeight="1">
      <c r="A284" s="2" t="s">
        <v>3680</v>
      </c>
      <c r="B284" s="2" t="s">
        <v>1766</v>
      </c>
      <c r="C284" s="2">
        <v>2008.0</v>
      </c>
      <c r="D284" s="2" t="s">
        <v>3681</v>
      </c>
      <c r="E284" s="2" t="s">
        <v>3682</v>
      </c>
      <c r="F284" s="2" t="s">
        <v>3683</v>
      </c>
      <c r="J284" s="12" t="str">
        <f>VLOOKUP(I284,'Copy of Enriched Data - IPBES G'!$L$2:$L$229,1,false)</f>
        <v>#N/A</v>
      </c>
      <c r="M284" s="2" t="s">
        <v>1458</v>
      </c>
      <c r="N284" s="2" t="s">
        <v>1385</v>
      </c>
      <c r="O284" s="2" t="s">
        <v>1386</v>
      </c>
      <c r="AB284" s="2" t="s">
        <v>3684</v>
      </c>
      <c r="AO284" s="2" t="s">
        <v>1368</v>
      </c>
      <c r="AQ284" s="2" t="s">
        <v>3685</v>
      </c>
    </row>
    <row r="285" ht="15.75" customHeight="1">
      <c r="A285" s="2" t="s">
        <v>3686</v>
      </c>
      <c r="B285" s="2" t="s">
        <v>1361</v>
      </c>
      <c r="C285" s="2">
        <v>2010.0</v>
      </c>
      <c r="D285" s="2" t="s">
        <v>3687</v>
      </c>
      <c r="E285" s="2" t="s">
        <v>3688</v>
      </c>
      <c r="F285" s="2" t="s">
        <v>3689</v>
      </c>
      <c r="H285" s="2" t="s">
        <v>3690</v>
      </c>
      <c r="I285" s="2" t="s">
        <v>3691</v>
      </c>
      <c r="J285" s="12" t="str">
        <f>VLOOKUP(I285,'Copy of Enriched Data - IPBES G'!$L$2:$L$229,1,false)</f>
        <v>#N/A</v>
      </c>
      <c r="L285" s="2" t="s">
        <v>3692</v>
      </c>
      <c r="M285" s="2" t="s">
        <v>3693</v>
      </c>
      <c r="N285" s="2" t="s">
        <v>1385</v>
      </c>
      <c r="O285" s="2" t="s">
        <v>1386</v>
      </c>
      <c r="Q285" s="2" t="s">
        <v>3694</v>
      </c>
      <c r="S285" s="2" t="s">
        <v>1462</v>
      </c>
      <c r="T285" s="2" t="s">
        <v>1453</v>
      </c>
      <c r="AO285" s="2" t="s">
        <v>1368</v>
      </c>
    </row>
    <row r="286" ht="15.75" customHeight="1">
      <c r="A286" s="2" t="s">
        <v>3695</v>
      </c>
      <c r="B286" s="2" t="s">
        <v>1361</v>
      </c>
      <c r="C286" s="2">
        <v>2009.0</v>
      </c>
      <c r="D286" s="2" t="s">
        <v>3696</v>
      </c>
      <c r="E286" s="2" t="s">
        <v>3697</v>
      </c>
      <c r="F286" s="2" t="s">
        <v>1688</v>
      </c>
      <c r="H286" s="2" t="s">
        <v>1689</v>
      </c>
      <c r="I286" s="2" t="s">
        <v>3698</v>
      </c>
      <c r="J286" s="12" t="str">
        <f>VLOOKUP(I286,'Copy of Enriched Data - IPBES G'!$L$2:$L$229,1,false)</f>
        <v>#N/A</v>
      </c>
      <c r="L286" s="2" t="s">
        <v>3699</v>
      </c>
      <c r="M286" s="2" t="s">
        <v>1364</v>
      </c>
      <c r="N286" s="2" t="s">
        <v>1385</v>
      </c>
      <c r="O286" s="2" t="s">
        <v>1386</v>
      </c>
      <c r="Q286" s="2" t="s">
        <v>3700</v>
      </c>
      <c r="S286" s="2" t="s">
        <v>2042</v>
      </c>
      <c r="T286" s="2" t="s">
        <v>3701</v>
      </c>
      <c r="AO286" s="2" t="s">
        <v>1368</v>
      </c>
    </row>
    <row r="287" ht="15.75" customHeight="1">
      <c r="A287" s="2" t="s">
        <v>3702</v>
      </c>
      <c r="B287" s="2" t="s">
        <v>1361</v>
      </c>
      <c r="C287" s="2">
        <v>2013.0</v>
      </c>
      <c r="D287" s="2" t="s">
        <v>3703</v>
      </c>
      <c r="E287" s="2" t="s">
        <v>3704</v>
      </c>
      <c r="F287" s="2" t="s">
        <v>3705</v>
      </c>
      <c r="H287" s="2" t="s">
        <v>3706</v>
      </c>
      <c r="I287" s="2" t="s">
        <v>3707</v>
      </c>
      <c r="J287" s="12" t="str">
        <f>VLOOKUP(I287,'Copy of Enriched Data - IPBES G'!$L$2:$L$229,1,false)</f>
        <v>#N/A</v>
      </c>
      <c r="L287" s="2" t="s">
        <v>3708</v>
      </c>
      <c r="M287" s="2" t="s">
        <v>1429</v>
      </c>
      <c r="N287" s="2" t="s">
        <v>1385</v>
      </c>
      <c r="O287" s="2" t="s">
        <v>1386</v>
      </c>
      <c r="Q287" s="2" t="s">
        <v>3709</v>
      </c>
      <c r="S287" s="2" t="s">
        <v>1600</v>
      </c>
      <c r="T287" s="2" t="s">
        <v>1620</v>
      </c>
      <c r="AO287" s="2" t="s">
        <v>1368</v>
      </c>
    </row>
    <row r="288" ht="15.75" customHeight="1">
      <c r="A288" s="2" t="s">
        <v>3710</v>
      </c>
      <c r="B288" s="2" t="s">
        <v>1361</v>
      </c>
      <c r="C288" s="2">
        <v>2011.0</v>
      </c>
      <c r="D288" s="2" t="s">
        <v>3711</v>
      </c>
      <c r="E288" s="2" t="s">
        <v>3712</v>
      </c>
      <c r="F288" s="2" t="s">
        <v>3713</v>
      </c>
      <c r="H288" s="2" t="s">
        <v>3714</v>
      </c>
      <c r="I288" s="2" t="s">
        <v>3715</v>
      </c>
      <c r="J288" s="12" t="str">
        <f>VLOOKUP(I288,'Copy of Enriched Data - IPBES G'!$L$2:$L$229,1,false)</f>
        <v>#N/A</v>
      </c>
      <c r="L288" s="2" t="s">
        <v>3716</v>
      </c>
      <c r="M288" s="2" t="s">
        <v>1627</v>
      </c>
      <c r="N288" s="2" t="s">
        <v>1385</v>
      </c>
      <c r="O288" s="2" t="s">
        <v>1386</v>
      </c>
      <c r="AO288" s="2" t="s">
        <v>1368</v>
      </c>
    </row>
    <row r="289" ht="15.75" customHeight="1">
      <c r="A289" s="2" t="s">
        <v>3717</v>
      </c>
      <c r="B289" s="2" t="s">
        <v>1361</v>
      </c>
      <c r="C289" s="2">
        <v>2013.0</v>
      </c>
      <c r="D289" s="2" t="s">
        <v>3718</v>
      </c>
      <c r="E289" s="2" t="s">
        <v>3719</v>
      </c>
      <c r="F289" s="2" t="s">
        <v>1760</v>
      </c>
      <c r="I289" s="2" t="s">
        <v>3720</v>
      </c>
      <c r="J289" s="12" t="str">
        <f>VLOOKUP(I289,'Copy of Enriched Data - IPBES G'!$L$2:$L$229,1,false)</f>
        <v>#N/A</v>
      </c>
      <c r="M289" s="2" t="s">
        <v>1429</v>
      </c>
      <c r="N289" s="2" t="s">
        <v>3721</v>
      </c>
      <c r="O289" s="2" t="s">
        <v>3722</v>
      </c>
      <c r="Q289" s="2" t="s">
        <v>3723</v>
      </c>
      <c r="T289" s="2">
        <v>85.0</v>
      </c>
      <c r="AO289" s="2" t="s">
        <v>1368</v>
      </c>
    </row>
    <row r="290" ht="15.75" customHeight="1">
      <c r="A290" s="2" t="s">
        <v>3724</v>
      </c>
      <c r="B290" s="2" t="s">
        <v>1361</v>
      </c>
      <c r="C290" s="2">
        <v>2007.0</v>
      </c>
      <c r="D290" s="2" t="s">
        <v>3725</v>
      </c>
      <c r="E290" s="2" t="s">
        <v>3726</v>
      </c>
      <c r="F290" s="2" t="s">
        <v>2400</v>
      </c>
      <c r="H290" s="2" t="s">
        <v>2401</v>
      </c>
      <c r="I290" s="2" t="s">
        <v>3727</v>
      </c>
      <c r="J290" s="12" t="str">
        <f>VLOOKUP(I290,'Copy of Enriched Data - IPBES G'!$L$2:$L$229,1,false)</f>
        <v>#N/A</v>
      </c>
      <c r="K290" s="2" t="s">
        <v>3728</v>
      </c>
      <c r="M290" s="2" t="s">
        <v>2380</v>
      </c>
      <c r="N290" s="2" t="s">
        <v>1385</v>
      </c>
      <c r="O290" s="2" t="s">
        <v>1386</v>
      </c>
      <c r="Q290" s="2" t="s">
        <v>3729</v>
      </c>
      <c r="S290" s="2">
        <v>1.0</v>
      </c>
      <c r="T290" s="2">
        <v>27.0</v>
      </c>
      <c r="AO290" s="2" t="s">
        <v>1368</v>
      </c>
    </row>
    <row r="291" ht="15.75" customHeight="1">
      <c r="A291" s="2" t="s">
        <v>3730</v>
      </c>
      <c r="B291" s="2" t="s">
        <v>1361</v>
      </c>
      <c r="C291" s="2">
        <v>2017.0</v>
      </c>
      <c r="D291" s="2" t="s">
        <v>3731</v>
      </c>
      <c r="E291" s="2" t="s">
        <v>3732</v>
      </c>
      <c r="F291" s="2" t="s">
        <v>3733</v>
      </c>
      <c r="H291" s="2" t="s">
        <v>3734</v>
      </c>
      <c r="I291" s="2" t="s">
        <v>3735</v>
      </c>
      <c r="J291" s="12" t="str">
        <f>VLOOKUP(I291,'Copy of Enriched Data - IPBES G'!$L$2:$L$229,1,false)</f>
        <v>#N/A</v>
      </c>
      <c r="K291" s="2" t="s">
        <v>3736</v>
      </c>
      <c r="M291" s="2" t="s">
        <v>1658</v>
      </c>
      <c r="N291" s="2" t="s">
        <v>1385</v>
      </c>
      <c r="O291" s="2" t="s">
        <v>1386</v>
      </c>
      <c r="Q291" s="2" t="s">
        <v>3737</v>
      </c>
      <c r="T291" s="2">
        <v>27.0</v>
      </c>
      <c r="AO291" s="2" t="s">
        <v>1368</v>
      </c>
    </row>
    <row r="292" ht="15.75" customHeight="1">
      <c r="A292" s="2" t="s">
        <v>3738</v>
      </c>
      <c r="B292" s="2" t="s">
        <v>1361</v>
      </c>
      <c r="C292" s="2">
        <v>2009.0</v>
      </c>
      <c r="D292" s="2" t="s">
        <v>3739</v>
      </c>
      <c r="E292" s="2" t="s">
        <v>3740</v>
      </c>
      <c r="F292" s="2" t="s">
        <v>3741</v>
      </c>
      <c r="H292" s="2" t="s">
        <v>3742</v>
      </c>
      <c r="I292" s="2" t="s">
        <v>3743</v>
      </c>
      <c r="J292" s="12" t="str">
        <f>VLOOKUP(I292,'Copy of Enriched Data - IPBES G'!$L$2:$L$229,1,false)</f>
        <v>#N/A</v>
      </c>
      <c r="K292" s="2" t="s">
        <v>3744</v>
      </c>
      <c r="L292" s="2" t="s">
        <v>3745</v>
      </c>
      <c r="M292" s="2" t="s">
        <v>3746</v>
      </c>
      <c r="N292" s="2" t="s">
        <v>1385</v>
      </c>
      <c r="O292" s="2" t="s">
        <v>1386</v>
      </c>
      <c r="Q292" s="2" t="s">
        <v>3747</v>
      </c>
      <c r="S292" s="2">
        <v>6.0</v>
      </c>
      <c r="T292" s="2">
        <v>7.0</v>
      </c>
      <c r="AO292" s="2" t="s">
        <v>3748</v>
      </c>
    </row>
    <row r="293" ht="15.75" customHeight="1">
      <c r="A293" s="2" t="s">
        <v>3749</v>
      </c>
      <c r="B293" s="2" t="s">
        <v>1781</v>
      </c>
      <c r="C293" s="2">
        <v>2012.0</v>
      </c>
      <c r="D293" s="2" t="s">
        <v>3750</v>
      </c>
      <c r="E293" s="2" t="s">
        <v>3751</v>
      </c>
      <c r="J293" s="12" t="str">
        <f>VLOOKUP(I293,'Copy of Enriched Data - IPBES G'!$L$2:$L$229,1,false)</f>
        <v>#N/A</v>
      </c>
      <c r="K293" s="2" t="s">
        <v>3752</v>
      </c>
      <c r="M293" s="2" t="s">
        <v>3753</v>
      </c>
      <c r="N293" s="2" t="s">
        <v>1385</v>
      </c>
      <c r="O293" s="2" t="s">
        <v>1386</v>
      </c>
      <c r="AC293" s="2" t="s">
        <v>2291</v>
      </c>
      <c r="AO293" s="2" t="s">
        <v>1368</v>
      </c>
    </row>
    <row r="294" ht="15.75" customHeight="1">
      <c r="A294" s="2" t="s">
        <v>3754</v>
      </c>
      <c r="B294" s="2" t="s">
        <v>1361</v>
      </c>
      <c r="C294" s="2">
        <v>1999.0</v>
      </c>
      <c r="D294" s="2" t="s">
        <v>3755</v>
      </c>
      <c r="E294" s="2" t="s">
        <v>3756</v>
      </c>
      <c r="F294" s="2" t="s">
        <v>1863</v>
      </c>
      <c r="H294" s="2" t="s">
        <v>1864</v>
      </c>
      <c r="I294" s="2" t="s">
        <v>3757</v>
      </c>
      <c r="J294" s="12" t="str">
        <f>VLOOKUP(I294,'Copy of Enriched Data - IPBES G'!$L$2:$L$229,1,false)</f>
        <v>#N/A</v>
      </c>
      <c r="L294" s="2" t="s">
        <v>3758</v>
      </c>
      <c r="M294" s="2" t="s">
        <v>1434</v>
      </c>
      <c r="N294" s="2" t="s">
        <v>1385</v>
      </c>
      <c r="O294" s="2" t="s">
        <v>1386</v>
      </c>
      <c r="Q294" s="2" t="s">
        <v>3759</v>
      </c>
      <c r="S294" s="2">
        <v>5.0</v>
      </c>
      <c r="T294" s="2">
        <v>27.0</v>
      </c>
      <c r="AO294" s="2" t="s">
        <v>1368</v>
      </c>
    </row>
    <row r="295" ht="15.75" customHeight="1">
      <c r="A295" s="2" t="s">
        <v>3760</v>
      </c>
      <c r="B295" s="2" t="s">
        <v>1396</v>
      </c>
      <c r="C295" s="2">
        <v>2004.0</v>
      </c>
      <c r="D295" s="2" t="s">
        <v>3761</v>
      </c>
      <c r="E295" s="2" t="s">
        <v>3762</v>
      </c>
      <c r="G295" s="2" t="s">
        <v>3763</v>
      </c>
      <c r="J295" s="12" t="str">
        <f>VLOOKUP(I295,'Copy of Enriched Data - IPBES G'!$L$2:$L$229,1,false)</f>
        <v>#N/A</v>
      </c>
      <c r="M295" s="2" t="s">
        <v>2373</v>
      </c>
      <c r="N295" s="2" t="s">
        <v>1385</v>
      </c>
      <c r="O295" s="2" t="s">
        <v>1386</v>
      </c>
      <c r="R295" s="2">
        <v>558.0</v>
      </c>
      <c r="AB295" s="2" t="s">
        <v>3764</v>
      </c>
      <c r="AO295" s="2" t="s">
        <v>1368</v>
      </c>
    </row>
    <row r="296" ht="15.75" customHeight="1">
      <c r="A296" s="2" t="s">
        <v>3765</v>
      </c>
      <c r="B296" s="2" t="s">
        <v>1361</v>
      </c>
      <c r="C296" s="2">
        <v>2014.0</v>
      </c>
      <c r="D296" s="2" t="s">
        <v>3766</v>
      </c>
      <c r="E296" s="2" t="s">
        <v>3767</v>
      </c>
      <c r="F296" s="2" t="s">
        <v>2036</v>
      </c>
      <c r="H296" s="2" t="s">
        <v>2585</v>
      </c>
      <c r="I296" s="2" t="s">
        <v>3768</v>
      </c>
      <c r="J296" s="12" t="str">
        <f>VLOOKUP(I296,'Copy of Enriched Data - IPBES G'!$L$2:$L$229,1,false)</f>
        <v>#N/A</v>
      </c>
      <c r="L296" s="2" t="s">
        <v>3769</v>
      </c>
      <c r="M296" s="2" t="s">
        <v>1476</v>
      </c>
      <c r="N296" s="2" t="s">
        <v>1385</v>
      </c>
      <c r="O296" s="2" t="s">
        <v>1386</v>
      </c>
      <c r="Q296" s="2" t="s">
        <v>3770</v>
      </c>
      <c r="S296" s="2">
        <v>1.0</v>
      </c>
      <c r="T296" s="2">
        <v>64.0</v>
      </c>
      <c r="AO296" s="2" t="s">
        <v>1368</v>
      </c>
    </row>
    <row r="297" ht="15.75" customHeight="1">
      <c r="A297" s="2" t="s">
        <v>3771</v>
      </c>
      <c r="B297" s="2" t="s">
        <v>1361</v>
      </c>
      <c r="C297" s="2">
        <v>2004.0</v>
      </c>
      <c r="D297" s="2" t="s">
        <v>3772</v>
      </c>
      <c r="E297" s="2" t="s">
        <v>3773</v>
      </c>
      <c r="F297" s="2" t="s">
        <v>3774</v>
      </c>
      <c r="H297" s="2" t="s">
        <v>3775</v>
      </c>
      <c r="I297" s="2" t="s">
        <v>3776</v>
      </c>
      <c r="J297" s="12" t="str">
        <f>VLOOKUP(I297,'Copy of Enriched Data - IPBES G'!$L$2:$L$229,1,false)</f>
        <v>#N/A</v>
      </c>
      <c r="K297" s="2" t="s">
        <v>3777</v>
      </c>
      <c r="L297" s="2" t="s">
        <v>3778</v>
      </c>
      <c r="M297" s="2" t="s">
        <v>3779</v>
      </c>
      <c r="N297" s="2" t="s">
        <v>1385</v>
      </c>
      <c r="O297" s="2" t="s">
        <v>1386</v>
      </c>
      <c r="Q297" s="2" t="s">
        <v>3780</v>
      </c>
      <c r="S297" s="2">
        <v>1.0</v>
      </c>
      <c r="T297" s="2">
        <v>33.0</v>
      </c>
      <c r="AO297" s="2" t="s">
        <v>1368</v>
      </c>
    </row>
    <row r="298" ht="15.75" customHeight="1">
      <c r="A298" s="2" t="s">
        <v>3781</v>
      </c>
      <c r="B298" s="2" t="s">
        <v>1396</v>
      </c>
      <c r="C298" s="2">
        <v>2007.0</v>
      </c>
      <c r="D298" s="2" t="s">
        <v>3782</v>
      </c>
      <c r="E298" s="2" t="s">
        <v>3783</v>
      </c>
      <c r="J298" s="12" t="str">
        <f>VLOOKUP(I298,'Copy of Enriched Data - IPBES G'!$L$2:$L$229,1,false)</f>
        <v>#N/A</v>
      </c>
      <c r="M298" s="2" t="s">
        <v>2380</v>
      </c>
      <c r="N298" s="2" t="s">
        <v>1385</v>
      </c>
      <c r="O298" s="2" t="s">
        <v>1386</v>
      </c>
      <c r="Y298" s="2">
        <v>1812.0</v>
      </c>
      <c r="AB298" s="2" t="s">
        <v>3784</v>
      </c>
      <c r="AO298" s="2" t="s">
        <v>1368</v>
      </c>
    </row>
    <row r="299" ht="15.75" customHeight="1">
      <c r="A299" s="2" t="s">
        <v>3785</v>
      </c>
      <c r="B299" s="2" t="s">
        <v>1361</v>
      </c>
      <c r="C299" s="2">
        <v>2010.0</v>
      </c>
      <c r="D299" s="2" t="s">
        <v>3786</v>
      </c>
      <c r="E299" s="2" t="s">
        <v>3787</v>
      </c>
      <c r="J299" s="12" t="str">
        <f>VLOOKUP(I299,'Copy of Enriched Data - IPBES G'!$L$2:$L$229,1,false)</f>
        <v>#N/A</v>
      </c>
      <c r="M299" s="2" t="s">
        <v>1449</v>
      </c>
      <c r="N299" s="2" t="s">
        <v>3788</v>
      </c>
      <c r="O299" s="2" t="s">
        <v>3789</v>
      </c>
      <c r="AO299" s="2" t="s">
        <v>1368</v>
      </c>
    </row>
    <row r="300" ht="15.75" customHeight="1">
      <c r="A300" s="2" t="s">
        <v>3790</v>
      </c>
      <c r="B300" s="2" t="s">
        <v>1361</v>
      </c>
      <c r="C300" s="2">
        <v>2008.0</v>
      </c>
      <c r="D300" s="2" t="s">
        <v>3791</v>
      </c>
      <c r="E300" s="2" t="s">
        <v>3792</v>
      </c>
      <c r="F300" s="2" t="s">
        <v>3793</v>
      </c>
      <c r="I300" s="2" t="s">
        <v>3794</v>
      </c>
      <c r="J300" s="12" t="str">
        <f>VLOOKUP(I300,'Copy of Enriched Data - IPBES G'!$L$2:$L$229,1,false)</f>
        <v>#N/A</v>
      </c>
      <c r="M300" s="2" t="s">
        <v>1458</v>
      </c>
      <c r="N300" s="2" t="s">
        <v>3795</v>
      </c>
      <c r="O300" s="2" t="s">
        <v>3796</v>
      </c>
      <c r="Q300" s="2" t="s">
        <v>3797</v>
      </c>
      <c r="S300" s="2">
        <v>1.0</v>
      </c>
      <c r="T300" s="2">
        <v>40.0</v>
      </c>
      <c r="AO300" s="2" t="s">
        <v>1368</v>
      </c>
    </row>
    <row r="301" ht="15.75" customHeight="1">
      <c r="A301" s="2" t="s">
        <v>3798</v>
      </c>
      <c r="B301" s="2" t="s">
        <v>1361</v>
      </c>
      <c r="C301" s="2">
        <v>2009.0</v>
      </c>
      <c r="D301" s="2" t="s">
        <v>3799</v>
      </c>
      <c r="E301" s="2" t="s">
        <v>3800</v>
      </c>
      <c r="F301" s="2" t="s">
        <v>3801</v>
      </c>
      <c r="I301" s="2" t="s">
        <v>3802</v>
      </c>
      <c r="J301" s="12" t="str">
        <f>VLOOKUP(I301,'Copy of Enriched Data - IPBES G'!$L$2:$L$229,1,false)</f>
        <v>#N/A</v>
      </c>
      <c r="L301" s="2" t="s">
        <v>3803</v>
      </c>
      <c r="M301" s="2" t="s">
        <v>1364</v>
      </c>
      <c r="N301" s="2" t="s">
        <v>3804</v>
      </c>
      <c r="O301" s="2" t="s">
        <v>3805</v>
      </c>
      <c r="Q301" s="2" t="s">
        <v>3806</v>
      </c>
      <c r="S301" s="2">
        <v>6.0</v>
      </c>
      <c r="T301" s="2">
        <v>34.0</v>
      </c>
      <c r="AO301" s="2" t="s">
        <v>1368</v>
      </c>
    </row>
    <row r="302" ht="15.75" customHeight="1">
      <c r="A302" s="2" t="s">
        <v>3807</v>
      </c>
      <c r="B302" s="2" t="s">
        <v>1361</v>
      </c>
      <c r="C302" s="2">
        <v>2012.0</v>
      </c>
      <c r="D302" s="2" t="s">
        <v>3808</v>
      </c>
      <c r="E302" s="2" t="s">
        <v>3809</v>
      </c>
      <c r="F302" s="2" t="s">
        <v>1688</v>
      </c>
      <c r="H302" s="2" t="s">
        <v>2892</v>
      </c>
      <c r="I302" s="2" t="s">
        <v>3810</v>
      </c>
      <c r="J302" s="12" t="str">
        <f>VLOOKUP(I302,'Copy of Enriched Data - IPBES G'!$L$2:$L$229,1,false)</f>
        <v>#N/A</v>
      </c>
      <c r="K302" s="2" t="s">
        <v>3811</v>
      </c>
      <c r="L302" s="2" t="s">
        <v>3812</v>
      </c>
      <c r="M302" s="2" t="s">
        <v>3813</v>
      </c>
      <c r="N302" s="2" t="s">
        <v>3814</v>
      </c>
      <c r="O302" s="2" t="s">
        <v>3815</v>
      </c>
      <c r="P302" s="2" t="s">
        <v>3816</v>
      </c>
      <c r="Q302" s="2" t="s">
        <v>3817</v>
      </c>
      <c r="S302" s="2">
        <v>52.0</v>
      </c>
      <c r="T302" s="2">
        <v>109.0</v>
      </c>
      <c r="V302" s="2" t="s">
        <v>2901</v>
      </c>
      <c r="AD302" s="2" t="s">
        <v>1540</v>
      </c>
      <c r="AI302" s="2" t="s">
        <v>1541</v>
      </c>
      <c r="AO302" s="2" t="s">
        <v>1885</v>
      </c>
    </row>
    <row r="303" ht="15.75" customHeight="1">
      <c r="A303" s="2" t="s">
        <v>3818</v>
      </c>
      <c r="B303" s="2" t="s">
        <v>1361</v>
      </c>
      <c r="C303" s="2">
        <v>2007.0</v>
      </c>
      <c r="D303" s="2" t="s">
        <v>3819</v>
      </c>
      <c r="E303" s="2" t="s">
        <v>3820</v>
      </c>
      <c r="F303" s="2" t="s">
        <v>1587</v>
      </c>
      <c r="H303" s="2" t="s">
        <v>3516</v>
      </c>
      <c r="I303" s="2" t="s">
        <v>3821</v>
      </c>
      <c r="J303" s="12" t="str">
        <f>VLOOKUP(I303,'Copy of Enriched Data - IPBES G'!$L$2:$L$229,1,false)</f>
        <v>#N/A</v>
      </c>
      <c r="L303" s="2" t="s">
        <v>3822</v>
      </c>
      <c r="M303" s="2" t="s">
        <v>2380</v>
      </c>
      <c r="N303" s="2" t="s">
        <v>1385</v>
      </c>
      <c r="O303" s="2" t="s">
        <v>1386</v>
      </c>
      <c r="Q303" s="2" t="s">
        <v>3823</v>
      </c>
      <c r="S303" s="2">
        <v>3.0</v>
      </c>
      <c r="T303" s="2">
        <v>21.0</v>
      </c>
      <c r="AO303" s="2" t="s">
        <v>1368</v>
      </c>
    </row>
    <row r="304" ht="15.75" customHeight="1">
      <c r="A304" s="2" t="s">
        <v>3824</v>
      </c>
      <c r="B304" s="2" t="s">
        <v>1361</v>
      </c>
      <c r="C304" s="2">
        <v>2012.0</v>
      </c>
      <c r="D304" s="2" t="s">
        <v>3825</v>
      </c>
      <c r="E304" s="2" t="s">
        <v>3826</v>
      </c>
      <c r="F304" s="2" t="s">
        <v>3827</v>
      </c>
      <c r="I304" s="2" t="s">
        <v>3828</v>
      </c>
      <c r="J304" s="12" t="str">
        <f>VLOOKUP(I304,'Copy of Enriched Data - IPBES G'!$L$2:$L$229,1,false)</f>
        <v>#N/A</v>
      </c>
      <c r="L304" s="2" t="s">
        <v>3829</v>
      </c>
      <c r="M304" s="2" t="s">
        <v>1405</v>
      </c>
      <c r="N304" s="2" t="s">
        <v>1385</v>
      </c>
      <c r="O304" s="2" t="s">
        <v>1386</v>
      </c>
      <c r="AO304" s="2" t="s">
        <v>1368</v>
      </c>
    </row>
    <row r="305" ht="15.75" customHeight="1">
      <c r="A305" s="2" t="s">
        <v>3830</v>
      </c>
      <c r="B305" s="2" t="s">
        <v>1396</v>
      </c>
      <c r="C305" s="2">
        <v>1992.0</v>
      </c>
      <c r="D305" s="2" t="s">
        <v>3831</v>
      </c>
      <c r="E305" s="2" t="s">
        <v>3832</v>
      </c>
      <c r="G305" s="2" t="s">
        <v>3833</v>
      </c>
      <c r="J305" s="12" t="str">
        <f>VLOOKUP(I305,'Copy of Enriched Data - IPBES G'!$L$2:$L$229,1,false)</f>
        <v>#N/A</v>
      </c>
      <c r="M305" s="2" t="s">
        <v>3458</v>
      </c>
      <c r="N305" s="2" t="s">
        <v>1385</v>
      </c>
      <c r="O305" s="2" t="s">
        <v>1386</v>
      </c>
      <c r="R305" s="2">
        <v>339.0</v>
      </c>
      <c r="AB305" s="2" t="s">
        <v>3834</v>
      </c>
      <c r="AO305" s="2" t="s">
        <v>1368</v>
      </c>
    </row>
    <row r="306" ht="15.75" customHeight="1">
      <c r="A306" s="2" t="s">
        <v>3838</v>
      </c>
      <c r="B306" s="2" t="s">
        <v>1361</v>
      </c>
      <c r="C306" s="2">
        <v>2016.0</v>
      </c>
      <c r="D306" s="2" t="s">
        <v>3839</v>
      </c>
      <c r="E306" s="2" t="s">
        <v>3840</v>
      </c>
      <c r="F306" s="2" t="s">
        <v>3841</v>
      </c>
      <c r="H306" s="2" t="s">
        <v>3842</v>
      </c>
      <c r="I306" s="2" t="s">
        <v>3843</v>
      </c>
      <c r="J306" s="12" t="str">
        <f>VLOOKUP(I306,'Copy of Enriched Data - IPBES G'!$L$2:$L$229,1,false)</f>
        <v>#N/A</v>
      </c>
      <c r="L306" s="2" t="s">
        <v>3844</v>
      </c>
      <c r="M306" s="2" t="s">
        <v>1502</v>
      </c>
      <c r="N306" s="2" t="s">
        <v>1385</v>
      </c>
      <c r="O306" s="2" t="s">
        <v>1386</v>
      </c>
      <c r="Q306" s="2" t="s">
        <v>3845</v>
      </c>
      <c r="T306" s="2">
        <v>179.0</v>
      </c>
      <c r="AO306" s="2" t="s">
        <v>1368</v>
      </c>
    </row>
    <row r="307" ht="15.75" customHeight="1">
      <c r="A307" s="2" t="s">
        <v>3851</v>
      </c>
      <c r="B307" s="2" t="s">
        <v>1361</v>
      </c>
      <c r="C307" s="2">
        <v>2011.0</v>
      </c>
      <c r="D307" s="2" t="s">
        <v>3852</v>
      </c>
      <c r="E307" s="2" t="s">
        <v>3853</v>
      </c>
      <c r="F307" s="2" t="s">
        <v>1633</v>
      </c>
      <c r="I307" s="2" t="s">
        <v>3854</v>
      </c>
      <c r="J307" s="12" t="str">
        <f>VLOOKUP(I307,'Copy of Enriched Data - IPBES G'!$L$2:$L$229,1,false)</f>
        <v>#N/A</v>
      </c>
      <c r="M307" s="2" t="s">
        <v>1627</v>
      </c>
      <c r="N307" s="2" t="s">
        <v>3855</v>
      </c>
      <c r="O307" s="2" t="s">
        <v>3856</v>
      </c>
      <c r="Q307" s="2" t="s">
        <v>3857</v>
      </c>
      <c r="S307" s="2" t="s">
        <v>1453</v>
      </c>
      <c r="T307" s="2">
        <v>87.0</v>
      </c>
      <c r="AO307" s="2" t="s">
        <v>1368</v>
      </c>
    </row>
    <row r="308" ht="15.75" customHeight="1">
      <c r="A308" s="2" t="s">
        <v>3858</v>
      </c>
      <c r="B308" s="2" t="s">
        <v>1361</v>
      </c>
      <c r="C308" s="2">
        <v>1999.0</v>
      </c>
      <c r="D308" s="2" t="s">
        <v>3859</v>
      </c>
      <c r="E308" s="2" t="s">
        <v>3860</v>
      </c>
      <c r="F308" s="2" t="s">
        <v>2665</v>
      </c>
      <c r="I308" s="2" t="s">
        <v>3861</v>
      </c>
      <c r="J308" s="12" t="str">
        <f>VLOOKUP(I308,'Copy of Enriched Data - IPBES G'!$L$2:$L$229,1,false)</f>
        <v>#N/A</v>
      </c>
      <c r="M308" s="2" t="s">
        <v>1434</v>
      </c>
      <c r="N308" s="2" t="s">
        <v>3862</v>
      </c>
      <c r="O308" s="2" t="s">
        <v>3863</v>
      </c>
      <c r="Q308" s="2" t="s">
        <v>3864</v>
      </c>
      <c r="S308" s="2" t="s">
        <v>1600</v>
      </c>
      <c r="T308" s="2">
        <v>27.0</v>
      </c>
      <c r="AO308" s="2" t="s">
        <v>1368</v>
      </c>
    </row>
    <row r="309" ht="15.75" customHeight="1">
      <c r="A309" s="2" t="s">
        <v>3865</v>
      </c>
      <c r="B309" s="2" t="s">
        <v>1361</v>
      </c>
      <c r="C309" s="2">
        <v>2011.0</v>
      </c>
      <c r="D309" s="2" t="s">
        <v>3866</v>
      </c>
      <c r="E309" s="2" t="s">
        <v>3867</v>
      </c>
      <c r="F309" s="2" t="s">
        <v>3868</v>
      </c>
      <c r="I309" s="2" t="s">
        <v>3869</v>
      </c>
      <c r="J309" s="12" t="str">
        <f>VLOOKUP(I309,'Copy of Enriched Data - IPBES G'!$L$2:$L$229,1,false)</f>
        <v>#N/A</v>
      </c>
      <c r="M309" s="2" t="s">
        <v>1627</v>
      </c>
      <c r="N309" s="2" t="s">
        <v>3870</v>
      </c>
      <c r="O309" s="2" t="s">
        <v>3871</v>
      </c>
      <c r="Q309" s="2" t="s">
        <v>3872</v>
      </c>
      <c r="S309" s="2" t="s">
        <v>3873</v>
      </c>
      <c r="T309" s="2">
        <v>7.0</v>
      </c>
      <c r="AO309" s="2" t="s">
        <v>1368</v>
      </c>
    </row>
    <row r="310" ht="15.75" customHeight="1">
      <c r="A310" s="2" t="s">
        <v>3874</v>
      </c>
      <c r="B310" s="2" t="s">
        <v>1361</v>
      </c>
      <c r="C310" s="2">
        <v>2002.0</v>
      </c>
      <c r="D310" s="2" t="s">
        <v>3859</v>
      </c>
      <c r="E310" s="2" t="s">
        <v>3875</v>
      </c>
      <c r="F310" s="2" t="s">
        <v>3774</v>
      </c>
      <c r="I310" s="2" t="s">
        <v>3876</v>
      </c>
      <c r="J310" s="12" t="str">
        <f>VLOOKUP(I310,'Copy of Enriched Data - IPBES G'!$L$2:$L$229,1,false)</f>
        <v>#N/A</v>
      </c>
      <c r="M310" s="2" t="s">
        <v>1493</v>
      </c>
      <c r="N310" s="2" t="s">
        <v>3877</v>
      </c>
      <c r="O310" s="2" t="s">
        <v>3878</v>
      </c>
      <c r="Q310" s="2" t="s">
        <v>3879</v>
      </c>
      <c r="S310" s="2" t="s">
        <v>1506</v>
      </c>
      <c r="T310" s="2">
        <v>31.0</v>
      </c>
      <c r="AO310" s="2" t="s">
        <v>1368</v>
      </c>
    </row>
    <row r="311" ht="15.75" customHeight="1">
      <c r="A311" s="2" t="s">
        <v>3880</v>
      </c>
      <c r="B311" s="2" t="s">
        <v>1361</v>
      </c>
      <c r="C311" s="2">
        <v>2013.0</v>
      </c>
      <c r="D311" s="2" t="s">
        <v>3881</v>
      </c>
      <c r="E311" s="2" t="s">
        <v>3882</v>
      </c>
      <c r="F311" s="2" t="s">
        <v>1965</v>
      </c>
      <c r="H311" s="2" t="s">
        <v>3883</v>
      </c>
      <c r="I311" s="2" t="s">
        <v>3884</v>
      </c>
      <c r="J311" s="12" t="str">
        <f>VLOOKUP(I311,'Copy of Enriched Data - IPBES G'!$L$2:$L$229,1,false)</f>
        <v>#N/A</v>
      </c>
      <c r="K311" s="2" t="s">
        <v>3885</v>
      </c>
      <c r="M311" s="2" t="s">
        <v>2209</v>
      </c>
      <c r="N311" s="2" t="s">
        <v>3886</v>
      </c>
      <c r="O311" s="2" t="s">
        <v>3887</v>
      </c>
      <c r="Q311" s="2" t="s">
        <v>3888</v>
      </c>
      <c r="S311" s="2" t="s">
        <v>1600</v>
      </c>
      <c r="T311" s="2">
        <v>21.0</v>
      </c>
      <c r="AO311" s="2" t="s">
        <v>1621</v>
      </c>
    </row>
    <row r="312" ht="15.75" customHeight="1">
      <c r="A312" s="2" t="s">
        <v>3889</v>
      </c>
      <c r="B312" s="2" t="s">
        <v>1396</v>
      </c>
      <c r="C312" s="2">
        <v>2004.0</v>
      </c>
      <c r="D312" s="2" t="s">
        <v>3890</v>
      </c>
      <c r="E312" s="2" t="s">
        <v>3891</v>
      </c>
      <c r="G312" s="2">
        <v>384941.0</v>
      </c>
      <c r="J312" s="12" t="str">
        <f>VLOOKUP(I312,'Copy of Enriched Data - IPBES G'!$L$2:$L$229,1,false)</f>
        <v>#N/A</v>
      </c>
      <c r="L312" s="2" t="s">
        <v>3892</v>
      </c>
      <c r="M312" s="2" t="s">
        <v>2373</v>
      </c>
      <c r="N312" s="2" t="s">
        <v>1385</v>
      </c>
      <c r="O312" s="2" t="s">
        <v>1386</v>
      </c>
      <c r="AO312" s="2" t="s">
        <v>1368</v>
      </c>
    </row>
    <row r="313" ht="15.75" customHeight="1">
      <c r="A313" s="2" t="s">
        <v>3893</v>
      </c>
      <c r="B313" s="2" t="s">
        <v>1361</v>
      </c>
      <c r="C313" s="2">
        <v>2012.0</v>
      </c>
      <c r="D313" s="2" t="s">
        <v>3894</v>
      </c>
      <c r="E313" s="2" t="s">
        <v>3895</v>
      </c>
      <c r="F313" s="2" t="s">
        <v>2072</v>
      </c>
      <c r="I313" s="2" t="s">
        <v>3896</v>
      </c>
      <c r="J313" s="12" t="str">
        <f>VLOOKUP(I313,'Copy of Enriched Data - IPBES G'!$L$2:$L$229,1,false)</f>
        <v>#N/A</v>
      </c>
      <c r="M313" s="2" t="s">
        <v>1405</v>
      </c>
      <c r="N313" s="2" t="s">
        <v>1385</v>
      </c>
      <c r="O313" s="2" t="s">
        <v>1386</v>
      </c>
      <c r="Q313" s="2" t="s">
        <v>3897</v>
      </c>
      <c r="S313" s="2" t="s">
        <v>1462</v>
      </c>
      <c r="T313" s="2">
        <v>28.0</v>
      </c>
      <c r="AO313" s="2" t="s">
        <v>1368</v>
      </c>
    </row>
    <row r="314" ht="15.75" customHeight="1">
      <c r="A314" s="2" t="s">
        <v>3898</v>
      </c>
      <c r="B314" s="2" t="s">
        <v>1361</v>
      </c>
      <c r="C314" s="2">
        <v>2013.0</v>
      </c>
      <c r="D314" s="2" t="s">
        <v>3899</v>
      </c>
      <c r="E314" s="2" t="s">
        <v>3900</v>
      </c>
      <c r="F314" s="2" t="s">
        <v>1688</v>
      </c>
      <c r="H314" s="2" t="s">
        <v>1689</v>
      </c>
      <c r="I314" s="2" t="s">
        <v>3901</v>
      </c>
      <c r="J314" s="12" t="str">
        <f>VLOOKUP(I314,'Copy of Enriched Data - IPBES G'!$L$2:$L$229,1,false)</f>
        <v>#N/A</v>
      </c>
      <c r="L314" s="2" t="s">
        <v>3902</v>
      </c>
      <c r="M314" s="2" t="s">
        <v>1429</v>
      </c>
      <c r="N314" s="2" t="s">
        <v>1385</v>
      </c>
      <c r="O314" s="2" t="s">
        <v>1386</v>
      </c>
      <c r="AO314" s="2" t="s">
        <v>1368</v>
      </c>
    </row>
    <row r="315" ht="15.75" customHeight="1">
      <c r="A315" s="2" t="s">
        <v>3903</v>
      </c>
      <c r="B315" s="2" t="s">
        <v>1781</v>
      </c>
      <c r="C315" s="2">
        <v>2016.0</v>
      </c>
      <c r="D315" s="2" t="s">
        <v>3904</v>
      </c>
      <c r="E315" s="2" t="s">
        <v>3905</v>
      </c>
      <c r="J315" s="12" t="str">
        <f>VLOOKUP(I315,'Copy of Enriched Data - IPBES G'!$L$2:$L$229,1,false)</f>
        <v>#N/A</v>
      </c>
      <c r="L315" s="2" t="s">
        <v>3906</v>
      </c>
      <c r="M315" s="2" t="s">
        <v>1502</v>
      </c>
      <c r="N315" s="2" t="s">
        <v>1385</v>
      </c>
      <c r="O315" s="2" t="s">
        <v>1386</v>
      </c>
      <c r="AO315" s="2" t="s">
        <v>1368</v>
      </c>
    </row>
    <row r="316" ht="15.75" customHeight="1">
      <c r="A316" s="2" t="s">
        <v>3913</v>
      </c>
      <c r="B316" s="2" t="s">
        <v>1361</v>
      </c>
      <c r="C316" s="2">
        <v>2018.0</v>
      </c>
      <c r="D316" s="2" t="s">
        <v>3914</v>
      </c>
      <c r="E316" s="2" t="s">
        <v>3915</v>
      </c>
      <c r="F316" s="2" t="s">
        <v>3916</v>
      </c>
      <c r="I316" s="2" t="s">
        <v>3917</v>
      </c>
      <c r="J316" s="12" t="str">
        <f>VLOOKUP(I316,'Copy of Enriched Data - IPBES G'!$L$2:$L$229,1,false)</f>
        <v>#N/A</v>
      </c>
      <c r="M316" s="2" t="s">
        <v>1420</v>
      </c>
      <c r="N316" s="2" t="s">
        <v>3918</v>
      </c>
      <c r="O316" s="2" t="s">
        <v>3919</v>
      </c>
      <c r="Q316" s="2" t="s">
        <v>3920</v>
      </c>
      <c r="T316" s="2">
        <v>17.0</v>
      </c>
      <c r="AO316" s="2" t="s">
        <v>1368</v>
      </c>
    </row>
    <row r="317" ht="15.75" customHeight="1">
      <c r="A317" s="2" t="s">
        <v>3928</v>
      </c>
      <c r="B317" s="2" t="s">
        <v>1361</v>
      </c>
      <c r="C317" s="2">
        <v>2004.0</v>
      </c>
      <c r="D317" s="2" t="s">
        <v>3929</v>
      </c>
      <c r="E317" s="2" t="s">
        <v>3930</v>
      </c>
      <c r="F317" s="2" t="s">
        <v>3931</v>
      </c>
      <c r="I317" s="2" t="s">
        <v>3932</v>
      </c>
      <c r="J317" s="12" t="str">
        <f>VLOOKUP(I317,'Copy of Enriched Data - IPBES G'!$L$2:$L$229,1,false)</f>
        <v>#N/A</v>
      </c>
      <c r="M317" s="2" t="s">
        <v>2373</v>
      </c>
      <c r="N317" s="2" t="s">
        <v>3933</v>
      </c>
      <c r="O317" s="2" t="s">
        <v>3934</v>
      </c>
      <c r="Q317" s="2" t="s">
        <v>3935</v>
      </c>
      <c r="S317" s="2" t="s">
        <v>1600</v>
      </c>
      <c r="T317" s="2">
        <v>18.0</v>
      </c>
      <c r="AO317" s="2" t="s">
        <v>1368</v>
      </c>
    </row>
    <row r="318" ht="15.75" customHeight="1">
      <c r="A318" s="2" t="s">
        <v>3936</v>
      </c>
      <c r="B318" s="2" t="s">
        <v>1361</v>
      </c>
      <c r="C318" s="2">
        <v>2004.0</v>
      </c>
      <c r="D318" s="2" t="s">
        <v>3937</v>
      </c>
      <c r="E318" s="2" t="s">
        <v>3938</v>
      </c>
      <c r="J318" s="12" t="str">
        <f>VLOOKUP(I318,'Copy of Enriched Data - IPBES G'!$L$2:$L$229,1,false)</f>
        <v>#N/A</v>
      </c>
      <c r="M318" s="2" t="s">
        <v>2373</v>
      </c>
      <c r="N318" s="2" t="s">
        <v>3939</v>
      </c>
      <c r="O318" s="2" t="s">
        <v>3940</v>
      </c>
      <c r="AO318" s="2" t="s">
        <v>1368</v>
      </c>
    </row>
    <row r="319" ht="15.75" customHeight="1">
      <c r="A319" s="2" t="s">
        <v>3941</v>
      </c>
      <c r="B319" s="2" t="s">
        <v>1361</v>
      </c>
      <c r="C319" s="2">
        <v>2008.0</v>
      </c>
      <c r="D319" s="2" t="s">
        <v>3942</v>
      </c>
      <c r="E319" s="2" t="s">
        <v>3943</v>
      </c>
      <c r="F319" s="2" t="s">
        <v>3944</v>
      </c>
      <c r="I319" s="2" t="s">
        <v>3945</v>
      </c>
      <c r="J319" s="12" t="str">
        <f>VLOOKUP(I319,'Copy of Enriched Data - IPBES G'!$L$2:$L$229,1,false)</f>
        <v>#N/A</v>
      </c>
      <c r="M319" s="2" t="s">
        <v>1458</v>
      </c>
      <c r="N319" s="2" t="s">
        <v>3855</v>
      </c>
      <c r="O319" s="2" t="s">
        <v>3856</v>
      </c>
      <c r="Q319" s="2" t="s">
        <v>3946</v>
      </c>
      <c r="S319" s="2" t="s">
        <v>1600</v>
      </c>
      <c r="T319" s="2">
        <v>39.0</v>
      </c>
      <c r="AO319" s="2" t="s">
        <v>1368</v>
      </c>
    </row>
    <row r="320" ht="15.75" customHeight="1">
      <c r="A320" s="2" t="s">
        <v>3947</v>
      </c>
      <c r="B320" s="2" t="s">
        <v>1361</v>
      </c>
      <c r="C320" s="2">
        <v>1996.0</v>
      </c>
      <c r="D320" s="2" t="s">
        <v>3948</v>
      </c>
      <c r="E320" s="2" t="s">
        <v>3949</v>
      </c>
      <c r="F320" s="2" t="s">
        <v>3950</v>
      </c>
      <c r="I320" s="2" t="s">
        <v>3951</v>
      </c>
      <c r="J320" s="12" t="str">
        <f>VLOOKUP(I320,'Copy of Enriched Data - IPBES G'!$L$2:$L$229,1,false)</f>
        <v>#N/A</v>
      </c>
      <c r="L320" s="2" t="s">
        <v>3952</v>
      </c>
      <c r="M320" s="2" t="s">
        <v>2492</v>
      </c>
      <c r="N320" s="2" t="s">
        <v>3953</v>
      </c>
      <c r="O320" s="2" t="s">
        <v>3954</v>
      </c>
      <c r="Q320" s="2" t="s">
        <v>3955</v>
      </c>
      <c r="S320" s="2" t="s">
        <v>1506</v>
      </c>
      <c r="T320" s="2">
        <v>104.0</v>
      </c>
      <c r="AO320" s="2" t="s">
        <v>1368</v>
      </c>
    </row>
    <row r="321" ht="15.75" customHeight="1">
      <c r="A321" s="2" t="s">
        <v>3956</v>
      </c>
      <c r="B321" s="2" t="s">
        <v>1361</v>
      </c>
      <c r="C321" s="2">
        <v>2000.0</v>
      </c>
      <c r="D321" s="2" t="s">
        <v>3957</v>
      </c>
      <c r="E321" s="2" t="s">
        <v>3958</v>
      </c>
      <c r="F321" s="2" t="s">
        <v>3959</v>
      </c>
      <c r="I321" s="2" t="s">
        <v>3960</v>
      </c>
      <c r="J321" s="12" t="str">
        <f>VLOOKUP(I321,'Copy of Enriched Data - IPBES G'!$L$2:$L$229,1,false)</f>
        <v>#N/A</v>
      </c>
      <c r="M321" s="2" t="s">
        <v>2429</v>
      </c>
      <c r="N321" s="2" t="s">
        <v>3961</v>
      </c>
      <c r="O321" s="2" t="s">
        <v>3962</v>
      </c>
      <c r="Q321" s="2" t="s">
        <v>3963</v>
      </c>
      <c r="S321" s="2" t="s">
        <v>1600</v>
      </c>
      <c r="T321" s="2">
        <v>52.0</v>
      </c>
      <c r="AO321" s="2" t="s">
        <v>1368</v>
      </c>
    </row>
    <row r="322" ht="15.75" customHeight="1">
      <c r="A322" s="2" t="s">
        <v>3969</v>
      </c>
      <c r="B322" s="2" t="s">
        <v>1361</v>
      </c>
      <c r="C322" s="2">
        <v>2018.0</v>
      </c>
      <c r="D322" s="2" t="s">
        <v>3970</v>
      </c>
      <c r="E322" s="2" t="s">
        <v>3971</v>
      </c>
      <c r="F322" s="2" t="s">
        <v>2549</v>
      </c>
      <c r="I322" s="2" t="s">
        <v>3972</v>
      </c>
      <c r="J322" s="12" t="str">
        <f>VLOOKUP(I322,'Copy of Enriched Data - IPBES G'!$L$2:$L$229,1,false)</f>
        <v>#N/A</v>
      </c>
      <c r="M322" s="2" t="s">
        <v>1420</v>
      </c>
      <c r="N322" s="2" t="s">
        <v>3973</v>
      </c>
      <c r="O322" s="2" t="s">
        <v>3974</v>
      </c>
      <c r="S322" s="2" t="s">
        <v>1453</v>
      </c>
      <c r="T322" s="2">
        <v>23.0</v>
      </c>
      <c r="AO322" s="2" t="s">
        <v>1368</v>
      </c>
    </row>
    <row r="323" ht="15.75" customHeight="1">
      <c r="A323" s="2" t="s">
        <v>3975</v>
      </c>
      <c r="B323" s="2" t="s">
        <v>1361</v>
      </c>
      <c r="C323" s="2">
        <v>2007.0</v>
      </c>
      <c r="D323" s="2" t="s">
        <v>3976</v>
      </c>
      <c r="E323" s="2" t="s">
        <v>3977</v>
      </c>
      <c r="F323" s="2" t="s">
        <v>3978</v>
      </c>
      <c r="J323" s="12" t="str">
        <f>VLOOKUP(I323,'Copy of Enriched Data - IPBES G'!$L$2:$L$229,1,false)</f>
        <v>#N/A</v>
      </c>
      <c r="M323" s="2" t="s">
        <v>2380</v>
      </c>
      <c r="N323" s="2" t="s">
        <v>3979</v>
      </c>
      <c r="O323" s="2" t="s">
        <v>3980</v>
      </c>
      <c r="S323" s="2" t="s">
        <v>1462</v>
      </c>
      <c r="T323" s="2">
        <v>6.0</v>
      </c>
      <c r="AO323" s="2" t="s">
        <v>1368</v>
      </c>
    </row>
    <row r="324" ht="15.75" customHeight="1">
      <c r="A324" s="2" t="s">
        <v>3981</v>
      </c>
      <c r="B324" s="2" t="s">
        <v>1361</v>
      </c>
      <c r="C324" s="2">
        <v>2015.0</v>
      </c>
      <c r="D324" s="2" t="s">
        <v>3982</v>
      </c>
      <c r="E324" s="2" t="s">
        <v>3983</v>
      </c>
      <c r="F324" s="2" t="s">
        <v>3256</v>
      </c>
      <c r="I324" s="2" t="s">
        <v>3984</v>
      </c>
      <c r="J324" s="12" t="str">
        <f>VLOOKUP(I324,'Copy of Enriched Data - IPBES G'!$L$2:$L$229,1,false)</f>
        <v>#N/A</v>
      </c>
      <c r="M324" s="2" t="s">
        <v>1373</v>
      </c>
      <c r="N324" s="2" t="s">
        <v>3985</v>
      </c>
      <c r="O324" s="2" t="s">
        <v>3986</v>
      </c>
      <c r="Q324" s="2" t="s">
        <v>3987</v>
      </c>
      <c r="S324" s="2" t="s">
        <v>1600</v>
      </c>
      <c r="T324" s="2">
        <v>20.0</v>
      </c>
      <c r="AO324" s="2" t="s">
        <v>1368</v>
      </c>
    </row>
    <row r="325" ht="15.75" customHeight="1">
      <c r="A325" s="2" t="s">
        <v>3988</v>
      </c>
      <c r="B325" s="2" t="s">
        <v>1361</v>
      </c>
      <c r="C325" s="2">
        <v>1962.0</v>
      </c>
      <c r="D325" s="2" t="s">
        <v>3989</v>
      </c>
      <c r="E325" s="2" t="s">
        <v>3990</v>
      </c>
      <c r="F325" s="2" t="s">
        <v>3991</v>
      </c>
      <c r="I325" s="2" t="s">
        <v>3992</v>
      </c>
      <c r="J325" s="12" t="str">
        <f>VLOOKUP(I325,'Copy of Enriched Data - IPBES G'!$L$2:$L$229,1,false)</f>
        <v>#N/A</v>
      </c>
      <c r="M325" s="2" t="s">
        <v>3993</v>
      </c>
      <c r="N325" s="2" t="s">
        <v>3994</v>
      </c>
      <c r="O325" s="2" t="s">
        <v>3995</v>
      </c>
      <c r="Q325" s="2" t="s">
        <v>3996</v>
      </c>
      <c r="S325" s="2" t="s">
        <v>1462</v>
      </c>
      <c r="T325" s="2">
        <v>21.0</v>
      </c>
      <c r="AO325" s="2" t="s">
        <v>1368</v>
      </c>
    </row>
    <row r="326" ht="15.75" customHeight="1">
      <c r="A326" s="2" t="s">
        <v>3997</v>
      </c>
      <c r="B326" s="2" t="s">
        <v>1361</v>
      </c>
      <c r="C326" s="2">
        <v>2013.0</v>
      </c>
      <c r="D326" s="2" t="s">
        <v>3998</v>
      </c>
      <c r="E326" s="2" t="s">
        <v>3999</v>
      </c>
      <c r="F326" s="2" t="s">
        <v>1949</v>
      </c>
      <c r="I326" s="2" t="s">
        <v>4000</v>
      </c>
      <c r="J326" s="12" t="str">
        <f>VLOOKUP(I326,'Copy of Enriched Data - IPBES G'!$L$2:$L$229,1,false)</f>
        <v>#N/A</v>
      </c>
      <c r="M326" s="2" t="s">
        <v>1429</v>
      </c>
      <c r="N326" s="2" t="s">
        <v>4001</v>
      </c>
      <c r="O326" s="2" t="s">
        <v>4002</v>
      </c>
      <c r="Q326" s="2" t="s">
        <v>4003</v>
      </c>
      <c r="T326" s="2">
        <v>6.0</v>
      </c>
      <c r="AO326" s="2" t="s">
        <v>1368</v>
      </c>
    </row>
    <row r="327" ht="15.75" customHeight="1">
      <c r="A327" s="2" t="s">
        <v>4004</v>
      </c>
      <c r="B327" s="2" t="s">
        <v>1361</v>
      </c>
      <c r="C327" s="2">
        <v>1973.0</v>
      </c>
      <c r="D327" s="2" t="s">
        <v>4005</v>
      </c>
      <c r="E327" s="2" t="s">
        <v>4006</v>
      </c>
      <c r="F327" s="2" t="s">
        <v>4007</v>
      </c>
      <c r="I327" s="2" t="s">
        <v>4008</v>
      </c>
      <c r="J327" s="12" t="str">
        <f>VLOOKUP(I327,'Copy of Enriched Data - IPBES G'!$L$2:$L$229,1,false)</f>
        <v>#N/A</v>
      </c>
      <c r="M327" s="2" t="s">
        <v>3607</v>
      </c>
      <c r="N327" s="2" t="s">
        <v>4009</v>
      </c>
      <c r="O327" s="2" t="s">
        <v>4010</v>
      </c>
      <c r="Q327" s="2" t="s">
        <v>4011</v>
      </c>
      <c r="S327" s="2" t="s">
        <v>2271</v>
      </c>
      <c r="T327" s="2">
        <v>30.0</v>
      </c>
      <c r="AO327" s="2" t="s">
        <v>1368</v>
      </c>
    </row>
    <row r="328" ht="15.75" customHeight="1">
      <c r="A328" s="2" t="s">
        <v>4012</v>
      </c>
      <c r="B328" s="2" t="s">
        <v>1361</v>
      </c>
      <c r="C328" s="2">
        <v>2017.0</v>
      </c>
      <c r="D328" s="2" t="s">
        <v>4013</v>
      </c>
      <c r="E328" s="2" t="s">
        <v>4014</v>
      </c>
      <c r="F328" s="2" t="s">
        <v>4015</v>
      </c>
      <c r="J328" s="12" t="str">
        <f>VLOOKUP(I328,'Copy of Enriched Data - IPBES G'!$L$2:$L$229,1,false)</f>
        <v>#N/A</v>
      </c>
      <c r="M328" s="2" t="s">
        <v>1658</v>
      </c>
      <c r="N328" s="2" t="s">
        <v>4016</v>
      </c>
      <c r="O328" s="2" t="s">
        <v>4017</v>
      </c>
      <c r="S328" s="2" t="s">
        <v>2739</v>
      </c>
      <c r="AO328" s="2" t="s">
        <v>1368</v>
      </c>
    </row>
    <row r="329" ht="15.75" customHeight="1">
      <c r="A329" s="2" t="s">
        <v>4018</v>
      </c>
      <c r="B329" s="2" t="s">
        <v>1361</v>
      </c>
      <c r="C329" s="2">
        <v>2017.0</v>
      </c>
      <c r="D329" s="2" t="s">
        <v>4019</v>
      </c>
      <c r="E329" s="2" t="s">
        <v>4020</v>
      </c>
      <c r="F329" s="2" t="s">
        <v>4021</v>
      </c>
      <c r="I329" s="2" t="s">
        <v>4022</v>
      </c>
      <c r="J329" s="12" t="str">
        <f>VLOOKUP(I329,'Copy of Enriched Data - IPBES G'!$L$2:$L$229,1,false)</f>
        <v>#N/A</v>
      </c>
      <c r="M329" s="2" t="s">
        <v>1658</v>
      </c>
      <c r="N329" s="2" t="s">
        <v>4023</v>
      </c>
      <c r="O329" s="2" t="s">
        <v>4024</v>
      </c>
      <c r="Q329" s="2" t="s">
        <v>4025</v>
      </c>
      <c r="S329" s="2" t="s">
        <v>1600</v>
      </c>
      <c r="T329" s="2">
        <v>4.0</v>
      </c>
      <c r="AO329" s="2" t="s">
        <v>1368</v>
      </c>
    </row>
    <row r="330" ht="15.75" customHeight="1">
      <c r="A330" s="2" t="s">
        <v>4026</v>
      </c>
      <c r="B330" s="2" t="s">
        <v>1361</v>
      </c>
      <c r="C330" s="2">
        <v>2005.0</v>
      </c>
      <c r="D330" s="2" t="s">
        <v>4027</v>
      </c>
      <c r="E330" s="2" t="s">
        <v>4028</v>
      </c>
      <c r="F330" s="2" t="s">
        <v>4029</v>
      </c>
      <c r="I330" s="2" t="s">
        <v>4030</v>
      </c>
      <c r="J330" s="12" t="str">
        <f>VLOOKUP(I330,'Copy of Enriched Data - IPBES G'!$L$2:$L$229,1,false)</f>
        <v>#N/A</v>
      </c>
      <c r="M330" s="2" t="s">
        <v>1394</v>
      </c>
      <c r="N330" s="2" t="s">
        <v>4031</v>
      </c>
      <c r="O330" s="2" t="s">
        <v>4032</v>
      </c>
      <c r="Q330" s="2" t="s">
        <v>4033</v>
      </c>
      <c r="S330" s="2" t="s">
        <v>1453</v>
      </c>
      <c r="T330" s="2">
        <v>49.0</v>
      </c>
      <c r="AO330" s="2" t="s">
        <v>1368</v>
      </c>
    </row>
    <row r="331" ht="15.75" customHeight="1">
      <c r="A331" s="2" t="s">
        <v>4034</v>
      </c>
      <c r="B331" s="2" t="s">
        <v>1361</v>
      </c>
      <c r="C331" s="2">
        <v>2013.0</v>
      </c>
      <c r="D331" s="2" t="s">
        <v>4035</v>
      </c>
      <c r="E331" s="2" t="s">
        <v>4036</v>
      </c>
      <c r="F331" s="2" t="s">
        <v>4037</v>
      </c>
      <c r="J331" s="12" t="str">
        <f>VLOOKUP(I331,'Copy of Enriched Data - IPBES G'!$L$2:$L$229,1,false)</f>
        <v>#N/A</v>
      </c>
      <c r="L331" s="2" t="s">
        <v>4038</v>
      </c>
      <c r="M331" s="2" t="s">
        <v>1429</v>
      </c>
      <c r="N331" s="2" t="s">
        <v>4039</v>
      </c>
      <c r="O331" s="2" t="s">
        <v>4040</v>
      </c>
      <c r="Q331" s="2" t="s">
        <v>4041</v>
      </c>
      <c r="S331" s="2" t="s">
        <v>1453</v>
      </c>
      <c r="T331" s="2">
        <v>13.0</v>
      </c>
      <c r="AO331" s="2" t="s">
        <v>1368</v>
      </c>
    </row>
    <row r="332" ht="15.75" customHeight="1">
      <c r="A332" s="2" t="s">
        <v>4042</v>
      </c>
      <c r="B332" s="2" t="s">
        <v>1361</v>
      </c>
      <c r="C332" s="2">
        <v>2004.0</v>
      </c>
      <c r="D332" s="2" t="s">
        <v>4043</v>
      </c>
      <c r="E332" s="2" t="s">
        <v>4044</v>
      </c>
      <c r="F332" s="2" t="s">
        <v>1688</v>
      </c>
      <c r="H332" s="2" t="s">
        <v>1689</v>
      </c>
      <c r="I332" s="2" t="s">
        <v>4045</v>
      </c>
      <c r="J332" s="12" t="str">
        <f>VLOOKUP(I332,'Copy of Enriched Data - IPBES G'!$L$2:$L$229,1,false)</f>
        <v>#N/A</v>
      </c>
      <c r="M332" s="2" t="s">
        <v>2373</v>
      </c>
      <c r="N332" s="2" t="s">
        <v>4046</v>
      </c>
      <c r="O332" s="2" t="s">
        <v>4047</v>
      </c>
      <c r="Q332" s="2" t="s">
        <v>4048</v>
      </c>
      <c r="S332" s="2" t="s">
        <v>4049</v>
      </c>
      <c r="T332" s="2">
        <v>101.0</v>
      </c>
      <c r="AO332" s="2" t="s">
        <v>1368</v>
      </c>
    </row>
    <row r="333" ht="15.75" customHeight="1">
      <c r="A333" s="2" t="s">
        <v>4050</v>
      </c>
      <c r="B333" s="2" t="s">
        <v>1361</v>
      </c>
      <c r="C333" s="2">
        <v>1988.0</v>
      </c>
      <c r="D333" s="2" t="s">
        <v>4051</v>
      </c>
      <c r="E333" s="2" t="s">
        <v>4052</v>
      </c>
      <c r="F333" s="2" t="s">
        <v>4053</v>
      </c>
      <c r="I333" s="2" t="s">
        <v>4054</v>
      </c>
      <c r="J333" s="12" t="str">
        <f>VLOOKUP(I333,'Copy of Enriched Data - IPBES G'!$L$2:$L$229,1,false)</f>
        <v>#N/A</v>
      </c>
      <c r="M333" s="2" t="s">
        <v>4055</v>
      </c>
      <c r="N333" s="2" t="s">
        <v>4056</v>
      </c>
      <c r="O333" s="2" t="s">
        <v>4057</v>
      </c>
      <c r="Q333" s="2" t="s">
        <v>4058</v>
      </c>
      <c r="S333" s="2" t="s">
        <v>1600</v>
      </c>
      <c r="T333" s="2">
        <v>82.0</v>
      </c>
      <c r="AO333" s="2" t="s">
        <v>1368</v>
      </c>
    </row>
    <row r="334" ht="15.75" customHeight="1">
      <c r="A334" s="2" t="s">
        <v>4059</v>
      </c>
      <c r="B334" s="2" t="s">
        <v>1361</v>
      </c>
      <c r="C334" s="2">
        <v>2013.0</v>
      </c>
      <c r="D334" s="2" t="s">
        <v>4060</v>
      </c>
      <c r="E334" s="2" t="s">
        <v>4061</v>
      </c>
      <c r="F334" s="2" t="s">
        <v>4062</v>
      </c>
      <c r="H334" s="2" t="s">
        <v>4063</v>
      </c>
      <c r="I334" s="2" t="s">
        <v>4064</v>
      </c>
      <c r="J334" s="12" t="str">
        <f>VLOOKUP(I334,'Copy of Enriched Data - IPBES G'!$L$2:$L$229,1,false)</f>
        <v>#N/A</v>
      </c>
      <c r="L334" s="2" t="s">
        <v>4065</v>
      </c>
      <c r="M334" s="2" t="s">
        <v>1429</v>
      </c>
      <c r="N334" s="2" t="s">
        <v>4066</v>
      </c>
      <c r="O334" s="2" t="s">
        <v>4067</v>
      </c>
      <c r="Q334" s="2" t="s">
        <v>4068</v>
      </c>
      <c r="S334" s="2" t="s">
        <v>1462</v>
      </c>
      <c r="T334" s="2">
        <v>12.0</v>
      </c>
      <c r="AO334" s="2" t="s">
        <v>1368</v>
      </c>
    </row>
    <row r="335" ht="15.75" customHeight="1">
      <c r="A335" s="2" t="s">
        <v>4069</v>
      </c>
      <c r="B335" s="2" t="s">
        <v>1361</v>
      </c>
      <c r="C335" s="2">
        <v>2012.0</v>
      </c>
      <c r="D335" s="2" t="s">
        <v>4070</v>
      </c>
      <c r="E335" s="2" t="s">
        <v>4071</v>
      </c>
      <c r="F335" s="2" t="s">
        <v>1715</v>
      </c>
      <c r="I335" s="2" t="s">
        <v>4072</v>
      </c>
      <c r="J335" s="12" t="str">
        <f>VLOOKUP(I335,'Copy of Enriched Data - IPBES G'!$L$2:$L$229,1,false)</f>
        <v>#N/A</v>
      </c>
      <c r="M335" s="2" t="s">
        <v>1405</v>
      </c>
      <c r="N335" s="2" t="s">
        <v>4073</v>
      </c>
      <c r="O335" s="2" t="s">
        <v>4074</v>
      </c>
      <c r="Q335" s="2" t="s">
        <v>4075</v>
      </c>
      <c r="S335" s="2" t="s">
        <v>1453</v>
      </c>
      <c r="T335" s="2">
        <v>97.0</v>
      </c>
      <c r="AO335" s="2" t="s">
        <v>1368</v>
      </c>
    </row>
    <row r="336" ht="15.75" customHeight="1">
      <c r="A336" s="2" t="s">
        <v>4076</v>
      </c>
      <c r="B336" s="2" t="s">
        <v>1361</v>
      </c>
      <c r="C336" s="2">
        <v>2007.0</v>
      </c>
      <c r="D336" s="2" t="s">
        <v>4077</v>
      </c>
      <c r="E336" s="2" t="s">
        <v>4078</v>
      </c>
      <c r="F336" s="2" t="s">
        <v>3841</v>
      </c>
      <c r="I336" s="2" t="s">
        <v>4079</v>
      </c>
      <c r="J336" s="12" t="str">
        <f>VLOOKUP(I336,'Copy of Enriched Data - IPBES G'!$L$2:$L$229,1,false)</f>
        <v>#N/A</v>
      </c>
      <c r="M336" s="2" t="s">
        <v>2380</v>
      </c>
      <c r="N336" s="2" t="s">
        <v>4080</v>
      </c>
      <c r="O336" s="2" t="s">
        <v>4081</v>
      </c>
      <c r="Q336" s="2" t="s">
        <v>4082</v>
      </c>
      <c r="S336" s="2" t="s">
        <v>1462</v>
      </c>
      <c r="T336" s="2">
        <v>87.0</v>
      </c>
      <c r="AO336" s="2" t="s">
        <v>1368</v>
      </c>
    </row>
    <row r="337" ht="15.75" customHeight="1">
      <c r="A337" s="2" t="s">
        <v>4083</v>
      </c>
      <c r="B337" s="2" t="s">
        <v>1361</v>
      </c>
      <c r="C337" s="2">
        <v>2002.0</v>
      </c>
      <c r="D337" s="2" t="s">
        <v>4084</v>
      </c>
      <c r="E337" s="2" t="s">
        <v>4085</v>
      </c>
      <c r="F337" s="2" t="s">
        <v>4086</v>
      </c>
      <c r="I337" s="2" t="s">
        <v>4087</v>
      </c>
      <c r="J337" s="12" t="str">
        <f>VLOOKUP(I337,'Copy of Enriched Data - IPBES G'!$L$2:$L$229,1,false)</f>
        <v>#N/A</v>
      </c>
      <c r="M337" s="2" t="s">
        <v>1493</v>
      </c>
      <c r="N337" s="2" t="s">
        <v>4088</v>
      </c>
      <c r="O337" s="2" t="s">
        <v>4089</v>
      </c>
      <c r="Q337" s="2" t="s">
        <v>4090</v>
      </c>
      <c r="S337" s="2" t="s">
        <v>1462</v>
      </c>
      <c r="T337" s="2">
        <v>92.0</v>
      </c>
      <c r="AO337" s="2" t="s">
        <v>1368</v>
      </c>
    </row>
    <row r="338" ht="15.75" customHeight="1">
      <c r="A338" s="2" t="s">
        <v>4091</v>
      </c>
      <c r="B338" s="2" t="s">
        <v>1361</v>
      </c>
      <c r="C338" s="2">
        <v>1997.0</v>
      </c>
      <c r="D338" s="2" t="s">
        <v>4092</v>
      </c>
      <c r="E338" s="2" t="s">
        <v>4093</v>
      </c>
      <c r="F338" s="2" t="s">
        <v>1672</v>
      </c>
      <c r="I338" s="2" t="s">
        <v>4094</v>
      </c>
      <c r="J338" s="12" t="str">
        <f>VLOOKUP(I338,'Copy of Enriched Data - IPBES G'!$L$2:$L$229,1,false)</f>
        <v>#N/A</v>
      </c>
      <c r="M338" s="2" t="s">
        <v>1804</v>
      </c>
      <c r="N338" s="2" t="s">
        <v>4095</v>
      </c>
      <c r="O338" s="2" t="s">
        <v>4096</v>
      </c>
      <c r="Q338" s="2" t="s">
        <v>4097</v>
      </c>
      <c r="S338" s="2" t="s">
        <v>1462</v>
      </c>
      <c r="T338" s="2">
        <v>28.0</v>
      </c>
      <c r="AO338" s="2" t="s">
        <v>1368</v>
      </c>
    </row>
    <row r="339" ht="15.75" customHeight="1">
      <c r="A339" s="2" t="s">
        <v>4098</v>
      </c>
      <c r="B339" s="2" t="s">
        <v>1361</v>
      </c>
      <c r="C339" s="2">
        <v>2017.0</v>
      </c>
      <c r="D339" s="2" t="s">
        <v>4099</v>
      </c>
      <c r="E339" s="2" t="s">
        <v>4100</v>
      </c>
      <c r="F339" s="2" t="s">
        <v>4101</v>
      </c>
      <c r="I339" s="2" t="s">
        <v>4102</v>
      </c>
      <c r="J339" s="12" t="str">
        <f>VLOOKUP(I339,'Copy of Enriched Data - IPBES G'!$L$2:$L$229,1,false)</f>
        <v>#N/A</v>
      </c>
      <c r="M339" s="2" t="s">
        <v>1658</v>
      </c>
      <c r="N339" s="2" t="s">
        <v>4103</v>
      </c>
      <c r="O339" s="2" t="s">
        <v>4104</v>
      </c>
      <c r="Q339" s="2" t="s">
        <v>3528</v>
      </c>
      <c r="AO339" s="2" t="s">
        <v>1368</v>
      </c>
    </row>
    <row r="340" ht="15.75" customHeight="1">
      <c r="A340" s="2" t="s">
        <v>4105</v>
      </c>
      <c r="B340" s="2" t="s">
        <v>1361</v>
      </c>
      <c r="C340" s="2">
        <v>2004.0</v>
      </c>
      <c r="D340" s="2" t="s">
        <v>4106</v>
      </c>
      <c r="E340" s="2" t="s">
        <v>4107</v>
      </c>
      <c r="F340" s="2" t="s">
        <v>1380</v>
      </c>
      <c r="I340" s="2" t="s">
        <v>4108</v>
      </c>
      <c r="J340" s="12" t="str">
        <f>VLOOKUP(I340,'Copy of Enriched Data - IPBES G'!$L$2:$L$229,1,false)</f>
        <v>#N/A</v>
      </c>
      <c r="M340" s="2" t="s">
        <v>2373</v>
      </c>
      <c r="N340" s="2" t="s">
        <v>4109</v>
      </c>
      <c r="O340" s="2" t="s">
        <v>4110</v>
      </c>
      <c r="Q340" s="2" t="s">
        <v>4111</v>
      </c>
      <c r="S340" s="2" t="s">
        <v>4112</v>
      </c>
      <c r="T340" s="2">
        <v>428.0</v>
      </c>
      <c r="AO340" s="2" t="s">
        <v>1368</v>
      </c>
    </row>
    <row r="341" ht="15.75" customHeight="1">
      <c r="A341" s="2" t="s">
        <v>4113</v>
      </c>
      <c r="B341" s="2" t="s">
        <v>1361</v>
      </c>
      <c r="C341" s="2">
        <v>2014.0</v>
      </c>
      <c r="D341" s="2" t="s">
        <v>4114</v>
      </c>
      <c r="E341" s="2" t="s">
        <v>4115</v>
      </c>
      <c r="F341" s="2" t="s">
        <v>2020</v>
      </c>
      <c r="I341" s="2" t="s">
        <v>4116</v>
      </c>
      <c r="J341" s="12" t="str">
        <f>VLOOKUP(I341,'Copy of Enriched Data - IPBES G'!$L$2:$L$229,1,false)</f>
        <v>#N/A</v>
      </c>
      <c r="M341" s="2" t="s">
        <v>1476</v>
      </c>
      <c r="N341" s="2" t="s">
        <v>4117</v>
      </c>
      <c r="O341" s="2" t="s">
        <v>4118</v>
      </c>
      <c r="Q341" s="2" t="s">
        <v>4119</v>
      </c>
      <c r="T341" s="2">
        <v>33.0</v>
      </c>
      <c r="AO341" s="2" t="s">
        <v>1368</v>
      </c>
    </row>
    <row r="342" ht="15.75" customHeight="1">
      <c r="A342" s="2" t="s">
        <v>4120</v>
      </c>
      <c r="B342" s="2" t="s">
        <v>1361</v>
      </c>
      <c r="C342" s="2">
        <v>2007.0</v>
      </c>
      <c r="D342" s="2" t="s">
        <v>4121</v>
      </c>
      <c r="E342" s="2" t="s">
        <v>4122</v>
      </c>
      <c r="F342" s="2" t="s">
        <v>4123</v>
      </c>
      <c r="I342" s="2" t="s">
        <v>4124</v>
      </c>
      <c r="J342" s="12" t="str">
        <f>VLOOKUP(I342,'Copy of Enriched Data - IPBES G'!$L$2:$L$229,1,false)</f>
        <v>#N/A</v>
      </c>
      <c r="M342" s="2" t="s">
        <v>2380</v>
      </c>
      <c r="N342" s="2" t="s">
        <v>4125</v>
      </c>
      <c r="O342" s="2" t="s">
        <v>4126</v>
      </c>
      <c r="Q342" s="2" t="s">
        <v>4127</v>
      </c>
      <c r="S342" s="2" t="s">
        <v>1453</v>
      </c>
      <c r="T342" s="2">
        <v>24.0</v>
      </c>
      <c r="AO342" s="2" t="s">
        <v>1368</v>
      </c>
    </row>
    <row r="343" ht="15.75" customHeight="1">
      <c r="A343" s="2" t="s">
        <v>4128</v>
      </c>
      <c r="B343" s="2" t="s">
        <v>1361</v>
      </c>
      <c r="C343" s="2">
        <v>2018.0</v>
      </c>
      <c r="D343" s="2" t="s">
        <v>4129</v>
      </c>
      <c r="E343" s="2" t="s">
        <v>4130</v>
      </c>
      <c r="F343" s="2" t="s">
        <v>2905</v>
      </c>
      <c r="I343" s="2" t="s">
        <v>4131</v>
      </c>
      <c r="J343" s="12" t="str">
        <f>VLOOKUP(I343,'Copy of Enriched Data - IPBES G'!$L$2:$L$229,1,false)</f>
        <v>#N/A</v>
      </c>
      <c r="M343" s="2" t="s">
        <v>1420</v>
      </c>
      <c r="N343" s="2" t="s">
        <v>4132</v>
      </c>
      <c r="O343" s="2" t="s">
        <v>4133</v>
      </c>
      <c r="Q343" s="2" t="s">
        <v>4134</v>
      </c>
      <c r="S343" s="2" t="s">
        <v>1937</v>
      </c>
      <c r="T343" s="2">
        <v>1.0</v>
      </c>
      <c r="AO343" s="2" t="s">
        <v>1368</v>
      </c>
    </row>
    <row r="344" ht="15.75" customHeight="1">
      <c r="A344" s="2" t="s">
        <v>4146</v>
      </c>
      <c r="B344" s="2" t="s">
        <v>1361</v>
      </c>
      <c r="C344" s="2">
        <v>2013.0</v>
      </c>
      <c r="D344" s="2" t="s">
        <v>4147</v>
      </c>
      <c r="E344" s="2" t="s">
        <v>4148</v>
      </c>
      <c r="F344" s="2" t="s">
        <v>1688</v>
      </c>
      <c r="H344" s="2" t="s">
        <v>2892</v>
      </c>
      <c r="I344" s="2" t="s">
        <v>4149</v>
      </c>
      <c r="J344" s="12" t="str">
        <f>VLOOKUP(I344,'Copy of Enriched Data - IPBES G'!$L$2:$L$229,1,false)</f>
        <v>#N/A</v>
      </c>
      <c r="K344" s="2" t="s">
        <v>4150</v>
      </c>
      <c r="L344" s="2" t="s">
        <v>4151</v>
      </c>
      <c r="M344" s="2" t="s">
        <v>4152</v>
      </c>
      <c r="N344" s="2" t="s">
        <v>4153</v>
      </c>
      <c r="O344" s="2" t="s">
        <v>4154</v>
      </c>
      <c r="P344" s="2" t="s">
        <v>4155</v>
      </c>
      <c r="Q344" s="2" t="s">
        <v>4156</v>
      </c>
      <c r="S344" s="2" t="s">
        <v>1600</v>
      </c>
      <c r="T344" s="2">
        <v>110.0</v>
      </c>
      <c r="V344" s="2" t="s">
        <v>2901</v>
      </c>
      <c r="AD344" s="2" t="s">
        <v>1540</v>
      </c>
      <c r="AI344" s="2" t="s">
        <v>1541</v>
      </c>
      <c r="AO344" s="2" t="s">
        <v>4157</v>
      </c>
    </row>
    <row r="345" ht="15.75" customHeight="1">
      <c r="A345" s="2" t="s">
        <v>4158</v>
      </c>
      <c r="B345" s="2" t="s">
        <v>1361</v>
      </c>
      <c r="C345" s="2">
        <v>2018.0</v>
      </c>
      <c r="D345" s="2" t="s">
        <v>4159</v>
      </c>
      <c r="E345" s="2" t="s">
        <v>4160</v>
      </c>
      <c r="F345" s="2" t="s">
        <v>3295</v>
      </c>
      <c r="H345" s="2" t="s">
        <v>3296</v>
      </c>
      <c r="I345" s="2" t="s">
        <v>4161</v>
      </c>
      <c r="J345" s="12" t="str">
        <f>VLOOKUP(I345,'Copy of Enriched Data - IPBES G'!$L$2:$L$229,1,false)</f>
        <v>#N/A</v>
      </c>
      <c r="K345" s="2" t="s">
        <v>4162</v>
      </c>
      <c r="M345" s="2" t="s">
        <v>4163</v>
      </c>
      <c r="N345" s="2" t="s">
        <v>4164</v>
      </c>
      <c r="O345" s="2" t="s">
        <v>4165</v>
      </c>
      <c r="P345" s="2" t="s">
        <v>4166</v>
      </c>
      <c r="Q345" s="2" t="s">
        <v>4167</v>
      </c>
      <c r="S345" s="2" t="s">
        <v>1453</v>
      </c>
      <c r="T345" s="2">
        <v>11.0</v>
      </c>
      <c r="V345" s="2" t="s">
        <v>4168</v>
      </c>
      <c r="W345" s="2" t="s">
        <v>4169</v>
      </c>
      <c r="AD345" s="2" t="s">
        <v>1540</v>
      </c>
      <c r="AI345" s="2" t="s">
        <v>1541</v>
      </c>
      <c r="AO345" s="2" t="s">
        <v>1872</v>
      </c>
    </row>
    <row r="346" ht="15.75" customHeight="1">
      <c r="A346" s="2" t="s">
        <v>4170</v>
      </c>
      <c r="B346" s="2" t="s">
        <v>1361</v>
      </c>
      <c r="C346" s="2">
        <v>2007.0</v>
      </c>
      <c r="D346" s="2" t="s">
        <v>4171</v>
      </c>
      <c r="E346" s="2" t="s">
        <v>4172</v>
      </c>
      <c r="F346" s="2" t="s">
        <v>2665</v>
      </c>
      <c r="H346" s="2" t="s">
        <v>4173</v>
      </c>
      <c r="I346" s="2" t="s">
        <v>4174</v>
      </c>
      <c r="J346" s="12" t="str">
        <f>VLOOKUP(I346,'Copy of Enriched Data - IPBES G'!$L$2:$L$229,1,false)</f>
        <v>#N/A</v>
      </c>
      <c r="K346" s="2" t="s">
        <v>4175</v>
      </c>
      <c r="M346" s="2" t="s">
        <v>4176</v>
      </c>
      <c r="N346" s="2" t="s">
        <v>4177</v>
      </c>
      <c r="O346" s="2" t="s">
        <v>4178</v>
      </c>
      <c r="P346" s="2" t="s">
        <v>4179</v>
      </c>
      <c r="Q346" s="2" t="s">
        <v>4180</v>
      </c>
      <c r="S346" s="2" t="s">
        <v>1600</v>
      </c>
      <c r="T346" s="2">
        <v>35.0</v>
      </c>
      <c r="V346" s="2" t="s">
        <v>4181</v>
      </c>
      <c r="W346" s="2" t="s">
        <v>4182</v>
      </c>
      <c r="AD346" s="2" t="s">
        <v>1540</v>
      </c>
      <c r="AI346" s="2" t="s">
        <v>1541</v>
      </c>
      <c r="AO346" s="2" t="s">
        <v>1872</v>
      </c>
    </row>
    <row r="347" ht="15.75" customHeight="1">
      <c r="A347" s="2" t="s">
        <v>4183</v>
      </c>
      <c r="B347" s="2" t="s">
        <v>1361</v>
      </c>
      <c r="C347" s="2">
        <v>2012.0</v>
      </c>
      <c r="D347" s="2" t="s">
        <v>4184</v>
      </c>
      <c r="E347" s="2" t="s">
        <v>4185</v>
      </c>
      <c r="F347" s="2" t="s">
        <v>4186</v>
      </c>
      <c r="H347" s="2" t="s">
        <v>4187</v>
      </c>
      <c r="I347" s="2" t="s">
        <v>4188</v>
      </c>
      <c r="J347" s="12" t="str">
        <f>VLOOKUP(I347,'Copy of Enriched Data - IPBES G'!$L$2:$L$229,1,false)</f>
        <v>#N/A</v>
      </c>
      <c r="K347" s="2" t="s">
        <v>4189</v>
      </c>
      <c r="M347" s="2" t="s">
        <v>1405</v>
      </c>
      <c r="N347" s="2" t="s">
        <v>4190</v>
      </c>
      <c r="O347" s="2" t="s">
        <v>4191</v>
      </c>
      <c r="Q347" s="2" t="s">
        <v>4192</v>
      </c>
      <c r="S347" s="2" t="s">
        <v>1937</v>
      </c>
      <c r="T347" s="2">
        <v>15.0</v>
      </c>
      <c r="AO347" s="2" t="s">
        <v>1609</v>
      </c>
    </row>
    <row r="348" ht="15.75" customHeight="1">
      <c r="A348" s="2" t="s">
        <v>4193</v>
      </c>
      <c r="B348" s="2" t="s">
        <v>1396</v>
      </c>
      <c r="C348" s="2">
        <v>2016.0</v>
      </c>
      <c r="D348" s="2" t="s">
        <v>4194</v>
      </c>
      <c r="E348" s="2" t="s">
        <v>4195</v>
      </c>
      <c r="J348" s="12" t="str">
        <f>VLOOKUP(I348,'Copy of Enriched Data - IPBES G'!$L$2:$L$229,1,false)</f>
        <v>#N/A</v>
      </c>
      <c r="K348" s="2" t="s">
        <v>4196</v>
      </c>
      <c r="M348" s="2" t="s">
        <v>4197</v>
      </c>
      <c r="N348" s="2" t="s">
        <v>4198</v>
      </c>
      <c r="O348" s="2" t="s">
        <v>4199</v>
      </c>
      <c r="P348" s="2" t="s">
        <v>4200</v>
      </c>
      <c r="AD348" s="2" t="s">
        <v>1540</v>
      </c>
      <c r="AI348" s="2" t="s">
        <v>4201</v>
      </c>
      <c r="AO348" s="2" t="s">
        <v>1885</v>
      </c>
    </row>
    <row r="349" ht="15.75" customHeight="1">
      <c r="A349" s="2" t="s">
        <v>4202</v>
      </c>
      <c r="B349" s="2" t="s">
        <v>1361</v>
      </c>
      <c r="C349" s="2">
        <v>2003.0</v>
      </c>
      <c r="D349" s="2" t="s">
        <v>4203</v>
      </c>
      <c r="E349" s="2" t="s">
        <v>4204</v>
      </c>
      <c r="F349" s="2" t="s">
        <v>4205</v>
      </c>
      <c r="H349" s="2" t="s">
        <v>4206</v>
      </c>
      <c r="I349" s="2" t="s">
        <v>4207</v>
      </c>
      <c r="J349" s="12" t="str">
        <f>VLOOKUP(I349,'Copy of Enriched Data - IPBES G'!$L$2:$L$229,1,false)</f>
        <v>#N/A</v>
      </c>
      <c r="K349" s="2" t="s">
        <v>4208</v>
      </c>
      <c r="M349" s="2" t="s">
        <v>4209</v>
      </c>
      <c r="N349" s="2" t="s">
        <v>4210</v>
      </c>
      <c r="O349" s="2" t="s">
        <v>4211</v>
      </c>
      <c r="P349" s="2" t="s">
        <v>1870</v>
      </c>
      <c r="Q349" s="2" t="s">
        <v>4212</v>
      </c>
      <c r="S349" s="2" t="s">
        <v>1462</v>
      </c>
      <c r="T349" s="2">
        <v>67.0</v>
      </c>
      <c r="V349" s="2" t="s">
        <v>4205</v>
      </c>
      <c r="AD349" s="2" t="s">
        <v>1540</v>
      </c>
      <c r="AI349" s="2" t="s">
        <v>1541</v>
      </c>
      <c r="AO349" s="2" t="s">
        <v>1872</v>
      </c>
    </row>
    <row r="350" ht="15.75" customHeight="1">
      <c r="A350" s="2" t="s">
        <v>4222</v>
      </c>
      <c r="B350" s="2" t="s">
        <v>1361</v>
      </c>
      <c r="C350" s="2">
        <v>2014.0</v>
      </c>
      <c r="D350" s="2" t="s">
        <v>4223</v>
      </c>
      <c r="E350" s="2" t="s">
        <v>4224</v>
      </c>
      <c r="F350" s="2" t="s">
        <v>4225</v>
      </c>
      <c r="H350" s="2" t="s">
        <v>4226</v>
      </c>
      <c r="I350" s="2" t="s">
        <v>4227</v>
      </c>
      <c r="J350" s="12" t="str">
        <f>VLOOKUP(I350,'Copy of Enriched Data - IPBES G'!$L$2:$L$229,1,false)</f>
        <v>#N/A</v>
      </c>
      <c r="L350" s="2" t="s">
        <v>4228</v>
      </c>
      <c r="M350" s="2" t="s">
        <v>1476</v>
      </c>
      <c r="N350" s="2" t="s">
        <v>1385</v>
      </c>
      <c r="O350" s="2" t="s">
        <v>1386</v>
      </c>
      <c r="Q350" s="2" t="s">
        <v>4229</v>
      </c>
      <c r="S350" s="2" t="s">
        <v>1453</v>
      </c>
      <c r="T350" s="2">
        <v>73.0</v>
      </c>
      <c r="AK350" s="2" t="s">
        <v>4230</v>
      </c>
      <c r="AO350" s="2" t="s">
        <v>1368</v>
      </c>
    </row>
    <row r="351" ht="15.75" customHeight="1">
      <c r="A351" s="2" t="s">
        <v>4231</v>
      </c>
      <c r="B351" s="2" t="s">
        <v>1361</v>
      </c>
      <c r="C351" s="2">
        <v>2009.0</v>
      </c>
      <c r="D351" s="2" t="s">
        <v>4232</v>
      </c>
      <c r="E351" s="2" t="s">
        <v>4233</v>
      </c>
      <c r="F351" s="2" t="s">
        <v>1587</v>
      </c>
      <c r="H351" s="2" t="s">
        <v>3516</v>
      </c>
      <c r="I351" s="2" t="s">
        <v>4234</v>
      </c>
      <c r="J351" s="12" t="str">
        <f>VLOOKUP(I351,'Copy of Enriched Data - IPBES G'!$L$2:$L$229,1,false)</f>
        <v>#N/A</v>
      </c>
      <c r="L351" s="2" t="s">
        <v>4235</v>
      </c>
      <c r="M351" s="2" t="s">
        <v>1364</v>
      </c>
      <c r="N351" s="2" t="s">
        <v>1385</v>
      </c>
      <c r="O351" s="2" t="s">
        <v>1386</v>
      </c>
      <c r="Q351" s="2" t="s">
        <v>4236</v>
      </c>
      <c r="S351" s="2" t="s">
        <v>1937</v>
      </c>
      <c r="T351" s="2">
        <v>23.0</v>
      </c>
      <c r="AO351" s="2" t="s">
        <v>1368</v>
      </c>
    </row>
    <row r="352" ht="15.75" customHeight="1">
      <c r="A352" s="2" t="s">
        <v>4237</v>
      </c>
      <c r="B352" s="2" t="s">
        <v>1361</v>
      </c>
      <c r="C352" s="2">
        <v>2008.0</v>
      </c>
      <c r="D352" s="2" t="s">
        <v>4238</v>
      </c>
      <c r="E352" s="2" t="s">
        <v>4239</v>
      </c>
      <c r="F352" s="2" t="s">
        <v>1890</v>
      </c>
      <c r="H352" s="2" t="s">
        <v>1891</v>
      </c>
      <c r="I352" s="2" t="s">
        <v>4240</v>
      </c>
      <c r="J352" s="12" t="str">
        <f>VLOOKUP(I352,'Copy of Enriched Data - IPBES G'!$L$2:$L$229,1,false)</f>
        <v>#N/A</v>
      </c>
      <c r="L352" s="2" t="s">
        <v>4241</v>
      </c>
      <c r="M352" s="2" t="s">
        <v>1458</v>
      </c>
      <c r="N352" s="2" t="s">
        <v>1385</v>
      </c>
      <c r="O352" s="2" t="s">
        <v>1386</v>
      </c>
      <c r="Q352" s="2" t="s">
        <v>4242</v>
      </c>
      <c r="S352" s="2" t="s">
        <v>1506</v>
      </c>
      <c r="T352" s="2">
        <v>6.0</v>
      </c>
      <c r="AO352" s="2" t="s">
        <v>1368</v>
      </c>
    </row>
    <row r="353" ht="15.75" customHeight="1">
      <c r="A353" s="2" t="s">
        <v>4243</v>
      </c>
      <c r="B353" s="2" t="s">
        <v>1361</v>
      </c>
      <c r="C353" s="2">
        <v>2005.0</v>
      </c>
      <c r="D353" s="2" t="s">
        <v>4244</v>
      </c>
      <c r="E353" s="2" t="s">
        <v>4245</v>
      </c>
      <c r="F353" s="2" t="s">
        <v>1789</v>
      </c>
      <c r="H353" s="2" t="s">
        <v>1790</v>
      </c>
      <c r="I353" s="2" t="s">
        <v>4246</v>
      </c>
      <c r="J353" s="12" t="str">
        <f>VLOOKUP(I353,'Copy of Enriched Data - IPBES G'!$L$2:$L$229,1,false)</f>
        <v>#N/A</v>
      </c>
      <c r="L353" s="2" t="s">
        <v>4247</v>
      </c>
      <c r="M353" s="2" t="s">
        <v>1394</v>
      </c>
      <c r="N353" s="2" t="s">
        <v>1385</v>
      </c>
      <c r="O353" s="2" t="s">
        <v>1386</v>
      </c>
      <c r="Q353" s="2" t="s">
        <v>4248</v>
      </c>
      <c r="S353" s="2" t="s">
        <v>1462</v>
      </c>
      <c r="T353" s="2">
        <v>15.0</v>
      </c>
      <c r="AO353" s="2" t="s">
        <v>1368</v>
      </c>
    </row>
    <row r="354" ht="15.75" customHeight="1">
      <c r="A354" s="2" t="s">
        <v>4249</v>
      </c>
      <c r="B354" s="2" t="s">
        <v>1361</v>
      </c>
      <c r="C354" s="2">
        <v>2008.0</v>
      </c>
      <c r="D354" s="2" t="s">
        <v>4250</v>
      </c>
      <c r="E354" s="2" t="s">
        <v>4251</v>
      </c>
      <c r="F354" s="2" t="s">
        <v>4252</v>
      </c>
      <c r="H354" s="2" t="s">
        <v>4253</v>
      </c>
      <c r="I354" s="2" t="s">
        <v>4254</v>
      </c>
      <c r="J354" s="12" t="str">
        <f>VLOOKUP(I354,'Copy of Enriched Data - IPBES G'!$L$2:$L$229,1,false)</f>
        <v>#N/A</v>
      </c>
      <c r="L354" s="2" t="s">
        <v>4255</v>
      </c>
      <c r="M354" s="2" t="s">
        <v>1458</v>
      </c>
      <c r="N354" s="2" t="s">
        <v>1385</v>
      </c>
      <c r="O354" s="2" t="s">
        <v>1386</v>
      </c>
      <c r="Q354" s="2" t="s">
        <v>2671</v>
      </c>
      <c r="S354" s="2" t="s">
        <v>1462</v>
      </c>
      <c r="T354" s="2">
        <v>22.0</v>
      </c>
      <c r="AO354" s="2" t="s">
        <v>2238</v>
      </c>
    </row>
    <row r="355" ht="15.75" customHeight="1">
      <c r="A355" s="2" t="s">
        <v>4256</v>
      </c>
      <c r="B355" s="2" t="s">
        <v>1361</v>
      </c>
      <c r="C355" s="2">
        <v>2015.0</v>
      </c>
      <c r="D355" s="2" t="s">
        <v>4257</v>
      </c>
      <c r="E355" s="2" t="s">
        <v>4258</v>
      </c>
      <c r="F355" s="2" t="s">
        <v>1876</v>
      </c>
      <c r="I355" s="2" t="s">
        <v>4259</v>
      </c>
      <c r="J355" s="12" t="str">
        <f>VLOOKUP(I355,'Copy of Enriched Data - IPBES G'!$L$2:$L$229,1,false)</f>
        <v>#N/A</v>
      </c>
      <c r="K355" s="2" t="s">
        <v>4260</v>
      </c>
      <c r="L355" s="2" t="s">
        <v>4261</v>
      </c>
      <c r="M355" s="2" t="s">
        <v>1373</v>
      </c>
      <c r="N355" s="2" t="s">
        <v>1385</v>
      </c>
      <c r="O355" s="2" t="s">
        <v>1386</v>
      </c>
      <c r="Q355" s="2" t="s">
        <v>4262</v>
      </c>
      <c r="S355" s="2" t="s">
        <v>2646</v>
      </c>
      <c r="T355" s="2">
        <v>10.0</v>
      </c>
      <c r="AO355" s="2" t="s">
        <v>4263</v>
      </c>
      <c r="AQ355" s="2" t="s">
        <v>4264</v>
      </c>
    </row>
    <row r="356" ht="15.75" customHeight="1">
      <c r="A356" s="2" t="s">
        <v>4273</v>
      </c>
      <c r="B356" s="2" t="s">
        <v>1361</v>
      </c>
      <c r="C356" s="2">
        <v>2009.0</v>
      </c>
      <c r="D356" s="2" t="s">
        <v>4274</v>
      </c>
      <c r="E356" s="2" t="s">
        <v>4275</v>
      </c>
      <c r="F356" s="2" t="s">
        <v>3247</v>
      </c>
      <c r="H356" s="2" t="s">
        <v>3248</v>
      </c>
      <c r="I356" s="2" t="s">
        <v>4276</v>
      </c>
      <c r="J356" s="12" t="str">
        <f>VLOOKUP(I356,'Copy of Enriched Data - IPBES G'!$L$2:$L$229,1,false)</f>
        <v>#N/A</v>
      </c>
      <c r="L356" s="2" t="s">
        <v>4277</v>
      </c>
      <c r="M356" s="2" t="s">
        <v>1364</v>
      </c>
      <c r="N356" s="2" t="s">
        <v>1385</v>
      </c>
      <c r="O356" s="2" t="s">
        <v>1386</v>
      </c>
      <c r="Q356" s="2" t="s">
        <v>4278</v>
      </c>
      <c r="S356" s="2" t="s">
        <v>3235</v>
      </c>
      <c r="T356" s="2">
        <v>106.0</v>
      </c>
      <c r="AO356" s="2" t="s">
        <v>2244</v>
      </c>
    </row>
    <row r="357" ht="15.75" customHeight="1">
      <c r="A357" s="2" t="s">
        <v>4279</v>
      </c>
      <c r="B357" s="2" t="s">
        <v>1396</v>
      </c>
      <c r="C357" s="2">
        <v>2018.0</v>
      </c>
      <c r="D357" s="2" t="s">
        <v>4280</v>
      </c>
      <c r="E357" s="2" t="s">
        <v>4281</v>
      </c>
      <c r="J357" s="12" t="str">
        <f>VLOOKUP(I357,'Copy of Enriched Data - IPBES G'!$L$2:$L$229,1,false)</f>
        <v>#N/A</v>
      </c>
      <c r="K357" s="2" t="s">
        <v>4282</v>
      </c>
      <c r="M357" s="2" t="s">
        <v>1420</v>
      </c>
      <c r="N357" s="2" t="s">
        <v>1385</v>
      </c>
      <c r="O357" s="2" t="s">
        <v>1386</v>
      </c>
      <c r="AO357" s="2" t="s">
        <v>1368</v>
      </c>
    </row>
    <row r="358" ht="15.75" customHeight="1">
      <c r="A358" s="2" t="s">
        <v>4283</v>
      </c>
      <c r="B358" s="2" t="s">
        <v>1623</v>
      </c>
      <c r="C358" s="2">
        <v>2002.0</v>
      </c>
      <c r="D358" s="2" t="s">
        <v>4284</v>
      </c>
      <c r="E358" s="2" t="s">
        <v>4285</v>
      </c>
      <c r="J358" s="12" t="str">
        <f>VLOOKUP(I358,'Copy of Enriched Data - IPBES G'!$L$2:$L$229,1,false)</f>
        <v>#N/A</v>
      </c>
      <c r="L358" s="2" t="s">
        <v>4286</v>
      </c>
      <c r="M358" s="2" t="s">
        <v>1493</v>
      </c>
      <c r="N358" s="2" t="s">
        <v>1385</v>
      </c>
      <c r="O358" s="2" t="s">
        <v>1386</v>
      </c>
      <c r="AO358" s="2" t="s">
        <v>1368</v>
      </c>
    </row>
    <row r="359" ht="15.75" customHeight="1">
      <c r="A359" s="2" t="s">
        <v>4287</v>
      </c>
      <c r="B359" s="2" t="s">
        <v>1396</v>
      </c>
      <c r="C359" s="2">
        <v>2017.0</v>
      </c>
      <c r="D359" s="2" t="s">
        <v>4288</v>
      </c>
      <c r="E359" s="2" t="s">
        <v>4289</v>
      </c>
      <c r="J359" s="12" t="str">
        <f>VLOOKUP(I359,'Copy of Enriched Data - IPBES G'!$L$2:$L$229,1,false)</f>
        <v>#N/A</v>
      </c>
      <c r="K359" s="2" t="s">
        <v>4290</v>
      </c>
      <c r="M359" s="2" t="s">
        <v>1658</v>
      </c>
      <c r="N359" s="2" t="s">
        <v>1385</v>
      </c>
      <c r="O359" s="2" t="s">
        <v>1386</v>
      </c>
      <c r="AO359" s="2" t="s">
        <v>1368</v>
      </c>
    </row>
    <row r="360" ht="15.75" customHeight="1">
      <c r="A360" s="2" t="s">
        <v>4299</v>
      </c>
      <c r="B360" s="2" t="s">
        <v>1766</v>
      </c>
      <c r="C360" s="2">
        <v>2017.0</v>
      </c>
      <c r="D360" s="2" t="s">
        <v>4300</v>
      </c>
      <c r="E360" s="2" t="s">
        <v>4301</v>
      </c>
      <c r="F360" s="2" t="s">
        <v>4302</v>
      </c>
      <c r="J360" s="12" t="str">
        <f>VLOOKUP(I360,'Copy of Enriched Data - IPBES G'!$L$2:$L$229,1,false)</f>
        <v>#N/A</v>
      </c>
      <c r="M360" s="2" t="s">
        <v>1658</v>
      </c>
      <c r="N360" s="2" t="s">
        <v>1385</v>
      </c>
      <c r="O360" s="2" t="s">
        <v>1386</v>
      </c>
      <c r="Q360" s="2" t="s">
        <v>4303</v>
      </c>
      <c r="AB360" s="2" t="s">
        <v>4304</v>
      </c>
      <c r="AC360" s="2" t="s">
        <v>4305</v>
      </c>
      <c r="AO360" s="2" t="s">
        <v>1368</v>
      </c>
      <c r="AQ360" s="2" t="s">
        <v>4306</v>
      </c>
    </row>
    <row r="361" ht="15.75" customHeight="1">
      <c r="A361" s="2" t="s">
        <v>4307</v>
      </c>
      <c r="B361" s="2" t="s">
        <v>1623</v>
      </c>
      <c r="C361" s="2">
        <v>1995.0</v>
      </c>
      <c r="D361" s="2" t="s">
        <v>4308</v>
      </c>
      <c r="E361" s="2" t="s">
        <v>4309</v>
      </c>
      <c r="J361" s="12" t="str">
        <f>VLOOKUP(I361,'Copy of Enriched Data - IPBES G'!$L$2:$L$229,1,false)</f>
        <v>#N/A</v>
      </c>
      <c r="M361" s="2" t="s">
        <v>2089</v>
      </c>
      <c r="N361" s="2" t="s">
        <v>1385</v>
      </c>
      <c r="O361" s="2" t="s">
        <v>1386</v>
      </c>
      <c r="AB361" s="2" t="s">
        <v>1653</v>
      </c>
      <c r="AO361" s="2" t="s">
        <v>1368</v>
      </c>
    </row>
    <row r="362" ht="15.75" customHeight="1">
      <c r="A362" s="2" t="s">
        <v>4310</v>
      </c>
      <c r="B362" s="2" t="s">
        <v>3012</v>
      </c>
      <c r="C362" s="2">
        <v>2017.0</v>
      </c>
      <c r="D362" s="2" t="s">
        <v>4311</v>
      </c>
      <c r="E362" s="2" t="s">
        <v>4312</v>
      </c>
      <c r="J362" s="12" t="str">
        <f>VLOOKUP(I362,'Copy of Enriched Data - IPBES G'!$L$2:$L$229,1,false)</f>
        <v>#N/A</v>
      </c>
      <c r="K362" s="2" t="s">
        <v>4313</v>
      </c>
      <c r="M362" s="2" t="s">
        <v>1658</v>
      </c>
      <c r="N362" s="2" t="s">
        <v>1385</v>
      </c>
      <c r="O362" s="2" t="s">
        <v>1386</v>
      </c>
      <c r="P362" s="2" t="s">
        <v>4314</v>
      </c>
      <c r="AO362" s="2" t="s">
        <v>1368</v>
      </c>
    </row>
    <row r="363" ht="15.75" customHeight="1">
      <c r="A363" s="2" t="s">
        <v>4315</v>
      </c>
      <c r="B363" s="2" t="s">
        <v>1361</v>
      </c>
      <c r="C363" s="2">
        <v>2014.0</v>
      </c>
      <c r="D363" s="2" t="s">
        <v>4316</v>
      </c>
      <c r="E363" s="2" t="s">
        <v>4317</v>
      </c>
      <c r="J363" s="12" t="str">
        <f>VLOOKUP(I363,'Copy of Enriched Data - IPBES G'!$L$2:$L$229,1,false)</f>
        <v>#N/A</v>
      </c>
      <c r="K363" s="2" t="s">
        <v>4318</v>
      </c>
      <c r="M363" s="2" t="s">
        <v>1476</v>
      </c>
      <c r="N363" s="2" t="s">
        <v>1385</v>
      </c>
      <c r="O363" s="2" t="s">
        <v>1386</v>
      </c>
      <c r="AO363" s="2" t="s">
        <v>1368</v>
      </c>
    </row>
    <row r="364" ht="15.75" customHeight="1">
      <c r="A364" s="2" t="s">
        <v>4319</v>
      </c>
      <c r="B364" s="2" t="s">
        <v>1396</v>
      </c>
      <c r="C364" s="2">
        <v>2014.0</v>
      </c>
      <c r="D364" s="2" t="s">
        <v>4320</v>
      </c>
      <c r="E364" s="2" t="s">
        <v>4321</v>
      </c>
      <c r="J364" s="12" t="str">
        <f>VLOOKUP(I364,'Copy of Enriched Data - IPBES G'!$L$2:$L$229,1,false)</f>
        <v>#N/A</v>
      </c>
      <c r="M364" s="2" t="s">
        <v>1476</v>
      </c>
      <c r="N364" s="2" t="s">
        <v>1385</v>
      </c>
      <c r="O364" s="2" t="s">
        <v>1386</v>
      </c>
      <c r="AB364" s="2" t="s">
        <v>4322</v>
      </c>
      <c r="AC364" s="2" t="s">
        <v>4323</v>
      </c>
      <c r="AO364" s="2" t="s">
        <v>1368</v>
      </c>
    </row>
    <row r="365" ht="15.75" customHeight="1">
      <c r="A365" s="2" t="s">
        <v>4324</v>
      </c>
      <c r="B365" s="2" t="s">
        <v>1361</v>
      </c>
      <c r="C365" s="2">
        <v>1998.0</v>
      </c>
      <c r="D365" s="2" t="s">
        <v>4325</v>
      </c>
      <c r="E365" s="2" t="s">
        <v>4326</v>
      </c>
      <c r="F365" s="2" t="s">
        <v>4327</v>
      </c>
      <c r="H365" s="2" t="s">
        <v>4328</v>
      </c>
      <c r="I365" s="2" t="s">
        <v>4329</v>
      </c>
      <c r="J365" s="12" t="str">
        <f>VLOOKUP(I365,'Copy of Enriched Data - IPBES G'!$L$2:$L$229,1,false)</f>
        <v>#N/A</v>
      </c>
      <c r="K365" s="2" t="s">
        <v>4330</v>
      </c>
      <c r="L365" s="2" t="s">
        <v>4331</v>
      </c>
      <c r="M365" s="2" t="s">
        <v>4332</v>
      </c>
      <c r="N365" s="2" t="s">
        <v>1385</v>
      </c>
      <c r="O365" s="2" t="s">
        <v>1386</v>
      </c>
      <c r="Q365" s="2" t="s">
        <v>4333</v>
      </c>
      <c r="S365" s="2" t="s">
        <v>1506</v>
      </c>
      <c r="T365" s="2">
        <v>63.0</v>
      </c>
      <c r="AO365" s="2" t="s">
        <v>1368</v>
      </c>
    </row>
    <row r="366" ht="15.75" customHeight="1">
      <c r="A366" s="2" t="s">
        <v>4334</v>
      </c>
      <c r="B366" s="2" t="s">
        <v>1396</v>
      </c>
      <c r="C366" s="2">
        <v>2009.0</v>
      </c>
      <c r="D366" s="2" t="s">
        <v>4335</v>
      </c>
      <c r="E366" s="2" t="s">
        <v>4336</v>
      </c>
      <c r="G366" s="2" t="s">
        <v>4337</v>
      </c>
      <c r="J366" s="12" t="str">
        <f>VLOOKUP(I366,'Copy of Enriched Data - IPBES G'!$L$2:$L$229,1,false)</f>
        <v>#N/A</v>
      </c>
      <c r="L366" s="2" t="s">
        <v>4338</v>
      </c>
      <c r="M366" s="2" t="s">
        <v>1364</v>
      </c>
      <c r="N366" s="2" t="s">
        <v>1385</v>
      </c>
      <c r="O366" s="2" t="s">
        <v>1386</v>
      </c>
      <c r="R366" s="2">
        <v>495.0</v>
      </c>
      <c r="AB366" s="2" t="s">
        <v>4339</v>
      </c>
      <c r="AO366" s="2" t="s">
        <v>1368</v>
      </c>
    </row>
    <row r="367" ht="15.75" customHeight="1">
      <c r="A367" s="2" t="s">
        <v>4340</v>
      </c>
      <c r="B367" s="2" t="s">
        <v>1361</v>
      </c>
      <c r="C367" s="2">
        <v>2005.0</v>
      </c>
      <c r="D367" s="2" t="s">
        <v>4341</v>
      </c>
      <c r="E367" s="2" t="s">
        <v>4342</v>
      </c>
      <c r="F367" s="2" t="s">
        <v>3256</v>
      </c>
      <c r="I367" s="2" t="s">
        <v>4343</v>
      </c>
      <c r="J367" s="12" t="str">
        <f>VLOOKUP(I367,'Copy of Enriched Data - IPBES G'!$L$2:$L$229,1,false)</f>
        <v>#N/A</v>
      </c>
      <c r="L367" s="2" t="s">
        <v>4344</v>
      </c>
      <c r="M367" s="2" t="s">
        <v>1394</v>
      </c>
      <c r="N367" s="2" t="s">
        <v>1385</v>
      </c>
      <c r="O367" s="2" t="s">
        <v>1386</v>
      </c>
      <c r="AO367" s="2" t="s">
        <v>1368</v>
      </c>
    </row>
    <row r="368" ht="15.75" customHeight="1">
      <c r="A368" s="2" t="s">
        <v>4350</v>
      </c>
      <c r="B368" s="2" t="s">
        <v>1361</v>
      </c>
      <c r="C368" s="2">
        <v>2003.0</v>
      </c>
      <c r="D368" s="2" t="s">
        <v>4351</v>
      </c>
      <c r="E368" s="2" t="s">
        <v>4352</v>
      </c>
      <c r="F368" s="2" t="s">
        <v>1510</v>
      </c>
      <c r="I368" s="2" t="s">
        <v>4353</v>
      </c>
      <c r="J368" s="12" t="str">
        <f>VLOOKUP(I368,'Copy of Enriched Data - IPBES G'!$L$2:$L$229,1,false)</f>
        <v>#N/A</v>
      </c>
      <c r="L368" s="2" t="s">
        <v>4354</v>
      </c>
      <c r="M368" s="2" t="s">
        <v>1606</v>
      </c>
      <c r="N368" s="2" t="s">
        <v>1385</v>
      </c>
      <c r="O368" s="2" t="s">
        <v>1386</v>
      </c>
      <c r="AO368" s="2" t="s">
        <v>1368</v>
      </c>
    </row>
    <row r="369" ht="15.75" customHeight="1">
      <c r="A369" s="2" t="s">
        <v>4355</v>
      </c>
      <c r="B369" s="2" t="s">
        <v>1361</v>
      </c>
      <c r="C369" s="2">
        <v>2003.0</v>
      </c>
      <c r="D369" s="2" t="s">
        <v>4356</v>
      </c>
      <c r="E369" s="2" t="s">
        <v>4357</v>
      </c>
      <c r="F369" s="2" t="s">
        <v>1825</v>
      </c>
      <c r="H369" s="2" t="s">
        <v>4358</v>
      </c>
      <c r="I369" s="2" t="s">
        <v>4359</v>
      </c>
      <c r="J369" s="12" t="str">
        <f>VLOOKUP(I369,'Copy of Enriched Data - IPBES G'!$L$2:$L$229,1,false)</f>
        <v>#N/A</v>
      </c>
      <c r="L369" s="2" t="s">
        <v>4360</v>
      </c>
      <c r="M369" s="2" t="s">
        <v>1606</v>
      </c>
      <c r="N369" s="2" t="s">
        <v>1385</v>
      </c>
      <c r="O369" s="2" t="s">
        <v>1386</v>
      </c>
      <c r="AO369" s="2" t="s">
        <v>1368</v>
      </c>
    </row>
    <row r="370" ht="15.75" customHeight="1">
      <c r="A370" s="2" t="s">
        <v>4361</v>
      </c>
      <c r="B370" s="2" t="s">
        <v>1361</v>
      </c>
      <c r="C370" s="2">
        <v>2009.0</v>
      </c>
      <c r="D370" s="2" t="s">
        <v>4362</v>
      </c>
      <c r="E370" s="2" t="s">
        <v>4363</v>
      </c>
      <c r="F370" s="2" t="s">
        <v>3689</v>
      </c>
      <c r="H370" s="2" t="s">
        <v>3690</v>
      </c>
      <c r="I370" s="2" t="s">
        <v>4364</v>
      </c>
      <c r="J370" s="12" t="str">
        <f>VLOOKUP(I370,'Copy of Enriched Data - IPBES G'!$L$2:$L$229,1,false)</f>
        <v>#N/A</v>
      </c>
      <c r="L370" s="2" t="s">
        <v>4365</v>
      </c>
      <c r="M370" s="2" t="s">
        <v>1364</v>
      </c>
      <c r="N370" s="2" t="s">
        <v>1385</v>
      </c>
      <c r="O370" s="2" t="s">
        <v>1386</v>
      </c>
      <c r="AO370" s="2" t="s">
        <v>1368</v>
      </c>
    </row>
    <row r="371" ht="15.75" customHeight="1">
      <c r="A371" s="2" t="s">
        <v>4366</v>
      </c>
      <c r="B371" s="2" t="s">
        <v>1766</v>
      </c>
      <c r="C371" s="2">
        <v>2006.0</v>
      </c>
      <c r="D371" s="2" t="s">
        <v>4367</v>
      </c>
      <c r="E371" s="2" t="s">
        <v>4368</v>
      </c>
      <c r="F371" s="2" t="s">
        <v>4369</v>
      </c>
      <c r="G371" s="2" t="s">
        <v>4370</v>
      </c>
      <c r="J371" s="12" t="str">
        <f>VLOOKUP(I371,'Copy of Enriched Data - IPBES G'!$L$2:$L$229,1,false)</f>
        <v>#N/A</v>
      </c>
      <c r="L371" s="2" t="s">
        <v>4371</v>
      </c>
      <c r="M371" s="2" t="s">
        <v>1727</v>
      </c>
      <c r="N371" s="2" t="s">
        <v>1385</v>
      </c>
      <c r="O371" s="2" t="s">
        <v>1386</v>
      </c>
      <c r="AO371" s="2" t="s">
        <v>1368</v>
      </c>
    </row>
    <row r="372" ht="15.75" customHeight="1">
      <c r="A372" s="2" t="s">
        <v>4372</v>
      </c>
      <c r="B372" s="2" t="s">
        <v>1361</v>
      </c>
      <c r="C372" s="2">
        <v>2008.0</v>
      </c>
      <c r="D372" s="2" t="s">
        <v>4373</v>
      </c>
      <c r="E372" s="2" t="s">
        <v>4374</v>
      </c>
      <c r="F372" s="2" t="s">
        <v>1594</v>
      </c>
      <c r="H372" s="2" t="s">
        <v>4375</v>
      </c>
      <c r="I372" s="2" t="s">
        <v>4376</v>
      </c>
      <c r="J372" s="12" t="str">
        <f>VLOOKUP(I372,'Copy of Enriched Data - IPBES G'!$L$2:$L$229,1,false)</f>
        <v>#N/A</v>
      </c>
      <c r="L372" s="2" t="s">
        <v>4377</v>
      </c>
      <c r="M372" s="2" t="s">
        <v>1458</v>
      </c>
      <c r="N372" s="2" t="s">
        <v>1385</v>
      </c>
      <c r="O372" s="2" t="s">
        <v>1386</v>
      </c>
      <c r="AO372" s="2" t="s">
        <v>1368</v>
      </c>
    </row>
    <row r="373" ht="15.75" customHeight="1">
      <c r="A373" s="2" t="s">
        <v>4378</v>
      </c>
      <c r="B373" s="2" t="s">
        <v>1781</v>
      </c>
      <c r="C373" s="2">
        <v>2008.0</v>
      </c>
      <c r="D373" s="2" t="s">
        <v>4379</v>
      </c>
      <c r="E373" s="2" t="s">
        <v>4380</v>
      </c>
      <c r="J373" s="12" t="str">
        <f>VLOOKUP(I373,'Copy of Enriched Data - IPBES G'!$L$2:$L$229,1,false)</f>
        <v>#N/A</v>
      </c>
      <c r="L373" s="2" t="s">
        <v>4381</v>
      </c>
      <c r="M373" s="2" t="s">
        <v>1458</v>
      </c>
      <c r="N373" s="2" t="s">
        <v>1385</v>
      </c>
      <c r="O373" s="2" t="s">
        <v>1386</v>
      </c>
      <c r="AO373" s="2" t="s">
        <v>1368</v>
      </c>
    </row>
    <row r="374" ht="15.75" customHeight="1">
      <c r="A374" s="2" t="s">
        <v>4387</v>
      </c>
      <c r="B374" s="2" t="s">
        <v>1361</v>
      </c>
      <c r="C374" s="2">
        <v>2013.0</v>
      </c>
      <c r="D374" s="2" t="s">
        <v>4388</v>
      </c>
      <c r="E374" s="2" t="s">
        <v>4389</v>
      </c>
      <c r="F374" s="2" t="s">
        <v>4390</v>
      </c>
      <c r="H374" s="2" t="s">
        <v>4391</v>
      </c>
      <c r="I374" s="2" t="s">
        <v>4392</v>
      </c>
      <c r="J374" s="12" t="str">
        <f>VLOOKUP(I374,'Copy of Enriched Data - IPBES G'!$L$2:$L$229,1,false)</f>
        <v>#N/A</v>
      </c>
      <c r="M374" s="2" t="s">
        <v>1429</v>
      </c>
      <c r="N374" s="2" t="s">
        <v>1385</v>
      </c>
      <c r="O374" s="2" t="s">
        <v>1386</v>
      </c>
      <c r="Q374" s="2" t="s">
        <v>4393</v>
      </c>
      <c r="T374" s="2">
        <v>36.0</v>
      </c>
      <c r="AO374" s="2" t="s">
        <v>1368</v>
      </c>
    </row>
    <row r="375" ht="15.75" customHeight="1">
      <c r="A375" s="2" t="s">
        <v>4394</v>
      </c>
      <c r="B375" s="2" t="s">
        <v>1396</v>
      </c>
      <c r="C375" s="2">
        <v>2014.0</v>
      </c>
      <c r="D375" s="2" t="s">
        <v>4395</v>
      </c>
      <c r="E375" s="2" t="s">
        <v>4396</v>
      </c>
      <c r="G375" s="2" t="s">
        <v>4397</v>
      </c>
      <c r="J375" s="12" t="str">
        <f>VLOOKUP(I375,'Copy of Enriched Data - IPBES G'!$L$2:$L$229,1,false)</f>
        <v>#N/A</v>
      </c>
      <c r="M375" s="2" t="s">
        <v>1476</v>
      </c>
      <c r="N375" s="2" t="s">
        <v>1385</v>
      </c>
      <c r="O375" s="2" t="s">
        <v>1386</v>
      </c>
      <c r="R375" s="2">
        <v>80.0</v>
      </c>
      <c r="AC375" s="2" t="s">
        <v>4398</v>
      </c>
      <c r="AO375" s="2" t="s">
        <v>1368</v>
      </c>
    </row>
    <row r="376" ht="15.75" customHeight="1">
      <c r="A376" s="2" t="s">
        <v>4407</v>
      </c>
      <c r="B376" s="2" t="s">
        <v>1361</v>
      </c>
      <c r="C376" s="2">
        <v>2016.0</v>
      </c>
      <c r="D376" s="2" t="s">
        <v>4408</v>
      </c>
      <c r="E376" s="2" t="s">
        <v>4409</v>
      </c>
      <c r="F376" s="2" t="s">
        <v>4410</v>
      </c>
      <c r="H376" s="2" t="s">
        <v>4411</v>
      </c>
      <c r="I376" s="2" t="s">
        <v>4412</v>
      </c>
      <c r="J376" s="12" t="str">
        <f>VLOOKUP(I376,'Copy of Enriched Data - IPBES G'!$L$2:$L$229,1,false)</f>
        <v>#N/A</v>
      </c>
      <c r="L376" s="2" t="s">
        <v>4413</v>
      </c>
      <c r="M376" s="2" t="s">
        <v>1502</v>
      </c>
      <c r="N376" s="2" t="s">
        <v>1385</v>
      </c>
      <c r="O376" s="2" t="s">
        <v>1386</v>
      </c>
      <c r="Q376" s="2" t="s">
        <v>4414</v>
      </c>
      <c r="S376" s="2" t="s">
        <v>1506</v>
      </c>
      <c r="T376" s="2">
        <v>2.0</v>
      </c>
      <c r="AO376" s="2" t="s">
        <v>1368</v>
      </c>
    </row>
    <row r="377" ht="15.75" customHeight="1">
      <c r="A377" s="2" t="s">
        <v>4415</v>
      </c>
      <c r="B377" s="2" t="s">
        <v>1361</v>
      </c>
      <c r="C377" s="2">
        <v>1994.0</v>
      </c>
      <c r="D377" s="2" t="s">
        <v>4416</v>
      </c>
      <c r="E377" s="2" t="s">
        <v>4417</v>
      </c>
      <c r="F377" s="2" t="s">
        <v>4418</v>
      </c>
      <c r="H377" s="2" t="s">
        <v>4419</v>
      </c>
      <c r="I377" s="2" t="s">
        <v>4420</v>
      </c>
      <c r="J377" s="12" t="str">
        <f>VLOOKUP(I377,'Copy of Enriched Data - IPBES G'!$L$2:$L$229,1,false)</f>
        <v>#N/A</v>
      </c>
      <c r="M377" s="2" t="s">
        <v>2327</v>
      </c>
      <c r="N377" s="2" t="s">
        <v>1385</v>
      </c>
      <c r="O377" s="2" t="s">
        <v>1386</v>
      </c>
      <c r="Q377" s="2" t="s">
        <v>4421</v>
      </c>
      <c r="S377" s="2" t="s">
        <v>1937</v>
      </c>
      <c r="T377" s="2">
        <v>24.0</v>
      </c>
      <c r="AO377" s="2" t="s">
        <v>1368</v>
      </c>
    </row>
    <row r="378" ht="15.75" customHeight="1">
      <c r="A378" s="2" t="s">
        <v>4422</v>
      </c>
      <c r="B378" s="2" t="s">
        <v>1396</v>
      </c>
      <c r="C378" s="2">
        <v>2007.0</v>
      </c>
      <c r="D378" s="2" t="s">
        <v>4423</v>
      </c>
      <c r="E378" s="2" t="s">
        <v>4424</v>
      </c>
      <c r="J378" s="12" t="str">
        <f>VLOOKUP(I378,'Copy of Enriched Data - IPBES G'!$L$2:$L$229,1,false)</f>
        <v>#N/A</v>
      </c>
      <c r="M378" s="2" t="s">
        <v>2380</v>
      </c>
      <c r="N378" s="2" t="s">
        <v>1385</v>
      </c>
      <c r="O378" s="2" t="s">
        <v>1386</v>
      </c>
      <c r="AB378" s="2" t="s">
        <v>4425</v>
      </c>
      <c r="AO378" s="2" t="s">
        <v>1368</v>
      </c>
    </row>
    <row r="379" ht="15.75" customHeight="1">
      <c r="A379" s="2" t="s">
        <v>4431</v>
      </c>
      <c r="B379" s="2" t="s">
        <v>1361</v>
      </c>
      <c r="C379" s="2">
        <v>2007.0</v>
      </c>
      <c r="D379" s="2" t="s">
        <v>4432</v>
      </c>
      <c r="E379" s="2" t="s">
        <v>4433</v>
      </c>
      <c r="F379" s="2" t="s">
        <v>3256</v>
      </c>
      <c r="I379" s="2" t="s">
        <v>4434</v>
      </c>
      <c r="J379" s="12" t="str">
        <f>VLOOKUP(I379,'Copy of Enriched Data - IPBES G'!$L$2:$L$229,1,false)</f>
        <v>#N/A</v>
      </c>
      <c r="M379" s="2" t="s">
        <v>2380</v>
      </c>
      <c r="N379" s="2" t="s">
        <v>1385</v>
      </c>
      <c r="O379" s="2" t="s">
        <v>1386</v>
      </c>
      <c r="Q379" s="2" t="s">
        <v>4435</v>
      </c>
      <c r="S379" s="2" t="s">
        <v>1506</v>
      </c>
      <c r="T379" s="2">
        <v>12.0</v>
      </c>
      <c r="AO379" s="2" t="s">
        <v>1368</v>
      </c>
    </row>
    <row r="380" ht="15.75" customHeight="1">
      <c r="A380" s="2" t="s">
        <v>4443</v>
      </c>
      <c r="B380" s="2" t="s">
        <v>1361</v>
      </c>
      <c r="C380" s="2">
        <v>2008.0</v>
      </c>
      <c r="D380" s="2" t="s">
        <v>4444</v>
      </c>
      <c r="E380" s="2" t="s">
        <v>4445</v>
      </c>
      <c r="F380" s="2" t="s">
        <v>1425</v>
      </c>
      <c r="H380" s="2" t="s">
        <v>4446</v>
      </c>
      <c r="I380" s="2" t="s">
        <v>4447</v>
      </c>
      <c r="J380" s="12" t="str">
        <f>VLOOKUP(I380,'Copy of Enriched Data - IPBES G'!$L$2:$L$229,1,false)</f>
        <v>#N/A</v>
      </c>
      <c r="L380" s="2" t="s">
        <v>4448</v>
      </c>
      <c r="M380" s="2" t="s">
        <v>1458</v>
      </c>
      <c r="N380" s="2" t="s">
        <v>1385</v>
      </c>
      <c r="O380" s="2" t="s">
        <v>1386</v>
      </c>
      <c r="Q380" s="2" t="s">
        <v>4449</v>
      </c>
      <c r="S380" s="2" t="s">
        <v>1600</v>
      </c>
      <c r="T380" s="2">
        <v>56.0</v>
      </c>
      <c r="AO380" s="2" t="s">
        <v>1368</v>
      </c>
    </row>
    <row r="381" ht="15.75" customHeight="1">
      <c r="A381" s="2" t="s">
        <v>4450</v>
      </c>
      <c r="B381" s="2" t="s">
        <v>1396</v>
      </c>
      <c r="C381" s="2">
        <v>2005.0</v>
      </c>
      <c r="D381" s="2" t="s">
        <v>4451</v>
      </c>
      <c r="E381" s="2" t="s">
        <v>4452</v>
      </c>
      <c r="G381" s="2" t="s">
        <v>2556</v>
      </c>
      <c r="J381" s="12" t="str">
        <f>VLOOKUP(I381,'Copy of Enriched Data - IPBES G'!$L$2:$L$229,1,false)</f>
        <v>#N/A</v>
      </c>
      <c r="L381" s="2" t="s">
        <v>4453</v>
      </c>
      <c r="M381" s="2" t="s">
        <v>1394</v>
      </c>
      <c r="N381" s="2" t="s">
        <v>1385</v>
      </c>
      <c r="O381" s="2" t="s">
        <v>1386</v>
      </c>
      <c r="AO381" s="2" t="s">
        <v>1368</v>
      </c>
    </row>
    <row r="382" ht="15.75" customHeight="1">
      <c r="A382" s="2" t="s">
        <v>4454</v>
      </c>
      <c r="B382" s="2" t="s">
        <v>1396</v>
      </c>
      <c r="C382" s="2">
        <v>2002.0</v>
      </c>
      <c r="D382" s="2" t="s">
        <v>4455</v>
      </c>
      <c r="E382" s="2" t="s">
        <v>4456</v>
      </c>
      <c r="J382" s="12" t="str">
        <f>VLOOKUP(I382,'Copy of Enriched Data - IPBES G'!$L$2:$L$229,1,false)</f>
        <v>#N/A</v>
      </c>
      <c r="M382" s="2" t="s">
        <v>1493</v>
      </c>
      <c r="N382" s="2" t="s">
        <v>1385</v>
      </c>
      <c r="O382" s="2" t="s">
        <v>1386</v>
      </c>
      <c r="AB382" s="2" t="s">
        <v>4457</v>
      </c>
      <c r="AC382" s="2" t="s">
        <v>4458</v>
      </c>
      <c r="AO382" s="2" t="s">
        <v>1368</v>
      </c>
    </row>
    <row r="383" ht="15.75" customHeight="1">
      <c r="A383" s="2" t="s">
        <v>4459</v>
      </c>
      <c r="B383" s="2" t="s">
        <v>1361</v>
      </c>
      <c r="C383" s="2">
        <v>2004.0</v>
      </c>
      <c r="D383" s="2" t="s">
        <v>4460</v>
      </c>
      <c r="E383" s="2" t="s">
        <v>4461</v>
      </c>
      <c r="F383" s="2" t="s">
        <v>4462</v>
      </c>
      <c r="H383" s="2" t="s">
        <v>4463</v>
      </c>
      <c r="I383" s="2" t="s">
        <v>4464</v>
      </c>
      <c r="J383" s="12" t="str">
        <f>VLOOKUP(I383,'Copy of Enriched Data - IPBES G'!$L$2:$L$229,1,false)</f>
        <v>#N/A</v>
      </c>
      <c r="L383" s="2" t="s">
        <v>4465</v>
      </c>
      <c r="M383" s="2" t="s">
        <v>2373</v>
      </c>
      <c r="N383" s="2" t="s">
        <v>1385</v>
      </c>
      <c r="O383" s="2" t="s">
        <v>1386</v>
      </c>
      <c r="AO383" s="2" t="s">
        <v>1368</v>
      </c>
    </row>
    <row r="384" ht="15.75" customHeight="1">
      <c r="A384" s="2" t="s">
        <v>4466</v>
      </c>
      <c r="B384" s="2" t="s">
        <v>1361</v>
      </c>
      <c r="C384" s="2">
        <v>2011.0</v>
      </c>
      <c r="D384" s="2" t="s">
        <v>4467</v>
      </c>
      <c r="E384" s="2" t="s">
        <v>4468</v>
      </c>
      <c r="F384" s="2" t="s">
        <v>2665</v>
      </c>
      <c r="H384" s="2" t="s">
        <v>4469</v>
      </c>
      <c r="I384" s="2" t="s">
        <v>4470</v>
      </c>
      <c r="J384" s="12" t="str">
        <f>VLOOKUP(I384,'Copy of Enriched Data - IPBES G'!$L$2:$L$229,1,false)</f>
        <v>#N/A</v>
      </c>
      <c r="M384" s="2" t="s">
        <v>1627</v>
      </c>
      <c r="N384" s="2" t="s">
        <v>1385</v>
      </c>
      <c r="O384" s="2" t="s">
        <v>1386</v>
      </c>
      <c r="Q384" s="2" t="s">
        <v>4471</v>
      </c>
      <c r="S384" s="2" t="s">
        <v>1453</v>
      </c>
      <c r="T384" s="2">
        <v>39.0</v>
      </c>
      <c r="AO384" s="2" t="s">
        <v>1368</v>
      </c>
    </row>
    <row r="385" ht="15.75" customHeight="1">
      <c r="A385" s="2" t="s">
        <v>4472</v>
      </c>
      <c r="B385" s="2" t="s">
        <v>1396</v>
      </c>
      <c r="C385" s="2">
        <v>2016.0</v>
      </c>
      <c r="D385" s="2" t="s">
        <v>4473</v>
      </c>
      <c r="E385" s="2" t="s">
        <v>4474</v>
      </c>
      <c r="J385" s="12" t="str">
        <f>VLOOKUP(I385,'Copy of Enriched Data - IPBES G'!$L$2:$L$229,1,false)</f>
        <v>#N/A</v>
      </c>
      <c r="M385" s="2" t="s">
        <v>1502</v>
      </c>
      <c r="N385" s="2" t="s">
        <v>1385</v>
      </c>
      <c r="O385" s="2" t="s">
        <v>1386</v>
      </c>
      <c r="AB385" s="2" t="s">
        <v>2441</v>
      </c>
      <c r="AO385" s="2" t="s">
        <v>1368</v>
      </c>
    </row>
    <row r="386" ht="15.75" customHeight="1">
      <c r="A386" s="2" t="s">
        <v>4478</v>
      </c>
      <c r="B386" s="2" t="s">
        <v>1361</v>
      </c>
      <c r="C386" s="2">
        <v>2014.0</v>
      </c>
      <c r="D386" s="2" t="s">
        <v>4479</v>
      </c>
      <c r="E386" s="2" t="s">
        <v>4480</v>
      </c>
      <c r="F386" s="2" t="s">
        <v>1363</v>
      </c>
      <c r="H386" s="2" t="s">
        <v>1775</v>
      </c>
      <c r="I386" s="2" t="s">
        <v>4481</v>
      </c>
      <c r="J386" s="12" t="str">
        <f>VLOOKUP(I386,'Copy of Enriched Data - IPBES G'!$L$2:$L$229,1,false)</f>
        <v>#N/A</v>
      </c>
      <c r="L386" s="2" t="s">
        <v>4482</v>
      </c>
      <c r="M386" s="2" t="s">
        <v>1476</v>
      </c>
      <c r="N386" s="2" t="s">
        <v>1385</v>
      </c>
      <c r="O386" s="2" t="s">
        <v>1386</v>
      </c>
      <c r="AO386" s="2" t="s">
        <v>1368</v>
      </c>
    </row>
    <row r="387" ht="15.75" customHeight="1">
      <c r="A387" s="2" t="s">
        <v>4483</v>
      </c>
      <c r="B387" s="2" t="s">
        <v>1396</v>
      </c>
      <c r="C387" s="2">
        <v>1993.0</v>
      </c>
      <c r="D387" s="2" t="s">
        <v>4484</v>
      </c>
      <c r="E387" s="2" t="s">
        <v>4485</v>
      </c>
      <c r="J387" s="12" t="str">
        <f>VLOOKUP(I387,'Copy of Enriched Data - IPBES G'!$L$2:$L$229,1,false)</f>
        <v>#N/A</v>
      </c>
      <c r="M387" s="2" t="s">
        <v>2735</v>
      </c>
      <c r="N387" s="2" t="s">
        <v>1385</v>
      </c>
      <c r="O387" s="2" t="s">
        <v>1386</v>
      </c>
      <c r="Y387" s="2">
        <v>14.0</v>
      </c>
      <c r="AB387" s="2" t="s">
        <v>4486</v>
      </c>
      <c r="AO387" s="2" t="s">
        <v>1368</v>
      </c>
    </row>
    <row r="388" ht="15.75" customHeight="1">
      <c r="A388" s="2" t="s">
        <v>4493</v>
      </c>
      <c r="B388" s="2" t="s">
        <v>1361</v>
      </c>
      <c r="C388" s="2">
        <v>2014.0</v>
      </c>
      <c r="D388" s="2" t="s">
        <v>4494</v>
      </c>
      <c r="E388" s="2" t="s">
        <v>4495</v>
      </c>
      <c r="F388" s="2" t="s">
        <v>4496</v>
      </c>
      <c r="I388" s="2" t="s">
        <v>4497</v>
      </c>
      <c r="J388" s="12" t="str">
        <f>VLOOKUP(I388,'Copy of Enriched Data - IPBES G'!$L$2:$L$229,1,false)</f>
        <v>#N/A</v>
      </c>
      <c r="L388" s="2" t="s">
        <v>4498</v>
      </c>
      <c r="M388" s="2" t="s">
        <v>1476</v>
      </c>
      <c r="N388" s="2" t="s">
        <v>1385</v>
      </c>
      <c r="O388" s="2" t="s">
        <v>1386</v>
      </c>
      <c r="Q388" s="2" t="s">
        <v>4499</v>
      </c>
      <c r="S388" s="2" t="s">
        <v>1600</v>
      </c>
      <c r="T388" s="2">
        <v>4.0</v>
      </c>
      <c r="AO388" s="2" t="s">
        <v>1368</v>
      </c>
    </row>
    <row r="389" ht="15.75" customHeight="1">
      <c r="A389" s="2" t="s">
        <v>4500</v>
      </c>
      <c r="B389" s="2" t="s">
        <v>1766</v>
      </c>
      <c r="C389" s="2">
        <v>2016.0</v>
      </c>
      <c r="D389" s="2" t="s">
        <v>4501</v>
      </c>
      <c r="E389" s="2" t="s">
        <v>4502</v>
      </c>
      <c r="G389" s="2" t="s">
        <v>4503</v>
      </c>
      <c r="J389" s="12" t="str">
        <f>VLOOKUP(I389,'Copy of Enriched Data - IPBES G'!$L$2:$L$229,1,false)</f>
        <v>#N/A</v>
      </c>
      <c r="L389" s="2" t="s">
        <v>4504</v>
      </c>
      <c r="M389" s="2" t="s">
        <v>1502</v>
      </c>
      <c r="N389" s="2" t="s">
        <v>1385</v>
      </c>
      <c r="O389" s="2" t="s">
        <v>1386</v>
      </c>
      <c r="Q389" s="2" t="s">
        <v>4505</v>
      </c>
      <c r="AB389" s="2" t="s">
        <v>4506</v>
      </c>
      <c r="AC389" s="2" t="s">
        <v>2146</v>
      </c>
      <c r="AO389" s="2" t="s">
        <v>1368</v>
      </c>
      <c r="AQ389" s="2" t="s">
        <v>4507</v>
      </c>
    </row>
    <row r="390" ht="15.75" customHeight="1">
      <c r="A390" s="2" t="s">
        <v>4508</v>
      </c>
      <c r="B390" s="2" t="s">
        <v>1361</v>
      </c>
      <c r="C390" s="2">
        <v>2011.0</v>
      </c>
      <c r="D390" s="2" t="s">
        <v>4509</v>
      </c>
      <c r="E390" s="2" t="s">
        <v>4510</v>
      </c>
      <c r="F390" s="2" t="s">
        <v>4511</v>
      </c>
      <c r="H390" s="2" t="s">
        <v>4512</v>
      </c>
      <c r="I390" s="2" t="s">
        <v>4513</v>
      </c>
      <c r="J390" s="12" t="str">
        <f>VLOOKUP(I390,'Copy of Enriched Data - IPBES G'!$L$2:$L$229,1,false)</f>
        <v>#N/A</v>
      </c>
      <c r="L390" s="2" t="s">
        <v>4514</v>
      </c>
      <c r="M390" s="2" t="s">
        <v>1627</v>
      </c>
      <c r="N390" s="2" t="s">
        <v>1385</v>
      </c>
      <c r="O390" s="2" t="s">
        <v>1386</v>
      </c>
      <c r="AO390" s="2" t="s">
        <v>1368</v>
      </c>
    </row>
    <row r="391" ht="15.75" customHeight="1">
      <c r="A391" s="2" t="s">
        <v>4515</v>
      </c>
      <c r="B391" s="2" t="s">
        <v>1396</v>
      </c>
      <c r="C391" s="2">
        <v>2005.0</v>
      </c>
      <c r="D391" s="2" t="s">
        <v>4516</v>
      </c>
      <c r="E391" s="2" t="s">
        <v>4517</v>
      </c>
      <c r="G391" s="2" t="s">
        <v>4518</v>
      </c>
      <c r="J391" s="12" t="str">
        <f>VLOOKUP(I391,'Copy of Enriched Data - IPBES G'!$L$2:$L$229,1,false)</f>
        <v>#N/A</v>
      </c>
      <c r="M391" s="2" t="s">
        <v>1394</v>
      </c>
      <c r="N391" s="2" t="s">
        <v>1385</v>
      </c>
      <c r="O391" s="2" t="s">
        <v>1386</v>
      </c>
      <c r="R391" s="2">
        <v>396.0</v>
      </c>
      <c r="AB391" s="2" t="s">
        <v>4519</v>
      </c>
      <c r="AO391" s="2" t="s">
        <v>1368</v>
      </c>
    </row>
    <row r="392" ht="15.75" customHeight="1">
      <c r="A392" s="2" t="s">
        <v>4525</v>
      </c>
      <c r="B392" s="2" t="s">
        <v>1361</v>
      </c>
      <c r="C392" s="2">
        <v>2013.0</v>
      </c>
      <c r="D392" s="2" t="s">
        <v>4526</v>
      </c>
      <c r="E392" s="2" t="s">
        <v>4527</v>
      </c>
      <c r="F392" s="2" t="s">
        <v>4528</v>
      </c>
      <c r="I392" s="2" t="s">
        <v>4529</v>
      </c>
      <c r="J392" s="12" t="str">
        <f>VLOOKUP(I392,'Copy of Enriched Data - IPBES G'!$L$2:$L$229,1,false)</f>
        <v>#N/A</v>
      </c>
      <c r="L392" s="2" t="s">
        <v>4530</v>
      </c>
      <c r="M392" s="2" t="s">
        <v>1429</v>
      </c>
      <c r="N392" s="2" t="s">
        <v>1385</v>
      </c>
      <c r="O392" s="2" t="s">
        <v>1386</v>
      </c>
      <c r="AO392" s="2" t="s">
        <v>1368</v>
      </c>
    </row>
    <row r="393" ht="15.75" customHeight="1">
      <c r="A393" s="2" t="s">
        <v>4536</v>
      </c>
      <c r="B393" s="2" t="s">
        <v>1396</v>
      </c>
      <c r="C393" s="2">
        <v>2002.0</v>
      </c>
      <c r="D393" s="2" t="s">
        <v>4537</v>
      </c>
      <c r="E393" s="2" t="s">
        <v>4538</v>
      </c>
      <c r="J393" s="12" t="str">
        <f>VLOOKUP(I393,'Copy of Enriched Data - IPBES G'!$L$2:$L$229,1,false)</f>
        <v>#N/A</v>
      </c>
      <c r="L393" s="2" t="s">
        <v>4539</v>
      </c>
      <c r="M393" s="2" t="s">
        <v>1493</v>
      </c>
      <c r="N393" s="2" t="s">
        <v>1385</v>
      </c>
      <c r="O393" s="2" t="s">
        <v>1386</v>
      </c>
      <c r="AO393" s="2" t="s">
        <v>1368</v>
      </c>
    </row>
    <row r="394" ht="15.75" customHeight="1">
      <c r="A394" s="2" t="s">
        <v>4540</v>
      </c>
      <c r="B394" s="2" t="s">
        <v>1361</v>
      </c>
      <c r="C394" s="2">
        <v>2003.0</v>
      </c>
      <c r="D394" s="2" t="s">
        <v>4541</v>
      </c>
      <c r="E394" s="2" t="s">
        <v>4542</v>
      </c>
      <c r="F394" s="2" t="s">
        <v>1510</v>
      </c>
      <c r="H394" s="2" t="s">
        <v>1511</v>
      </c>
      <c r="I394" s="2" t="s">
        <v>4543</v>
      </c>
      <c r="J394" s="12" t="str">
        <f>VLOOKUP(I394,'Copy of Enriched Data - IPBES G'!$L$2:$L$229,1,false)</f>
        <v>#N/A</v>
      </c>
      <c r="L394" s="2" t="s">
        <v>4544</v>
      </c>
      <c r="M394" s="2" t="s">
        <v>1606</v>
      </c>
      <c r="N394" s="2" t="s">
        <v>1385</v>
      </c>
      <c r="O394" s="2" t="s">
        <v>1386</v>
      </c>
      <c r="Q394" s="2" t="s">
        <v>4545</v>
      </c>
      <c r="S394" s="2" t="s">
        <v>4546</v>
      </c>
      <c r="T394" s="2">
        <v>302.0</v>
      </c>
      <c r="AO394" s="2" t="s">
        <v>1368</v>
      </c>
    </row>
    <row r="395" ht="15.75" customHeight="1">
      <c r="A395" s="2" t="s">
        <v>4547</v>
      </c>
      <c r="B395" s="2" t="s">
        <v>1361</v>
      </c>
      <c r="C395" s="2">
        <v>2014.0</v>
      </c>
      <c r="D395" s="2" t="s">
        <v>4548</v>
      </c>
      <c r="E395" s="2" t="s">
        <v>4549</v>
      </c>
      <c r="F395" s="2" t="s">
        <v>2205</v>
      </c>
      <c r="H395" s="2" t="s">
        <v>2206</v>
      </c>
      <c r="I395" s="2" t="s">
        <v>4550</v>
      </c>
      <c r="J395" s="12" t="str">
        <f>VLOOKUP(I395,'Copy of Enriched Data - IPBES G'!$L$2:$L$229,1,false)</f>
        <v>#N/A</v>
      </c>
      <c r="L395" s="2" t="s">
        <v>4551</v>
      </c>
      <c r="M395" s="2" t="s">
        <v>1476</v>
      </c>
      <c r="N395" s="2" t="s">
        <v>1385</v>
      </c>
      <c r="O395" s="2" t="s">
        <v>1386</v>
      </c>
      <c r="Q395" s="2" t="s">
        <v>4552</v>
      </c>
      <c r="T395" s="2">
        <v>48.0</v>
      </c>
      <c r="AO395" s="2" t="s">
        <v>1368</v>
      </c>
    </row>
    <row r="396" ht="15.75" customHeight="1">
      <c r="A396" s="2" t="s">
        <v>4553</v>
      </c>
      <c r="B396" s="2" t="s">
        <v>1361</v>
      </c>
      <c r="C396" s="2">
        <v>1995.0</v>
      </c>
      <c r="D396" s="2" t="s">
        <v>4554</v>
      </c>
      <c r="E396" s="2" t="s">
        <v>4555</v>
      </c>
      <c r="F396" s="2" t="s">
        <v>4556</v>
      </c>
      <c r="H396" s="2" t="s">
        <v>4557</v>
      </c>
      <c r="I396" s="2" t="s">
        <v>4558</v>
      </c>
      <c r="J396" s="12" t="str">
        <f>VLOOKUP(I396,'Copy of Enriched Data - IPBES G'!$L$2:$L$229,1,false)</f>
        <v>#N/A</v>
      </c>
      <c r="L396" s="2" t="s">
        <v>4559</v>
      </c>
      <c r="M396" s="2" t="s">
        <v>2089</v>
      </c>
      <c r="N396" s="2" t="s">
        <v>1385</v>
      </c>
      <c r="O396" s="2" t="s">
        <v>1386</v>
      </c>
      <c r="AO396" s="2" t="s">
        <v>1368</v>
      </c>
    </row>
    <row r="397" ht="15.75" customHeight="1">
      <c r="A397" s="2" t="s">
        <v>4560</v>
      </c>
      <c r="B397" s="2" t="s">
        <v>1396</v>
      </c>
      <c r="C397" s="2">
        <v>2006.0</v>
      </c>
      <c r="D397" s="2" t="s">
        <v>4561</v>
      </c>
      <c r="E397" s="2" t="s">
        <v>4562</v>
      </c>
      <c r="G397" s="2" t="s">
        <v>4563</v>
      </c>
      <c r="J397" s="12" t="str">
        <f>VLOOKUP(I397,'Copy of Enriched Data - IPBES G'!$L$2:$L$229,1,false)</f>
        <v>#N/A</v>
      </c>
      <c r="L397" s="2" t="s">
        <v>4564</v>
      </c>
      <c r="M397" s="2" t="s">
        <v>1727</v>
      </c>
      <c r="N397" s="2" t="s">
        <v>1385</v>
      </c>
      <c r="O397" s="2" t="s">
        <v>1386</v>
      </c>
      <c r="AO397" s="2" t="s">
        <v>1368</v>
      </c>
    </row>
    <row r="398" ht="15.75" customHeight="1">
      <c r="A398" s="2" t="s">
        <v>4565</v>
      </c>
      <c r="B398" s="2" t="s">
        <v>1361</v>
      </c>
      <c r="C398" s="2">
        <v>2013.0</v>
      </c>
      <c r="D398" s="2" t="s">
        <v>4566</v>
      </c>
      <c r="E398" s="2" t="s">
        <v>4567</v>
      </c>
      <c r="F398" s="2" t="s">
        <v>1633</v>
      </c>
      <c r="H398" s="2" t="s">
        <v>1634</v>
      </c>
      <c r="I398" s="2" t="s">
        <v>4568</v>
      </c>
      <c r="J398" s="12" t="str">
        <f>VLOOKUP(I398,'Copy of Enriched Data - IPBES G'!$L$2:$L$229,1,false)</f>
        <v>#N/A</v>
      </c>
      <c r="K398" s="2" t="s">
        <v>4569</v>
      </c>
      <c r="L398" s="2" t="s">
        <v>4570</v>
      </c>
      <c r="M398" s="2" t="s">
        <v>1429</v>
      </c>
      <c r="N398" s="2" t="s">
        <v>1385</v>
      </c>
      <c r="O398" s="2" t="s">
        <v>1386</v>
      </c>
      <c r="Q398" s="2" t="s">
        <v>4571</v>
      </c>
      <c r="S398" s="2" t="s">
        <v>4572</v>
      </c>
      <c r="T398" s="2">
        <v>89.0</v>
      </c>
      <c r="AO398" s="2" t="s">
        <v>1368</v>
      </c>
    </row>
    <row r="399" ht="15.75" customHeight="1">
      <c r="A399" s="2" t="s">
        <v>4573</v>
      </c>
      <c r="B399" s="2" t="s">
        <v>1396</v>
      </c>
      <c r="C399" s="2">
        <v>2015.0</v>
      </c>
      <c r="D399" s="2" t="s">
        <v>4574</v>
      </c>
      <c r="E399" s="2" t="s">
        <v>4575</v>
      </c>
      <c r="J399" s="12" t="str">
        <f>VLOOKUP(I399,'Copy of Enriched Data - IPBES G'!$L$2:$L$229,1,false)</f>
        <v>#N/A</v>
      </c>
      <c r="K399" s="2" t="s">
        <v>4576</v>
      </c>
      <c r="M399" s="2" t="s">
        <v>1373</v>
      </c>
      <c r="N399" s="2" t="s">
        <v>1385</v>
      </c>
      <c r="O399" s="2" t="s">
        <v>1386</v>
      </c>
      <c r="AB399" s="2" t="s">
        <v>4577</v>
      </c>
      <c r="AO399" s="2" t="s">
        <v>1368</v>
      </c>
    </row>
    <row r="400" ht="15.75" customHeight="1">
      <c r="A400" s="2" t="s">
        <v>4578</v>
      </c>
      <c r="B400" s="2" t="s">
        <v>1361</v>
      </c>
      <c r="C400" s="2">
        <v>2014.0</v>
      </c>
      <c r="D400" s="2" t="s">
        <v>4579</v>
      </c>
      <c r="E400" s="2" t="s">
        <v>4580</v>
      </c>
      <c r="F400" s="2" t="s">
        <v>4581</v>
      </c>
      <c r="I400" s="2" t="s">
        <v>4582</v>
      </c>
      <c r="J400" s="12" t="str">
        <f>VLOOKUP(I400,'Copy of Enriched Data - IPBES G'!$L$2:$L$229,1,false)</f>
        <v>#N/A</v>
      </c>
      <c r="M400" s="2" t="s">
        <v>1476</v>
      </c>
      <c r="N400" s="2" t="s">
        <v>4583</v>
      </c>
      <c r="O400" s="2" t="s">
        <v>4584</v>
      </c>
      <c r="Q400" s="2" t="s">
        <v>4585</v>
      </c>
      <c r="S400" s="2" t="s">
        <v>1462</v>
      </c>
      <c r="T400" s="2">
        <v>123.0</v>
      </c>
      <c r="AO400" s="2" t="s">
        <v>1368</v>
      </c>
    </row>
    <row r="401" ht="15.75" customHeight="1">
      <c r="A401" s="2" t="s">
        <v>4586</v>
      </c>
      <c r="B401" s="2" t="s">
        <v>1361</v>
      </c>
      <c r="C401" s="2">
        <v>2015.0</v>
      </c>
      <c r="D401" s="2" t="s">
        <v>4587</v>
      </c>
      <c r="E401" s="2" t="s">
        <v>4588</v>
      </c>
      <c r="F401" s="2" t="s">
        <v>1760</v>
      </c>
      <c r="I401" s="2" t="s">
        <v>4589</v>
      </c>
      <c r="J401" s="12" t="str">
        <f>VLOOKUP(I401,'Copy of Enriched Data - IPBES G'!$L$2:$L$229,1,false)</f>
        <v>#N/A</v>
      </c>
      <c r="M401" s="2" t="s">
        <v>1373</v>
      </c>
      <c r="N401" s="2" t="s">
        <v>4590</v>
      </c>
      <c r="O401" s="2" t="s">
        <v>4591</v>
      </c>
      <c r="Q401" s="2" t="s">
        <v>4592</v>
      </c>
      <c r="T401" s="2">
        <v>119.0</v>
      </c>
      <c r="AO401" s="2" t="s">
        <v>1368</v>
      </c>
    </row>
    <row r="402" ht="15.75" customHeight="1">
      <c r="A402" s="2" t="s">
        <v>4593</v>
      </c>
      <c r="B402" s="2" t="s">
        <v>1361</v>
      </c>
      <c r="C402" s="2">
        <v>1997.0</v>
      </c>
      <c r="D402" s="2" t="s">
        <v>4594</v>
      </c>
      <c r="E402" s="2" t="s">
        <v>4595</v>
      </c>
      <c r="F402" s="2" t="s">
        <v>1510</v>
      </c>
      <c r="I402" s="2" t="s">
        <v>4596</v>
      </c>
      <c r="J402" s="12" t="str">
        <f>VLOOKUP(I402,'Copy of Enriched Data - IPBES G'!$L$2:$L$229,1,false)</f>
        <v>#N/A</v>
      </c>
      <c r="M402" s="2" t="s">
        <v>1804</v>
      </c>
      <c r="N402" s="2" t="s">
        <v>4597</v>
      </c>
      <c r="O402" s="2" t="s">
        <v>4598</v>
      </c>
      <c r="S402" s="2" t="s">
        <v>4599</v>
      </c>
      <c r="T402" s="2">
        <v>277.0</v>
      </c>
      <c r="AO402" s="2" t="s">
        <v>2244</v>
      </c>
    </row>
    <row r="403" ht="15.75" customHeight="1">
      <c r="A403" s="2" t="s">
        <v>4600</v>
      </c>
      <c r="B403" s="2" t="s">
        <v>1361</v>
      </c>
      <c r="C403" s="2">
        <v>2006.0</v>
      </c>
      <c r="D403" s="2" t="s">
        <v>4601</v>
      </c>
      <c r="E403" s="2" t="s">
        <v>4602</v>
      </c>
      <c r="F403" s="2" t="s">
        <v>4603</v>
      </c>
      <c r="J403" s="12" t="str">
        <f>VLOOKUP(I403,'Copy of Enriched Data - IPBES G'!$L$2:$L$229,1,false)</f>
        <v>#N/A</v>
      </c>
      <c r="M403" s="2" t="s">
        <v>1727</v>
      </c>
      <c r="N403" s="2" t="s">
        <v>4604</v>
      </c>
      <c r="O403" s="2" t="s">
        <v>4605</v>
      </c>
      <c r="Q403" s="2" t="s">
        <v>4606</v>
      </c>
      <c r="S403" s="2" t="s">
        <v>1462</v>
      </c>
      <c r="T403" s="2">
        <v>73.0</v>
      </c>
      <c r="AO403" s="2" t="s">
        <v>1368</v>
      </c>
    </row>
    <row r="404" ht="15.75" customHeight="1">
      <c r="A404" s="2" t="s">
        <v>4613</v>
      </c>
      <c r="B404" s="2" t="s">
        <v>1361</v>
      </c>
      <c r="C404" s="2">
        <v>1988.0</v>
      </c>
      <c r="D404" s="2" t="s">
        <v>4614</v>
      </c>
      <c r="E404" s="2" t="s">
        <v>4615</v>
      </c>
      <c r="F404" s="2" t="s">
        <v>4616</v>
      </c>
      <c r="J404" s="12" t="str">
        <f>VLOOKUP(I404,'Copy of Enriched Data - IPBES G'!$L$2:$L$229,1,false)</f>
        <v>#N/A</v>
      </c>
      <c r="M404" s="2" t="s">
        <v>4055</v>
      </c>
      <c r="N404" s="2" t="s">
        <v>4617</v>
      </c>
      <c r="O404" s="2" t="s">
        <v>4618</v>
      </c>
      <c r="Q404" s="2" t="s">
        <v>4619</v>
      </c>
      <c r="AO404" s="2" t="s">
        <v>1368</v>
      </c>
    </row>
    <row r="405" ht="15.75" customHeight="1">
      <c r="A405" s="2" t="s">
        <v>4620</v>
      </c>
      <c r="B405" s="2" t="s">
        <v>1361</v>
      </c>
      <c r="C405" s="2">
        <v>2006.0</v>
      </c>
      <c r="D405" s="2" t="s">
        <v>4621</v>
      </c>
      <c r="E405" s="2" t="s">
        <v>4622</v>
      </c>
      <c r="F405" s="2" t="s">
        <v>4623</v>
      </c>
      <c r="J405" s="12" t="str">
        <f>VLOOKUP(I405,'Copy of Enriched Data - IPBES G'!$L$2:$L$229,1,false)</f>
        <v>#N/A</v>
      </c>
      <c r="M405" s="2" t="s">
        <v>1727</v>
      </c>
      <c r="N405" s="2" t="s">
        <v>4624</v>
      </c>
      <c r="O405" s="2" t="s">
        <v>4625</v>
      </c>
      <c r="Q405" s="2" t="s">
        <v>4626</v>
      </c>
      <c r="S405" s="2" t="s">
        <v>1600</v>
      </c>
      <c r="T405" s="2">
        <v>78.0</v>
      </c>
      <c r="AO405" s="2" t="s">
        <v>1368</v>
      </c>
    </row>
    <row r="406" ht="15.75" customHeight="1">
      <c r="A406" s="2" t="s">
        <v>4627</v>
      </c>
      <c r="B406" s="2" t="s">
        <v>1361</v>
      </c>
      <c r="C406" s="2">
        <v>2014.0</v>
      </c>
      <c r="D406" s="2" t="s">
        <v>4628</v>
      </c>
      <c r="E406" s="2" t="s">
        <v>4629</v>
      </c>
      <c r="F406" s="2" t="s">
        <v>4630</v>
      </c>
      <c r="I406" s="2" t="s">
        <v>4631</v>
      </c>
      <c r="J406" s="12" t="str">
        <f>VLOOKUP(I406,'Copy of Enriched Data - IPBES G'!$L$2:$L$229,1,false)</f>
        <v>#N/A</v>
      </c>
      <c r="M406" s="2" t="s">
        <v>1476</v>
      </c>
      <c r="N406" s="2" t="s">
        <v>4632</v>
      </c>
      <c r="O406" s="2" t="s">
        <v>4633</v>
      </c>
      <c r="Q406" s="2" t="s">
        <v>4634</v>
      </c>
      <c r="S406" s="2" t="s">
        <v>1600</v>
      </c>
      <c r="T406" s="2">
        <v>47.0</v>
      </c>
      <c r="AO406" s="2" t="s">
        <v>1368</v>
      </c>
    </row>
    <row r="407" ht="15.75" customHeight="1">
      <c r="A407" s="2" t="s">
        <v>4635</v>
      </c>
      <c r="B407" s="2" t="s">
        <v>1361</v>
      </c>
      <c r="C407" s="2">
        <v>1974.0</v>
      </c>
      <c r="D407" s="2" t="s">
        <v>4636</v>
      </c>
      <c r="E407" s="2" t="s">
        <v>4637</v>
      </c>
      <c r="F407" s="2" t="s">
        <v>4638</v>
      </c>
      <c r="I407" s="2" t="s">
        <v>4639</v>
      </c>
      <c r="J407" s="12" t="str">
        <f>VLOOKUP(I407,'Copy of Enriched Data - IPBES G'!$L$2:$L$229,1,false)</f>
        <v>#N/A</v>
      </c>
      <c r="M407" s="2" t="s">
        <v>4640</v>
      </c>
      <c r="N407" s="2" t="s">
        <v>4641</v>
      </c>
      <c r="O407" s="2" t="s">
        <v>4642</v>
      </c>
      <c r="Q407" s="2" t="s">
        <v>4643</v>
      </c>
      <c r="S407" s="2" t="s">
        <v>1506</v>
      </c>
      <c r="T407" s="2">
        <v>41.0</v>
      </c>
      <c r="AO407" s="2" t="s">
        <v>1368</v>
      </c>
    </row>
    <row r="408" ht="15.75" customHeight="1">
      <c r="A408" s="2" t="s">
        <v>4644</v>
      </c>
      <c r="B408" s="2" t="s">
        <v>1361</v>
      </c>
      <c r="C408" s="2">
        <v>2012.0</v>
      </c>
      <c r="D408" s="2" t="s">
        <v>4645</v>
      </c>
      <c r="E408" s="2" t="s">
        <v>4646</v>
      </c>
      <c r="F408" s="2" t="s">
        <v>4647</v>
      </c>
      <c r="I408" s="2" t="s">
        <v>4648</v>
      </c>
      <c r="J408" s="12" t="str">
        <f>VLOOKUP(I408,'Copy of Enriched Data - IPBES G'!$L$2:$L$229,1,false)</f>
        <v>#N/A</v>
      </c>
      <c r="M408" s="2" t="s">
        <v>1405</v>
      </c>
      <c r="N408" s="2" t="s">
        <v>4649</v>
      </c>
      <c r="O408" s="2" t="s">
        <v>4650</v>
      </c>
      <c r="Q408" s="2" t="s">
        <v>4651</v>
      </c>
      <c r="S408" s="2" t="s">
        <v>1453</v>
      </c>
      <c r="T408" s="2">
        <v>36.0</v>
      </c>
      <c r="AO408" s="2" t="s">
        <v>1368</v>
      </c>
    </row>
    <row r="409" ht="15.75" customHeight="1">
      <c r="A409" s="2" t="s">
        <v>4652</v>
      </c>
      <c r="B409" s="2" t="s">
        <v>1361</v>
      </c>
      <c r="C409" s="2">
        <v>1995.0</v>
      </c>
      <c r="D409" s="2" t="s">
        <v>4653</v>
      </c>
      <c r="E409" s="2" t="s">
        <v>4654</v>
      </c>
      <c r="F409" s="2" t="s">
        <v>4655</v>
      </c>
      <c r="I409" s="2" t="s">
        <v>4656</v>
      </c>
      <c r="J409" s="12" t="str">
        <f>VLOOKUP(I409,'Copy of Enriched Data - IPBES G'!$L$2:$L$229,1,false)</f>
        <v>#N/A</v>
      </c>
      <c r="M409" s="2" t="s">
        <v>2089</v>
      </c>
      <c r="N409" s="2" t="s">
        <v>4657</v>
      </c>
      <c r="O409" s="2" t="s">
        <v>4658</v>
      </c>
      <c r="Q409" s="2" t="s">
        <v>4659</v>
      </c>
      <c r="S409" s="2" t="s">
        <v>1600</v>
      </c>
      <c r="T409" s="2">
        <v>47.0</v>
      </c>
      <c r="AO409" s="2" t="s">
        <v>1368</v>
      </c>
    </row>
    <row r="410" ht="15.75" customHeight="1">
      <c r="A410" s="2" t="s">
        <v>4660</v>
      </c>
      <c r="B410" s="2" t="s">
        <v>1361</v>
      </c>
      <c r="C410" s="2">
        <v>2006.0</v>
      </c>
      <c r="D410" s="2" t="s">
        <v>4661</v>
      </c>
      <c r="E410" s="2" t="s">
        <v>4662</v>
      </c>
      <c r="F410" s="2" t="s">
        <v>4663</v>
      </c>
      <c r="H410" s="2" t="s">
        <v>4664</v>
      </c>
      <c r="J410" s="12" t="str">
        <f>VLOOKUP(I410,'Copy of Enriched Data - IPBES G'!$L$2:$L$229,1,false)</f>
        <v>#N/A</v>
      </c>
      <c r="L410" s="2" t="s">
        <v>4665</v>
      </c>
      <c r="M410" s="2" t="s">
        <v>1727</v>
      </c>
      <c r="N410" s="2" t="s">
        <v>4666</v>
      </c>
      <c r="O410" s="2" t="s">
        <v>4667</v>
      </c>
      <c r="Q410" s="2" t="s">
        <v>4668</v>
      </c>
      <c r="S410" s="2" t="s">
        <v>1462</v>
      </c>
      <c r="T410" s="2">
        <v>16.0</v>
      </c>
      <c r="AO410" s="2" t="s">
        <v>1368</v>
      </c>
    </row>
    <row r="411" ht="15.75" customHeight="1">
      <c r="A411" s="2" t="s">
        <v>4669</v>
      </c>
      <c r="B411" s="2" t="s">
        <v>1361</v>
      </c>
      <c r="C411" s="2">
        <v>2013.0</v>
      </c>
      <c r="D411" s="2" t="s">
        <v>4670</v>
      </c>
      <c r="E411" s="2" t="s">
        <v>4671</v>
      </c>
      <c r="F411" s="2" t="s">
        <v>3916</v>
      </c>
      <c r="I411" s="2" t="s">
        <v>4672</v>
      </c>
      <c r="J411" s="12" t="str">
        <f>VLOOKUP(I411,'Copy of Enriched Data - IPBES G'!$L$2:$L$229,1,false)</f>
        <v>#N/A</v>
      </c>
      <c r="M411" s="2" t="s">
        <v>1429</v>
      </c>
      <c r="N411" s="2" t="s">
        <v>4673</v>
      </c>
      <c r="O411" s="2" t="s">
        <v>4674</v>
      </c>
      <c r="Q411" s="2" t="s">
        <v>4675</v>
      </c>
      <c r="S411" s="2" t="s">
        <v>1600</v>
      </c>
      <c r="T411" s="2">
        <v>2.0</v>
      </c>
      <c r="AO411" s="2" t="s">
        <v>1368</v>
      </c>
    </row>
    <row r="412" ht="15.75" customHeight="1">
      <c r="A412" s="2" t="s">
        <v>4676</v>
      </c>
      <c r="B412" s="2" t="s">
        <v>1361</v>
      </c>
      <c r="C412" s="2">
        <v>1993.0</v>
      </c>
      <c r="D412" s="2" t="s">
        <v>4677</v>
      </c>
      <c r="E412" s="2" t="s">
        <v>4678</v>
      </c>
      <c r="F412" s="2" t="s">
        <v>4679</v>
      </c>
      <c r="J412" s="12" t="str">
        <f>VLOOKUP(I412,'Copy of Enriched Data - IPBES G'!$L$2:$L$229,1,false)</f>
        <v>#N/A</v>
      </c>
      <c r="M412" s="2" t="s">
        <v>2735</v>
      </c>
      <c r="N412" s="2" t="s">
        <v>4680</v>
      </c>
      <c r="O412" s="2" t="s">
        <v>4681</v>
      </c>
      <c r="Q412" s="2" t="s">
        <v>4682</v>
      </c>
      <c r="S412" s="2" t="s">
        <v>4683</v>
      </c>
      <c r="T412" s="2">
        <v>6.0</v>
      </c>
      <c r="AO412" s="2" t="s">
        <v>1368</v>
      </c>
    </row>
    <row r="413" ht="15.75" customHeight="1">
      <c r="A413" s="2" t="s">
        <v>4684</v>
      </c>
      <c r="B413" s="2" t="s">
        <v>1361</v>
      </c>
      <c r="C413" s="2">
        <v>2005.0</v>
      </c>
      <c r="D413" s="2" t="s">
        <v>4685</v>
      </c>
      <c r="E413" s="2" t="s">
        <v>4686</v>
      </c>
      <c r="F413" s="2" t="s">
        <v>4687</v>
      </c>
      <c r="I413" s="2" t="s">
        <v>4688</v>
      </c>
      <c r="J413" s="12" t="str">
        <f>VLOOKUP(I413,'Copy of Enriched Data - IPBES G'!$L$2:$L$229,1,false)</f>
        <v>#N/A</v>
      </c>
      <c r="M413" s="2" t="s">
        <v>1394</v>
      </c>
      <c r="N413" s="2" t="s">
        <v>4689</v>
      </c>
      <c r="O413" s="2" t="s">
        <v>4690</v>
      </c>
      <c r="Q413" s="2" t="s">
        <v>4691</v>
      </c>
      <c r="S413" s="2" t="s">
        <v>1480</v>
      </c>
      <c r="T413" s="2">
        <v>48.0</v>
      </c>
      <c r="AO413" s="2" t="s">
        <v>1368</v>
      </c>
    </row>
    <row r="414" ht="15.75" customHeight="1">
      <c r="A414" s="2" t="s">
        <v>4692</v>
      </c>
      <c r="B414" s="2" t="s">
        <v>1361</v>
      </c>
      <c r="C414" s="2">
        <v>2016.0</v>
      </c>
      <c r="D414" s="2" t="s">
        <v>4693</v>
      </c>
      <c r="E414" s="2" t="s">
        <v>214</v>
      </c>
      <c r="F414" s="2" t="s">
        <v>219</v>
      </c>
      <c r="H414" s="2" t="s">
        <v>4694</v>
      </c>
      <c r="J414" s="12" t="str">
        <f>VLOOKUP(I414,'Copy of Enriched Data - IPBES G'!$L$2:$L$229,1,false)</f>
        <v>#N/A</v>
      </c>
      <c r="L414" s="2" t="s">
        <v>4695</v>
      </c>
      <c r="M414" s="2" t="s">
        <v>1502</v>
      </c>
      <c r="N414" s="2" t="s">
        <v>4696</v>
      </c>
      <c r="O414" s="2" t="s">
        <v>4697</v>
      </c>
      <c r="Q414" s="2" t="s">
        <v>4698</v>
      </c>
      <c r="S414" s="2" t="s">
        <v>1453</v>
      </c>
      <c r="T414" s="2">
        <v>29.0</v>
      </c>
      <c r="AO414" s="2" t="s">
        <v>1368</v>
      </c>
    </row>
    <row r="415" ht="15.75" customHeight="1">
      <c r="A415" s="2" t="s">
        <v>4699</v>
      </c>
      <c r="B415" s="2" t="s">
        <v>1361</v>
      </c>
      <c r="C415" s="2">
        <v>2011.0</v>
      </c>
      <c r="D415" s="2" t="s">
        <v>4700</v>
      </c>
      <c r="E415" s="2" t="s">
        <v>4701</v>
      </c>
      <c r="F415" s="2" t="s">
        <v>4702</v>
      </c>
      <c r="H415" s="2" t="s">
        <v>4703</v>
      </c>
      <c r="I415" s="2" t="s">
        <v>4704</v>
      </c>
      <c r="J415" s="12" t="str">
        <f>VLOOKUP(I415,'Copy of Enriched Data - IPBES G'!$L$2:$L$229,1,false)</f>
        <v>#N/A</v>
      </c>
      <c r="L415" s="2" t="s">
        <v>4705</v>
      </c>
      <c r="M415" s="2" t="s">
        <v>1627</v>
      </c>
      <c r="N415" s="2" t="s">
        <v>4706</v>
      </c>
      <c r="O415" s="2" t="s">
        <v>4707</v>
      </c>
      <c r="AO415" s="2" t="s">
        <v>1368</v>
      </c>
    </row>
    <row r="416" ht="15.75" customHeight="1">
      <c r="A416" s="2" t="s">
        <v>4708</v>
      </c>
      <c r="B416" s="2" t="s">
        <v>1361</v>
      </c>
      <c r="C416" s="2">
        <v>2007.0</v>
      </c>
      <c r="D416" s="2" t="s">
        <v>4709</v>
      </c>
      <c r="E416" s="2" t="s">
        <v>4710</v>
      </c>
      <c r="F416" s="2" t="s">
        <v>1863</v>
      </c>
      <c r="I416" s="2" t="s">
        <v>4711</v>
      </c>
      <c r="J416" s="12" t="str">
        <f>VLOOKUP(I416,'Copy of Enriched Data - IPBES G'!$L$2:$L$229,1,false)</f>
        <v>#N/A</v>
      </c>
      <c r="M416" s="2" t="s">
        <v>4712</v>
      </c>
      <c r="N416" s="2" t="s">
        <v>4713</v>
      </c>
      <c r="O416" s="2" t="s">
        <v>4714</v>
      </c>
      <c r="Q416" s="2" t="s">
        <v>4715</v>
      </c>
      <c r="S416" s="2" t="s">
        <v>1443</v>
      </c>
      <c r="T416" s="2">
        <v>35.0</v>
      </c>
      <c r="AO416" s="2" t="s">
        <v>1368</v>
      </c>
    </row>
    <row r="417" ht="15.75" customHeight="1">
      <c r="A417" s="2" t="s">
        <v>4716</v>
      </c>
      <c r="B417" s="2" t="s">
        <v>1361</v>
      </c>
      <c r="C417" s="2">
        <v>2000.0</v>
      </c>
      <c r="D417" s="2" t="s">
        <v>4717</v>
      </c>
      <c r="E417" s="2" t="s">
        <v>4718</v>
      </c>
      <c r="F417" s="2" t="s">
        <v>4719</v>
      </c>
      <c r="H417" s="2" t="s">
        <v>4720</v>
      </c>
      <c r="I417" s="2" t="s">
        <v>4721</v>
      </c>
      <c r="J417" s="12" t="str">
        <f>VLOOKUP(I417,'Copy of Enriched Data - IPBES G'!$L$2:$L$229,1,false)</f>
        <v>#N/A</v>
      </c>
      <c r="L417" s="2" t="s">
        <v>4722</v>
      </c>
      <c r="M417" s="2" t="s">
        <v>2429</v>
      </c>
      <c r="N417" s="2" t="s">
        <v>4723</v>
      </c>
      <c r="O417" s="2" t="s">
        <v>4724</v>
      </c>
      <c r="AO417" s="2" t="s">
        <v>1368</v>
      </c>
    </row>
    <row r="418" ht="15.75" customHeight="1">
      <c r="A418" s="2" t="s">
        <v>4725</v>
      </c>
      <c r="B418" s="2" t="s">
        <v>1361</v>
      </c>
      <c r="C418" s="2">
        <v>1991.0</v>
      </c>
      <c r="D418" s="2" t="s">
        <v>4726</v>
      </c>
      <c r="E418" s="2" t="s">
        <v>4727</v>
      </c>
      <c r="F418" s="2" t="s">
        <v>4728</v>
      </c>
      <c r="I418" s="2" t="s">
        <v>4729</v>
      </c>
      <c r="J418" s="12" t="str">
        <f>VLOOKUP(I418,'Copy of Enriched Data - IPBES G'!$L$2:$L$229,1,false)</f>
        <v>#N/A</v>
      </c>
      <c r="M418" s="2" t="s">
        <v>2607</v>
      </c>
      <c r="N418" s="2" t="s">
        <v>4730</v>
      </c>
      <c r="O418" s="2" t="s">
        <v>4731</v>
      </c>
      <c r="Q418" s="2" t="s">
        <v>4732</v>
      </c>
      <c r="S418" s="2" t="s">
        <v>1453</v>
      </c>
      <c r="T418" s="2">
        <v>18.0</v>
      </c>
      <c r="AO418" s="2" t="s">
        <v>1368</v>
      </c>
    </row>
    <row r="419" ht="15.75" customHeight="1">
      <c r="A419" s="2" t="s">
        <v>4733</v>
      </c>
      <c r="B419" s="2" t="s">
        <v>1361</v>
      </c>
      <c r="C419" s="2">
        <v>2015.0</v>
      </c>
      <c r="D419" s="2" t="s">
        <v>4734</v>
      </c>
      <c r="E419" s="2" t="s">
        <v>4735</v>
      </c>
      <c r="F419" s="2" t="s">
        <v>4736</v>
      </c>
      <c r="J419" s="12" t="str">
        <f>VLOOKUP(I419,'Copy of Enriched Data - IPBES G'!$L$2:$L$229,1,false)</f>
        <v>#N/A</v>
      </c>
      <c r="M419" s="2" t="s">
        <v>1373</v>
      </c>
      <c r="N419" s="2" t="s">
        <v>4737</v>
      </c>
      <c r="O419" s="2" t="s">
        <v>4738</v>
      </c>
      <c r="Q419" s="2" t="s">
        <v>4739</v>
      </c>
      <c r="AO419" s="2" t="s">
        <v>1368</v>
      </c>
    </row>
    <row r="420" ht="15.75" customHeight="1">
      <c r="A420" s="2" t="s">
        <v>4740</v>
      </c>
      <c r="B420" s="2" t="s">
        <v>1361</v>
      </c>
      <c r="C420" s="2">
        <v>2006.0</v>
      </c>
      <c r="D420" s="2" t="s">
        <v>4741</v>
      </c>
      <c r="E420" s="2" t="s">
        <v>4742</v>
      </c>
      <c r="F420" s="2" t="s">
        <v>2391</v>
      </c>
      <c r="H420" s="2" t="s">
        <v>4743</v>
      </c>
      <c r="I420" s="2" t="s">
        <v>4744</v>
      </c>
      <c r="J420" s="12" t="str">
        <f>VLOOKUP(I420,'Copy of Enriched Data - IPBES G'!$L$2:$L$229,1,false)</f>
        <v>#N/A</v>
      </c>
      <c r="L420" s="2" t="s">
        <v>4745</v>
      </c>
      <c r="M420" s="2" t="s">
        <v>1727</v>
      </c>
      <c r="N420" s="2" t="s">
        <v>4746</v>
      </c>
      <c r="O420" s="2" t="s">
        <v>4747</v>
      </c>
      <c r="Q420" s="2" t="s">
        <v>4748</v>
      </c>
      <c r="S420" s="2" t="s">
        <v>1462</v>
      </c>
      <c r="T420" s="2">
        <v>74.0</v>
      </c>
      <c r="AO420" s="2" t="s">
        <v>1368</v>
      </c>
    </row>
    <row r="421" ht="15.75" customHeight="1">
      <c r="A421" s="2" t="s">
        <v>4749</v>
      </c>
      <c r="B421" s="2" t="s">
        <v>1361</v>
      </c>
      <c r="C421" s="2">
        <v>2013.0</v>
      </c>
      <c r="D421" s="2" t="s">
        <v>4750</v>
      </c>
      <c r="E421" s="2" t="s">
        <v>4751</v>
      </c>
      <c r="F421" s="2" t="s">
        <v>4752</v>
      </c>
      <c r="I421" s="2" t="s">
        <v>4753</v>
      </c>
      <c r="J421" s="12" t="str">
        <f>VLOOKUP(I421,'Copy of Enriched Data - IPBES G'!$L$2:$L$229,1,false)</f>
        <v>#N/A</v>
      </c>
      <c r="M421" s="2" t="s">
        <v>1429</v>
      </c>
      <c r="N421" s="2" t="s">
        <v>4754</v>
      </c>
      <c r="O421" s="2" t="s">
        <v>4755</v>
      </c>
      <c r="Q421" s="2" t="s">
        <v>4756</v>
      </c>
      <c r="AO421" s="2" t="s">
        <v>1368</v>
      </c>
    </row>
    <row r="422" ht="15.75" customHeight="1">
      <c r="A422" s="2" t="s">
        <v>4757</v>
      </c>
      <c r="B422" s="2" t="s">
        <v>1361</v>
      </c>
      <c r="C422" s="2">
        <v>2014.0</v>
      </c>
      <c r="D422" s="2" t="s">
        <v>4758</v>
      </c>
      <c r="E422" s="2" t="s">
        <v>4759</v>
      </c>
      <c r="F422" s="2" t="s">
        <v>4760</v>
      </c>
      <c r="H422" s="2" t="s">
        <v>4761</v>
      </c>
      <c r="I422" s="2" t="s">
        <v>4762</v>
      </c>
      <c r="J422" s="12" t="str">
        <f>VLOOKUP(I422,'Copy of Enriched Data - IPBES G'!$L$2:$L$229,1,false)</f>
        <v>#N/A</v>
      </c>
      <c r="K422" s="2" t="s">
        <v>4763</v>
      </c>
      <c r="L422" s="2" t="s">
        <v>4764</v>
      </c>
      <c r="M422" s="2" t="s">
        <v>4765</v>
      </c>
      <c r="N422" s="2" t="s">
        <v>4766</v>
      </c>
      <c r="O422" s="2" t="s">
        <v>4767</v>
      </c>
      <c r="P422" s="2" t="s">
        <v>4768</v>
      </c>
      <c r="Q422" s="2" t="s">
        <v>4769</v>
      </c>
      <c r="S422" s="2" t="s">
        <v>1462</v>
      </c>
      <c r="T422" s="2">
        <v>5.0</v>
      </c>
      <c r="V422" s="2" t="s">
        <v>4770</v>
      </c>
      <c r="AD422" s="2" t="s">
        <v>1540</v>
      </c>
      <c r="AI422" s="2" t="s">
        <v>1541</v>
      </c>
      <c r="AO422" s="2" t="s">
        <v>1885</v>
      </c>
    </row>
    <row r="423" ht="15.75" customHeight="1">
      <c r="A423" s="2" t="s">
        <v>4782</v>
      </c>
      <c r="B423" s="2" t="s">
        <v>1361</v>
      </c>
      <c r="C423" s="2">
        <v>2015.0</v>
      </c>
      <c r="D423" s="2" t="s">
        <v>4783</v>
      </c>
      <c r="E423" s="2" t="s">
        <v>4784</v>
      </c>
      <c r="F423" s="2" t="s">
        <v>2971</v>
      </c>
      <c r="H423" s="2" t="s">
        <v>4785</v>
      </c>
      <c r="I423" s="2" t="s">
        <v>4786</v>
      </c>
      <c r="J423" s="12" t="str">
        <f>VLOOKUP(I423,'Copy of Enriched Data - IPBES G'!$L$2:$L$229,1,false)</f>
        <v>#N/A</v>
      </c>
      <c r="K423" s="2" t="s">
        <v>4787</v>
      </c>
      <c r="M423" s="2" t="s">
        <v>2153</v>
      </c>
      <c r="N423" s="2" t="s">
        <v>4788</v>
      </c>
      <c r="O423" s="2" t="s">
        <v>4789</v>
      </c>
      <c r="P423" s="2" t="s">
        <v>4790</v>
      </c>
      <c r="Q423" s="2" t="s">
        <v>4791</v>
      </c>
      <c r="S423" s="2" t="s">
        <v>4792</v>
      </c>
      <c r="T423" s="2">
        <v>386.0</v>
      </c>
      <c r="V423" s="2" t="s">
        <v>2971</v>
      </c>
      <c r="W423" s="2" t="s">
        <v>4793</v>
      </c>
      <c r="AD423" s="2" t="s">
        <v>1540</v>
      </c>
      <c r="AI423" s="2" t="s">
        <v>1541</v>
      </c>
      <c r="AO423" s="2" t="s">
        <v>4794</v>
      </c>
    </row>
    <row r="424" ht="15.75" customHeight="1">
      <c r="A424" s="2" t="s">
        <v>4795</v>
      </c>
      <c r="B424" s="2" t="s">
        <v>1361</v>
      </c>
      <c r="C424" s="2">
        <v>2015.0</v>
      </c>
      <c r="D424" s="2" t="s">
        <v>4796</v>
      </c>
      <c r="E424" s="2" t="s">
        <v>4797</v>
      </c>
      <c r="F424" s="2" t="s">
        <v>1688</v>
      </c>
      <c r="H424" s="2" t="s">
        <v>2892</v>
      </c>
      <c r="I424" s="2" t="s">
        <v>4798</v>
      </c>
      <c r="J424" s="12" t="str">
        <f>VLOOKUP(I424,'Copy of Enriched Data - IPBES G'!$L$2:$L$229,1,false)</f>
        <v>#N/A</v>
      </c>
      <c r="K424" s="2" t="s">
        <v>4799</v>
      </c>
      <c r="L424" s="2" t="s">
        <v>4800</v>
      </c>
      <c r="M424" s="2" t="s">
        <v>4801</v>
      </c>
      <c r="N424" s="2" t="s">
        <v>4802</v>
      </c>
      <c r="O424" s="2" t="s">
        <v>4803</v>
      </c>
      <c r="P424" s="2" t="s">
        <v>4804</v>
      </c>
      <c r="Q424" s="2" t="s">
        <v>4805</v>
      </c>
      <c r="S424" s="2" t="s">
        <v>4806</v>
      </c>
      <c r="T424" s="2">
        <v>112.0</v>
      </c>
      <c r="V424" s="2" t="s">
        <v>2901</v>
      </c>
      <c r="AD424" s="2" t="s">
        <v>1540</v>
      </c>
      <c r="AI424" s="2" t="s">
        <v>1541</v>
      </c>
      <c r="AO424" s="2" t="s">
        <v>1872</v>
      </c>
    </row>
    <row r="425" ht="15.75" customHeight="1">
      <c r="A425" s="2" t="s">
        <v>4807</v>
      </c>
      <c r="B425" s="2" t="s">
        <v>1361</v>
      </c>
      <c r="C425" s="2">
        <v>2002.0</v>
      </c>
      <c r="D425" s="2" t="s">
        <v>4808</v>
      </c>
      <c r="E425" s="2" t="s">
        <v>4809</v>
      </c>
      <c r="F425" s="2" t="s">
        <v>1760</v>
      </c>
      <c r="H425" s="2" t="s">
        <v>1761</v>
      </c>
      <c r="I425" s="2" t="s">
        <v>4810</v>
      </c>
      <c r="J425" s="12" t="str">
        <f>VLOOKUP(I425,'Copy of Enriched Data - IPBES G'!$L$2:$L$229,1,false)</f>
        <v>#N/A</v>
      </c>
      <c r="K425" s="2" t="s">
        <v>4811</v>
      </c>
      <c r="M425" s="2" t="s">
        <v>4812</v>
      </c>
      <c r="N425" s="2" t="s">
        <v>4813</v>
      </c>
      <c r="O425" s="2" t="s">
        <v>4814</v>
      </c>
      <c r="P425" s="2" t="s">
        <v>4815</v>
      </c>
      <c r="Q425" s="2" t="s">
        <v>4816</v>
      </c>
      <c r="S425" s="2" t="s">
        <v>1600</v>
      </c>
      <c r="T425" s="2">
        <v>41.0</v>
      </c>
      <c r="V425" s="2" t="s">
        <v>1760</v>
      </c>
      <c r="W425" s="2" t="s">
        <v>4817</v>
      </c>
      <c r="AD425" s="2" t="s">
        <v>1540</v>
      </c>
      <c r="AI425" s="2" t="s">
        <v>1541</v>
      </c>
      <c r="AO425" s="2" t="s">
        <v>1872</v>
      </c>
    </row>
    <row r="426" ht="15.75" customHeight="1">
      <c r="A426" s="2" t="s">
        <v>4818</v>
      </c>
      <c r="B426" s="2" t="s">
        <v>1361</v>
      </c>
      <c r="C426" s="2">
        <v>2012.0</v>
      </c>
      <c r="D426" s="2" t="s">
        <v>4819</v>
      </c>
      <c r="E426" s="2" t="s">
        <v>4820</v>
      </c>
      <c r="F426" s="2" t="s">
        <v>3274</v>
      </c>
      <c r="H426" s="2" t="s">
        <v>4821</v>
      </c>
      <c r="I426" s="2" t="s">
        <v>4822</v>
      </c>
      <c r="J426" s="12" t="str">
        <f>VLOOKUP(I426,'Copy of Enriched Data - IPBES G'!$L$2:$L$229,1,false)</f>
        <v>#N/A</v>
      </c>
      <c r="K426" s="2" t="s">
        <v>4823</v>
      </c>
      <c r="M426" s="2" t="s">
        <v>4824</v>
      </c>
      <c r="N426" s="2" t="s">
        <v>1385</v>
      </c>
      <c r="O426" s="2" t="s">
        <v>1386</v>
      </c>
      <c r="P426" s="2" t="s">
        <v>4825</v>
      </c>
      <c r="Q426" s="2" t="s">
        <v>4826</v>
      </c>
      <c r="S426" s="2" t="s">
        <v>1453</v>
      </c>
      <c r="T426" s="2">
        <v>6.0</v>
      </c>
      <c r="V426" s="2" t="s">
        <v>3274</v>
      </c>
      <c r="AD426" s="2" t="s">
        <v>1540</v>
      </c>
      <c r="AI426" s="2" t="s">
        <v>1541</v>
      </c>
      <c r="AO426" s="2" t="s">
        <v>1885</v>
      </c>
    </row>
    <row r="427" ht="15.75" customHeight="1">
      <c r="A427" s="2" t="s">
        <v>4827</v>
      </c>
      <c r="B427" s="2" t="s">
        <v>1396</v>
      </c>
      <c r="C427" s="2">
        <v>2017.0</v>
      </c>
      <c r="D427" s="2" t="s">
        <v>4828</v>
      </c>
      <c r="E427" s="2" t="s">
        <v>4829</v>
      </c>
      <c r="J427" s="12" t="str">
        <f>VLOOKUP(I427,'Copy of Enriched Data - IPBES G'!$L$2:$L$229,1,false)</f>
        <v>#N/A</v>
      </c>
      <c r="M427" s="2" t="s">
        <v>1658</v>
      </c>
      <c r="N427" s="2" t="s">
        <v>1385</v>
      </c>
      <c r="O427" s="2" t="s">
        <v>1386</v>
      </c>
      <c r="AB427" s="2" t="s">
        <v>4830</v>
      </c>
      <c r="AO427" s="2" t="s">
        <v>2238</v>
      </c>
    </row>
    <row r="428" ht="15.75" customHeight="1">
      <c r="A428" s="2" t="s">
        <v>4831</v>
      </c>
      <c r="B428" s="2" t="s">
        <v>1396</v>
      </c>
      <c r="C428" s="2">
        <v>2010.0</v>
      </c>
      <c r="D428" s="2" t="s">
        <v>4832</v>
      </c>
      <c r="E428" s="2" t="s">
        <v>4833</v>
      </c>
      <c r="G428" s="2" t="s">
        <v>4834</v>
      </c>
      <c r="J428" s="12" t="str">
        <f>VLOOKUP(I428,'Copy of Enriched Data - IPBES G'!$L$2:$L$229,1,false)</f>
        <v>#N/A</v>
      </c>
      <c r="L428" s="2" t="s">
        <v>4835</v>
      </c>
      <c r="M428" s="2" t="s">
        <v>1449</v>
      </c>
      <c r="N428" s="2" t="s">
        <v>1385</v>
      </c>
      <c r="O428" s="2" t="s">
        <v>1386</v>
      </c>
      <c r="AB428" s="2" t="s">
        <v>4836</v>
      </c>
      <c r="AO428" s="2" t="s">
        <v>1621</v>
      </c>
    </row>
    <row r="429" ht="15.75" customHeight="1">
      <c r="A429" s="2" t="s">
        <v>4837</v>
      </c>
      <c r="B429" s="2" t="s">
        <v>1396</v>
      </c>
      <c r="C429" s="2">
        <v>2013.0</v>
      </c>
      <c r="D429" s="2" t="s">
        <v>4838</v>
      </c>
      <c r="E429" s="2" t="s">
        <v>4839</v>
      </c>
      <c r="J429" s="12" t="str">
        <f>VLOOKUP(I429,'Copy of Enriched Data - IPBES G'!$L$2:$L$229,1,false)</f>
        <v>#N/A</v>
      </c>
      <c r="K429" s="2" t="s">
        <v>4840</v>
      </c>
      <c r="L429" s="2" t="s">
        <v>4841</v>
      </c>
      <c r="M429" s="2" t="s">
        <v>1429</v>
      </c>
      <c r="N429" s="2" t="s">
        <v>1385</v>
      </c>
      <c r="O429" s="2" t="s">
        <v>1386</v>
      </c>
      <c r="AB429" s="2" t="s">
        <v>4830</v>
      </c>
      <c r="AO429" s="2" t="s">
        <v>1368</v>
      </c>
    </row>
    <row r="430" ht="15.75" customHeight="1">
      <c r="A430" s="2" t="s">
        <v>4842</v>
      </c>
      <c r="B430" s="2" t="s">
        <v>1396</v>
      </c>
      <c r="C430" s="2">
        <v>2018.0</v>
      </c>
      <c r="D430" s="2" t="s">
        <v>4843</v>
      </c>
      <c r="E430" s="2" t="s">
        <v>4844</v>
      </c>
      <c r="J430" s="12" t="str">
        <f>VLOOKUP(I430,'Copy of Enriched Data - IPBES G'!$L$2:$L$229,1,false)</f>
        <v>#N/A</v>
      </c>
      <c r="K430" s="2" t="s">
        <v>4845</v>
      </c>
      <c r="M430" s="2" t="s">
        <v>1420</v>
      </c>
      <c r="N430" s="2" t="s">
        <v>1385</v>
      </c>
      <c r="O430" s="2" t="s">
        <v>1386</v>
      </c>
      <c r="AO430" s="2" t="s">
        <v>1368</v>
      </c>
    </row>
    <row r="431" ht="15.75" customHeight="1">
      <c r="A431" s="2" t="s">
        <v>4846</v>
      </c>
      <c r="B431" s="2" t="s">
        <v>1396</v>
      </c>
      <c r="C431" s="2">
        <v>2018.0</v>
      </c>
      <c r="D431" s="2" t="s">
        <v>4843</v>
      </c>
      <c r="E431" s="2" t="s">
        <v>4847</v>
      </c>
      <c r="J431" s="12" t="str">
        <f>VLOOKUP(I431,'Copy of Enriched Data - IPBES G'!$L$2:$L$229,1,false)</f>
        <v>#N/A</v>
      </c>
      <c r="K431" s="2" t="s">
        <v>4848</v>
      </c>
      <c r="M431" s="2" t="s">
        <v>1420</v>
      </c>
      <c r="N431" s="2" t="s">
        <v>1385</v>
      </c>
      <c r="O431" s="2" t="s">
        <v>1386</v>
      </c>
      <c r="AO431" s="2" t="s">
        <v>1368</v>
      </c>
    </row>
    <row r="432" ht="15.75" customHeight="1">
      <c r="A432" s="2" t="s">
        <v>4849</v>
      </c>
      <c r="B432" s="2" t="s">
        <v>1396</v>
      </c>
      <c r="C432" s="2">
        <v>2018.0</v>
      </c>
      <c r="D432" s="2" t="s">
        <v>4843</v>
      </c>
      <c r="E432" s="2" t="s">
        <v>4850</v>
      </c>
      <c r="J432" s="12" t="str">
        <f>VLOOKUP(I432,'Copy of Enriched Data - IPBES G'!$L$2:$L$229,1,false)</f>
        <v>#N/A</v>
      </c>
      <c r="K432" s="2" t="s">
        <v>4851</v>
      </c>
      <c r="M432" s="2" t="s">
        <v>1420</v>
      </c>
      <c r="N432" s="2" t="s">
        <v>1385</v>
      </c>
      <c r="O432" s="2" t="s">
        <v>1386</v>
      </c>
      <c r="AO432" s="2" t="s">
        <v>1368</v>
      </c>
    </row>
    <row r="433" ht="15.75" customHeight="1">
      <c r="A433" s="2" t="s">
        <v>4852</v>
      </c>
      <c r="B433" s="2" t="s">
        <v>1396</v>
      </c>
      <c r="C433" s="2">
        <v>2018.0</v>
      </c>
      <c r="D433" s="2" t="s">
        <v>4843</v>
      </c>
      <c r="E433" s="2" t="s">
        <v>4853</v>
      </c>
      <c r="J433" s="12" t="str">
        <f>VLOOKUP(I433,'Copy of Enriched Data - IPBES G'!$L$2:$L$229,1,false)</f>
        <v>#N/A</v>
      </c>
      <c r="K433" s="2" t="s">
        <v>4854</v>
      </c>
      <c r="M433" s="2" t="s">
        <v>1420</v>
      </c>
      <c r="N433" s="2" t="s">
        <v>1385</v>
      </c>
      <c r="O433" s="2" t="s">
        <v>1386</v>
      </c>
      <c r="AO433" s="2" t="s">
        <v>1368</v>
      </c>
    </row>
    <row r="434" ht="15.75" customHeight="1">
      <c r="A434" s="2" t="s">
        <v>4855</v>
      </c>
      <c r="B434" s="2" t="s">
        <v>1623</v>
      </c>
      <c r="C434" s="2">
        <v>2008.0</v>
      </c>
      <c r="D434" s="2" t="s">
        <v>4856</v>
      </c>
      <c r="E434" s="2" t="s">
        <v>4857</v>
      </c>
      <c r="J434" s="12" t="str">
        <f>VLOOKUP(I434,'Copy of Enriched Data - IPBES G'!$L$2:$L$229,1,false)</f>
        <v>#N/A</v>
      </c>
      <c r="K434" s="2" t="s">
        <v>4858</v>
      </c>
      <c r="M434" s="2" t="s">
        <v>1458</v>
      </c>
      <c r="N434" s="2" t="s">
        <v>1385</v>
      </c>
      <c r="O434" s="2" t="s">
        <v>1386</v>
      </c>
      <c r="AB434" s="2" t="s">
        <v>4859</v>
      </c>
      <c r="AO434" s="2" t="s">
        <v>1368</v>
      </c>
    </row>
    <row r="435" ht="15.75" customHeight="1">
      <c r="A435" s="2" t="s">
        <v>4860</v>
      </c>
      <c r="B435" s="2" t="s">
        <v>1396</v>
      </c>
      <c r="C435" s="2">
        <v>1998.0</v>
      </c>
      <c r="D435" s="2" t="s">
        <v>4861</v>
      </c>
      <c r="E435" s="2" t="s">
        <v>4862</v>
      </c>
      <c r="J435" s="12" t="str">
        <f>VLOOKUP(I435,'Copy of Enriched Data - IPBES G'!$L$2:$L$229,1,false)</f>
        <v>#N/A</v>
      </c>
      <c r="M435" s="2" t="s">
        <v>1958</v>
      </c>
      <c r="N435" s="2" t="s">
        <v>1385</v>
      </c>
      <c r="O435" s="2" t="s">
        <v>1386</v>
      </c>
      <c r="AB435" s="2" t="s">
        <v>4863</v>
      </c>
      <c r="AC435" s="2" t="s">
        <v>4864</v>
      </c>
      <c r="AO435" s="2" t="s">
        <v>1368</v>
      </c>
    </row>
    <row r="436" ht="15.75" customHeight="1">
      <c r="A436" s="2" t="s">
        <v>4865</v>
      </c>
      <c r="B436" s="2" t="s">
        <v>2986</v>
      </c>
      <c r="C436" s="2">
        <v>2009.0</v>
      </c>
      <c r="D436" s="2" t="s">
        <v>4866</v>
      </c>
      <c r="E436" s="2" t="s">
        <v>4867</v>
      </c>
      <c r="J436" s="12" t="str">
        <f>VLOOKUP(I436,'Copy of Enriched Data - IPBES G'!$L$2:$L$229,1,false)</f>
        <v>#N/A</v>
      </c>
      <c r="K436" s="2" t="s">
        <v>4868</v>
      </c>
      <c r="M436" s="2" t="s">
        <v>1364</v>
      </c>
      <c r="N436" s="2" t="s">
        <v>1385</v>
      </c>
      <c r="O436" s="2" t="s">
        <v>1386</v>
      </c>
      <c r="AO436" s="2" t="s">
        <v>1368</v>
      </c>
    </row>
    <row r="437" ht="15.75" customHeight="1">
      <c r="A437" s="2" t="s">
        <v>4869</v>
      </c>
      <c r="B437" s="2" t="s">
        <v>1361</v>
      </c>
      <c r="C437" s="2">
        <v>2007.0</v>
      </c>
      <c r="D437" s="2" t="s">
        <v>4870</v>
      </c>
      <c r="E437" s="2" t="s">
        <v>4871</v>
      </c>
      <c r="F437" s="2" t="s">
        <v>4872</v>
      </c>
      <c r="H437" s="2" t="s">
        <v>4873</v>
      </c>
      <c r="I437" s="2" t="s">
        <v>4874</v>
      </c>
      <c r="J437" s="12" t="str">
        <f>VLOOKUP(I437,'Copy of Enriched Data - IPBES G'!$L$2:$L$229,1,false)</f>
        <v>#N/A</v>
      </c>
      <c r="K437" s="2" t="s">
        <v>4875</v>
      </c>
      <c r="L437" s="2" t="s">
        <v>4876</v>
      </c>
      <c r="M437" s="2" t="s">
        <v>4877</v>
      </c>
      <c r="N437" s="2" t="s">
        <v>1385</v>
      </c>
      <c r="O437" s="2" t="s">
        <v>1386</v>
      </c>
      <c r="Q437" s="2" t="s">
        <v>4878</v>
      </c>
      <c r="S437" s="2" t="s">
        <v>1506</v>
      </c>
      <c r="T437" s="2">
        <v>44.0</v>
      </c>
      <c r="AO437" s="2" t="s">
        <v>1368</v>
      </c>
    </row>
    <row r="438" ht="15.75" customHeight="1">
      <c r="A438" s="2" t="s">
        <v>4879</v>
      </c>
      <c r="B438" s="2" t="s">
        <v>1623</v>
      </c>
      <c r="C438" s="2">
        <v>2013.0</v>
      </c>
      <c r="D438" s="2" t="s">
        <v>4880</v>
      </c>
      <c r="E438" s="2" t="s">
        <v>4881</v>
      </c>
      <c r="J438" s="12" t="str">
        <f>VLOOKUP(I438,'Copy of Enriched Data - IPBES G'!$L$2:$L$229,1,false)</f>
        <v>#N/A</v>
      </c>
      <c r="M438" s="2" t="s">
        <v>1429</v>
      </c>
      <c r="N438" s="2" t="s">
        <v>1385</v>
      </c>
      <c r="O438" s="2" t="s">
        <v>1386</v>
      </c>
      <c r="AB438" s="2" t="s">
        <v>4882</v>
      </c>
      <c r="AC438" s="2" t="s">
        <v>4883</v>
      </c>
      <c r="AO438" s="2" t="s">
        <v>1368</v>
      </c>
      <c r="BI438" s="2" t="s">
        <v>4884</v>
      </c>
    </row>
    <row r="439" ht="15.75" customHeight="1">
      <c r="A439" s="2" t="s">
        <v>4885</v>
      </c>
      <c r="B439" s="2" t="s">
        <v>1396</v>
      </c>
      <c r="C439" s="2">
        <v>2014.0</v>
      </c>
      <c r="D439" s="2" t="s">
        <v>4886</v>
      </c>
      <c r="E439" s="2" t="s">
        <v>4887</v>
      </c>
      <c r="G439" s="2" t="s">
        <v>4888</v>
      </c>
      <c r="J439" s="12" t="str">
        <f>VLOOKUP(I439,'Copy of Enriched Data - IPBES G'!$L$2:$L$229,1,false)</f>
        <v>#N/A</v>
      </c>
      <c r="K439" s="2" t="s">
        <v>4889</v>
      </c>
      <c r="L439" s="2" t="s">
        <v>4890</v>
      </c>
      <c r="M439" s="2" t="s">
        <v>1476</v>
      </c>
      <c r="N439" s="2" t="s">
        <v>1385</v>
      </c>
      <c r="O439" s="2" t="s">
        <v>1386</v>
      </c>
      <c r="P439" s="2" t="s">
        <v>4891</v>
      </c>
      <c r="W439" s="2" t="s">
        <v>4892</v>
      </c>
      <c r="AB439" s="2" t="s">
        <v>4893</v>
      </c>
      <c r="AD439" s="2" t="s">
        <v>3263</v>
      </c>
      <c r="AI439" s="2" t="s">
        <v>4894</v>
      </c>
      <c r="AO439" s="2" t="s">
        <v>1368</v>
      </c>
    </row>
    <row r="440" ht="15.75" customHeight="1">
      <c r="A440" s="2" t="s">
        <v>4895</v>
      </c>
      <c r="B440" s="2" t="s">
        <v>1396</v>
      </c>
      <c r="C440" s="2">
        <v>2018.0</v>
      </c>
      <c r="D440" s="2" t="s">
        <v>4843</v>
      </c>
      <c r="E440" s="2" t="s">
        <v>4896</v>
      </c>
      <c r="J440" s="12" t="str">
        <f>VLOOKUP(I440,'Copy of Enriched Data - IPBES G'!$L$2:$L$229,1,false)</f>
        <v>#N/A</v>
      </c>
      <c r="K440" s="2" t="s">
        <v>4897</v>
      </c>
      <c r="M440" s="2" t="s">
        <v>1420</v>
      </c>
      <c r="N440" s="2" t="s">
        <v>1385</v>
      </c>
      <c r="O440" s="2" t="s">
        <v>1386</v>
      </c>
      <c r="AO440" s="2" t="s">
        <v>1368</v>
      </c>
    </row>
    <row r="441" ht="15.75" customHeight="1">
      <c r="A441" s="2" t="s">
        <v>4898</v>
      </c>
      <c r="B441" s="2" t="s">
        <v>1396</v>
      </c>
      <c r="C441" s="2">
        <v>2018.0</v>
      </c>
      <c r="D441" s="2" t="s">
        <v>4843</v>
      </c>
      <c r="E441" s="2" t="s">
        <v>4899</v>
      </c>
      <c r="J441" s="12" t="str">
        <f>VLOOKUP(I441,'Copy of Enriched Data - IPBES G'!$L$2:$L$229,1,false)</f>
        <v>#N/A</v>
      </c>
      <c r="M441" s="2" t="s">
        <v>1420</v>
      </c>
      <c r="N441" s="2" t="s">
        <v>1385</v>
      </c>
      <c r="O441" s="2" t="s">
        <v>1386</v>
      </c>
      <c r="AB441" s="2" t="s">
        <v>1406</v>
      </c>
      <c r="AO441" s="2" t="s">
        <v>1368</v>
      </c>
    </row>
    <row r="442" ht="15.75" customHeight="1">
      <c r="A442" s="2" t="s">
        <v>4900</v>
      </c>
      <c r="B442" s="2" t="s">
        <v>1396</v>
      </c>
      <c r="C442" s="2">
        <v>2018.0</v>
      </c>
      <c r="D442" s="2" t="s">
        <v>4843</v>
      </c>
      <c r="E442" s="2" t="s">
        <v>4901</v>
      </c>
      <c r="J442" s="12" t="str">
        <f>VLOOKUP(I442,'Copy of Enriched Data - IPBES G'!$L$2:$L$229,1,false)</f>
        <v>#N/A</v>
      </c>
      <c r="K442" s="2" t="s">
        <v>4902</v>
      </c>
      <c r="M442" s="2" t="s">
        <v>1420</v>
      </c>
      <c r="N442" s="2" t="s">
        <v>1385</v>
      </c>
      <c r="O442" s="2" t="s">
        <v>1386</v>
      </c>
      <c r="AO442" s="2" t="s">
        <v>1368</v>
      </c>
    </row>
    <row r="443" ht="15.75" customHeight="1">
      <c r="A443" s="2" t="s">
        <v>4903</v>
      </c>
      <c r="B443" s="2" t="s">
        <v>1396</v>
      </c>
      <c r="C443" s="2">
        <v>2018.0</v>
      </c>
      <c r="D443" s="2" t="s">
        <v>4843</v>
      </c>
      <c r="E443" s="2" t="s">
        <v>4904</v>
      </c>
      <c r="J443" s="12" t="str">
        <f>VLOOKUP(I443,'Copy of Enriched Data - IPBES G'!$L$2:$L$229,1,false)</f>
        <v>#N/A</v>
      </c>
      <c r="K443" s="2" t="s">
        <v>4905</v>
      </c>
      <c r="M443" s="2" t="s">
        <v>1420</v>
      </c>
      <c r="N443" s="2" t="s">
        <v>1385</v>
      </c>
      <c r="O443" s="2" t="s">
        <v>1386</v>
      </c>
      <c r="P443" s="2" t="s">
        <v>4906</v>
      </c>
      <c r="AO443" s="2" t="s">
        <v>1368</v>
      </c>
    </row>
    <row r="444" ht="15.75" customHeight="1">
      <c r="A444" s="2" t="s">
        <v>4907</v>
      </c>
      <c r="B444" s="2" t="s">
        <v>1396</v>
      </c>
      <c r="C444" s="2">
        <v>2018.0</v>
      </c>
      <c r="D444" s="2" t="s">
        <v>4843</v>
      </c>
      <c r="E444" s="2" t="s">
        <v>4908</v>
      </c>
      <c r="J444" s="12" t="str">
        <f>VLOOKUP(I444,'Copy of Enriched Data - IPBES G'!$L$2:$L$229,1,false)</f>
        <v>#N/A</v>
      </c>
      <c r="K444" s="2" t="s">
        <v>4909</v>
      </c>
      <c r="M444" s="2" t="s">
        <v>1420</v>
      </c>
      <c r="N444" s="2" t="s">
        <v>1385</v>
      </c>
      <c r="O444" s="2" t="s">
        <v>1386</v>
      </c>
      <c r="AO444" s="2" t="s">
        <v>1368</v>
      </c>
    </row>
    <row r="445" ht="15.75" customHeight="1">
      <c r="A445" s="2" t="s">
        <v>4910</v>
      </c>
      <c r="B445" s="2" t="s">
        <v>1396</v>
      </c>
      <c r="C445" s="2">
        <v>2018.0</v>
      </c>
      <c r="D445" s="2" t="s">
        <v>4843</v>
      </c>
      <c r="E445" s="2" t="s">
        <v>4911</v>
      </c>
      <c r="J445" s="12" t="str">
        <f>VLOOKUP(I445,'Copy of Enriched Data - IPBES G'!$L$2:$L$229,1,false)</f>
        <v>#N/A</v>
      </c>
      <c r="K445" s="2" t="s">
        <v>4912</v>
      </c>
      <c r="M445" s="2" t="s">
        <v>1420</v>
      </c>
      <c r="N445" s="2" t="s">
        <v>1385</v>
      </c>
      <c r="O445" s="2" t="s">
        <v>1386</v>
      </c>
      <c r="AO445" s="2" t="s">
        <v>1368</v>
      </c>
    </row>
    <row r="446" ht="15.75" customHeight="1">
      <c r="A446" s="2" t="s">
        <v>4913</v>
      </c>
      <c r="B446" s="2" t="s">
        <v>1396</v>
      </c>
      <c r="C446" s="2">
        <v>2018.0</v>
      </c>
      <c r="D446" s="2" t="s">
        <v>4843</v>
      </c>
      <c r="E446" s="2" t="s">
        <v>4914</v>
      </c>
      <c r="J446" s="12" t="str">
        <f>VLOOKUP(I446,'Copy of Enriched Data - IPBES G'!$L$2:$L$229,1,false)</f>
        <v>#N/A</v>
      </c>
      <c r="K446" s="2" t="s">
        <v>4915</v>
      </c>
      <c r="M446" s="2" t="s">
        <v>1420</v>
      </c>
      <c r="N446" s="2" t="s">
        <v>1385</v>
      </c>
      <c r="O446" s="2" t="s">
        <v>1386</v>
      </c>
      <c r="AO446" s="2" t="s">
        <v>1368</v>
      </c>
    </row>
    <row r="447" ht="15.75" customHeight="1">
      <c r="A447" s="2" t="s">
        <v>4916</v>
      </c>
      <c r="B447" s="2" t="s">
        <v>1781</v>
      </c>
      <c r="C447" s="2">
        <v>2015.0</v>
      </c>
      <c r="D447" s="2" t="s">
        <v>4843</v>
      </c>
      <c r="E447" s="2" t="s">
        <v>4917</v>
      </c>
      <c r="J447" s="12" t="str">
        <f>VLOOKUP(I447,'Copy of Enriched Data - IPBES G'!$L$2:$L$229,1,false)</f>
        <v>#N/A</v>
      </c>
      <c r="K447" s="2" t="s">
        <v>4918</v>
      </c>
      <c r="M447" s="2" t="s">
        <v>2153</v>
      </c>
      <c r="N447" s="2" t="s">
        <v>1385</v>
      </c>
      <c r="O447" s="2" t="s">
        <v>1386</v>
      </c>
      <c r="AC447" s="2" t="s">
        <v>1629</v>
      </c>
      <c r="AO447" s="2" t="s">
        <v>1368</v>
      </c>
    </row>
    <row r="448" ht="15.75" customHeight="1">
      <c r="A448" s="2" t="s">
        <v>4919</v>
      </c>
      <c r="B448" s="2" t="s">
        <v>1766</v>
      </c>
      <c r="C448" s="2">
        <v>2009.0</v>
      </c>
      <c r="D448" s="2" t="s">
        <v>4843</v>
      </c>
      <c r="E448" s="2" t="s">
        <v>4920</v>
      </c>
      <c r="F448" s="2" t="s">
        <v>4920</v>
      </c>
      <c r="J448" s="12" t="str">
        <f>VLOOKUP(I448,'Copy of Enriched Data - IPBES G'!$L$2:$L$229,1,false)</f>
        <v>#N/A</v>
      </c>
      <c r="L448" s="2" t="s">
        <v>4921</v>
      </c>
      <c r="M448" s="2" t="s">
        <v>1364</v>
      </c>
      <c r="N448" s="2" t="s">
        <v>1385</v>
      </c>
      <c r="O448" s="2" t="s">
        <v>1386</v>
      </c>
      <c r="AO448" s="2" t="s">
        <v>1368</v>
      </c>
    </row>
    <row r="449" ht="15.75" customHeight="1">
      <c r="A449" s="2" t="s">
        <v>4922</v>
      </c>
      <c r="B449" s="2" t="s">
        <v>1396</v>
      </c>
      <c r="C449" s="2">
        <v>2006.0</v>
      </c>
      <c r="D449" s="2" t="s">
        <v>4843</v>
      </c>
      <c r="E449" s="2" t="s">
        <v>4923</v>
      </c>
      <c r="J449" s="12" t="str">
        <f>VLOOKUP(I449,'Copy of Enriched Data - IPBES G'!$L$2:$L$229,1,false)</f>
        <v>#N/A</v>
      </c>
      <c r="M449" s="2" t="s">
        <v>1727</v>
      </c>
      <c r="N449" s="2" t="s">
        <v>1385</v>
      </c>
      <c r="O449" s="2" t="s">
        <v>1386</v>
      </c>
      <c r="AB449" s="2" t="s">
        <v>1406</v>
      </c>
      <c r="AO449" s="2" t="s">
        <v>1368</v>
      </c>
    </row>
    <row r="450" ht="15.75" customHeight="1">
      <c r="A450" s="2" t="s">
        <v>4924</v>
      </c>
      <c r="B450" s="2" t="s">
        <v>1623</v>
      </c>
      <c r="C450" s="2">
        <v>2014.0</v>
      </c>
      <c r="D450" s="2" t="s">
        <v>4843</v>
      </c>
      <c r="E450" s="2" t="s">
        <v>4925</v>
      </c>
      <c r="J450" s="12" t="str">
        <f>VLOOKUP(I450,'Copy of Enriched Data - IPBES G'!$L$2:$L$229,1,false)</f>
        <v>#N/A</v>
      </c>
      <c r="M450" s="2" t="s">
        <v>1476</v>
      </c>
      <c r="N450" s="2" t="s">
        <v>1385</v>
      </c>
      <c r="O450" s="2" t="s">
        <v>1386</v>
      </c>
      <c r="AO450" s="2" t="s">
        <v>1368</v>
      </c>
    </row>
    <row r="451" ht="15.75" customHeight="1">
      <c r="A451" s="2" t="s">
        <v>4926</v>
      </c>
      <c r="B451" s="2" t="s">
        <v>1396</v>
      </c>
      <c r="C451" s="2">
        <v>2007.0</v>
      </c>
      <c r="D451" s="2" t="s">
        <v>4843</v>
      </c>
      <c r="E451" s="2" t="s">
        <v>4927</v>
      </c>
      <c r="G451" s="2" t="s">
        <v>4928</v>
      </c>
      <c r="J451" s="12" t="str">
        <f>VLOOKUP(I451,'Copy of Enriched Data - IPBES G'!$L$2:$L$229,1,false)</f>
        <v>#N/A</v>
      </c>
      <c r="L451" s="2" t="s">
        <v>4929</v>
      </c>
      <c r="M451" s="2" t="s">
        <v>2380</v>
      </c>
      <c r="N451" s="2" t="s">
        <v>1385</v>
      </c>
      <c r="O451" s="2" t="s">
        <v>1386</v>
      </c>
      <c r="AB451" s="2" t="s">
        <v>4843</v>
      </c>
      <c r="AC451" s="2" t="s">
        <v>1629</v>
      </c>
      <c r="AO451" s="2" t="s">
        <v>1368</v>
      </c>
    </row>
    <row r="452" ht="15.75" customHeight="1">
      <c r="A452" s="2" t="s">
        <v>4930</v>
      </c>
      <c r="B452" s="2" t="s">
        <v>1623</v>
      </c>
      <c r="C452" s="2">
        <v>2004.0</v>
      </c>
      <c r="D452" s="2" t="s">
        <v>4843</v>
      </c>
      <c r="E452" s="2" t="s">
        <v>4931</v>
      </c>
      <c r="J452" s="12" t="str">
        <f>VLOOKUP(I452,'Copy of Enriched Data - IPBES G'!$L$2:$L$229,1,false)</f>
        <v>#N/A</v>
      </c>
      <c r="M452" s="2" t="s">
        <v>2373</v>
      </c>
      <c r="N452" s="2" t="s">
        <v>1385</v>
      </c>
      <c r="O452" s="2" t="s">
        <v>1386</v>
      </c>
      <c r="AO452" s="2" t="s">
        <v>1368</v>
      </c>
    </row>
    <row r="453" ht="15.75" customHeight="1">
      <c r="A453" s="2" t="s">
        <v>4932</v>
      </c>
      <c r="B453" s="2" t="s">
        <v>1396</v>
      </c>
      <c r="C453" s="2">
        <v>2012.0</v>
      </c>
      <c r="D453" s="2" t="s">
        <v>4843</v>
      </c>
      <c r="E453" s="2" t="s">
        <v>4933</v>
      </c>
      <c r="J453" s="12" t="str">
        <f>VLOOKUP(I453,'Copy of Enriched Data - IPBES G'!$L$2:$L$229,1,false)</f>
        <v>#N/A</v>
      </c>
      <c r="M453" s="2" t="s">
        <v>1405</v>
      </c>
      <c r="N453" s="2" t="s">
        <v>1385</v>
      </c>
      <c r="O453" s="2" t="s">
        <v>1386</v>
      </c>
      <c r="AB453" s="2" t="s">
        <v>4934</v>
      </c>
      <c r="AO453" s="2" t="s">
        <v>1368</v>
      </c>
    </row>
    <row r="454" ht="15.75" customHeight="1">
      <c r="A454" s="2" t="s">
        <v>4935</v>
      </c>
      <c r="B454" s="2" t="s">
        <v>1396</v>
      </c>
      <c r="C454" s="2">
        <v>1994.0</v>
      </c>
      <c r="D454" s="2" t="s">
        <v>4843</v>
      </c>
      <c r="E454" s="2" t="s">
        <v>4936</v>
      </c>
      <c r="J454" s="12" t="str">
        <f>VLOOKUP(I454,'Copy of Enriched Data - IPBES G'!$L$2:$L$229,1,false)</f>
        <v>#N/A</v>
      </c>
      <c r="M454" s="2" t="s">
        <v>2327</v>
      </c>
      <c r="N454" s="2" t="s">
        <v>1385</v>
      </c>
      <c r="O454" s="2" t="s">
        <v>1386</v>
      </c>
      <c r="AB454" s="2" t="s">
        <v>1639</v>
      </c>
      <c r="AO454" s="2" t="s">
        <v>1368</v>
      </c>
    </row>
    <row r="455" ht="15.75" customHeight="1">
      <c r="A455" s="2" t="s">
        <v>4937</v>
      </c>
      <c r="B455" s="2" t="s">
        <v>1396</v>
      </c>
      <c r="C455" s="2">
        <v>2018.0</v>
      </c>
      <c r="D455" s="2" t="s">
        <v>4843</v>
      </c>
      <c r="E455" s="2" t="s">
        <v>4938</v>
      </c>
      <c r="J455" s="12" t="str">
        <f>VLOOKUP(I455,'Copy of Enriched Data - IPBES G'!$L$2:$L$229,1,false)</f>
        <v>#N/A</v>
      </c>
      <c r="K455" s="2" t="s">
        <v>4939</v>
      </c>
      <c r="M455" s="2" t="s">
        <v>1420</v>
      </c>
      <c r="N455" s="2" t="s">
        <v>1385</v>
      </c>
      <c r="O455" s="2" t="s">
        <v>1386</v>
      </c>
      <c r="AO455" s="2" t="s">
        <v>1368</v>
      </c>
    </row>
    <row r="456" ht="15.75" customHeight="1">
      <c r="A456" s="2" t="s">
        <v>4940</v>
      </c>
      <c r="B456" s="2" t="s">
        <v>1361</v>
      </c>
      <c r="C456" s="2">
        <v>2008.0</v>
      </c>
      <c r="D456" s="2" t="s">
        <v>4941</v>
      </c>
      <c r="E456" s="2" t="s">
        <v>4942</v>
      </c>
      <c r="F456" s="2" t="s">
        <v>1510</v>
      </c>
      <c r="H456" s="2" t="s">
        <v>4943</v>
      </c>
      <c r="I456" s="2" t="s">
        <v>4944</v>
      </c>
      <c r="J456" s="12" t="str">
        <f>VLOOKUP(I456,'Copy of Enriched Data - IPBES G'!$L$2:$L$229,1,false)</f>
        <v>#N/A</v>
      </c>
      <c r="L456" s="2" t="s">
        <v>4945</v>
      </c>
      <c r="M456" s="2" t="s">
        <v>1458</v>
      </c>
      <c r="N456" s="2" t="s">
        <v>1385</v>
      </c>
      <c r="O456" s="2" t="s">
        <v>1386</v>
      </c>
      <c r="Q456" s="2" t="s">
        <v>4946</v>
      </c>
      <c r="S456" s="2" t="s">
        <v>4947</v>
      </c>
      <c r="T456" s="2">
        <v>321.0</v>
      </c>
      <c r="AO456" s="2" t="s">
        <v>1368</v>
      </c>
    </row>
    <row r="457" ht="15.75" customHeight="1">
      <c r="A457" s="2" t="s">
        <v>4953</v>
      </c>
      <c r="B457" s="2" t="s">
        <v>1361</v>
      </c>
      <c r="C457" s="2">
        <v>2011.0</v>
      </c>
      <c r="D457" s="2" t="s">
        <v>4954</v>
      </c>
      <c r="E457" s="2" t="s">
        <v>4955</v>
      </c>
      <c r="F457" s="2" t="s">
        <v>4956</v>
      </c>
      <c r="H457" s="2" t="s">
        <v>4957</v>
      </c>
      <c r="I457" s="2" t="s">
        <v>4958</v>
      </c>
      <c r="J457" s="12" t="str">
        <f>VLOOKUP(I457,'Copy of Enriched Data - IPBES G'!$L$2:$L$229,1,false)</f>
        <v>#N/A</v>
      </c>
      <c r="L457" s="2" t="s">
        <v>4959</v>
      </c>
      <c r="M457" s="2" t="s">
        <v>1627</v>
      </c>
      <c r="N457" s="2" t="s">
        <v>1385</v>
      </c>
      <c r="O457" s="2" t="s">
        <v>1386</v>
      </c>
      <c r="AO457" s="2" t="s">
        <v>1368</v>
      </c>
    </row>
    <row r="458" ht="15.75" customHeight="1">
      <c r="A458" s="2" t="s">
        <v>4960</v>
      </c>
      <c r="B458" s="2" t="s">
        <v>1361</v>
      </c>
      <c r="C458" s="2">
        <v>2007.0</v>
      </c>
      <c r="D458" s="2" t="s">
        <v>4961</v>
      </c>
      <c r="E458" s="2" t="s">
        <v>4962</v>
      </c>
      <c r="F458" s="2" t="s">
        <v>1760</v>
      </c>
      <c r="I458" s="2" t="s">
        <v>4963</v>
      </c>
      <c r="J458" s="12" t="str">
        <f>VLOOKUP(I458,'Copy of Enriched Data - IPBES G'!$L$2:$L$229,1,false)</f>
        <v>#N/A</v>
      </c>
      <c r="M458" s="2" t="s">
        <v>2380</v>
      </c>
      <c r="N458" s="2" t="s">
        <v>1385</v>
      </c>
      <c r="O458" s="2" t="s">
        <v>1386</v>
      </c>
      <c r="Q458" s="2" t="s">
        <v>4964</v>
      </c>
      <c r="T458" s="2">
        <v>62.0</v>
      </c>
      <c r="AO458" s="2" t="s">
        <v>1368</v>
      </c>
    </row>
    <row r="459" ht="15.75" customHeight="1">
      <c r="A459" s="2" t="s">
        <v>4965</v>
      </c>
      <c r="B459" s="2" t="s">
        <v>1361</v>
      </c>
      <c r="C459" s="2">
        <v>2007.0</v>
      </c>
      <c r="D459" s="2" t="s">
        <v>4966</v>
      </c>
      <c r="E459" s="2" t="s">
        <v>4967</v>
      </c>
      <c r="F459" s="2" t="s">
        <v>2340</v>
      </c>
      <c r="H459" s="2" t="s">
        <v>2341</v>
      </c>
      <c r="I459" s="2" t="s">
        <v>4968</v>
      </c>
      <c r="J459" s="12" t="str">
        <f>VLOOKUP(I459,'Copy of Enriched Data - IPBES G'!$L$2:$L$229,1,false)</f>
        <v>#N/A</v>
      </c>
      <c r="L459" s="2" t="s">
        <v>4969</v>
      </c>
      <c r="M459" s="2" t="s">
        <v>2380</v>
      </c>
      <c r="N459" s="2" t="s">
        <v>1385</v>
      </c>
      <c r="O459" s="2" t="s">
        <v>1386</v>
      </c>
      <c r="AO459" s="2" t="s">
        <v>1368</v>
      </c>
    </row>
    <row r="460" ht="15.75" customHeight="1">
      <c r="A460" s="2" t="s">
        <v>4970</v>
      </c>
      <c r="B460" s="2" t="s">
        <v>1396</v>
      </c>
      <c r="C460" s="2">
        <v>1995.0</v>
      </c>
      <c r="D460" s="2" t="s">
        <v>4971</v>
      </c>
      <c r="E460" s="2" t="s">
        <v>4972</v>
      </c>
      <c r="J460" s="12" t="str">
        <f>VLOOKUP(I460,'Copy of Enriched Data - IPBES G'!$L$2:$L$229,1,false)</f>
        <v>#N/A</v>
      </c>
      <c r="M460" s="2" t="s">
        <v>2089</v>
      </c>
      <c r="N460" s="2" t="s">
        <v>1385</v>
      </c>
      <c r="O460" s="2" t="s">
        <v>1386</v>
      </c>
      <c r="AB460" s="2" t="s">
        <v>4973</v>
      </c>
      <c r="AO460" s="2" t="s">
        <v>1368</v>
      </c>
    </row>
    <row r="461" ht="15.75" customHeight="1">
      <c r="A461" s="2" t="s">
        <v>4974</v>
      </c>
      <c r="B461" s="2" t="s">
        <v>1361</v>
      </c>
      <c r="C461" s="2">
        <v>2007.0</v>
      </c>
      <c r="D461" s="2" t="s">
        <v>4975</v>
      </c>
      <c r="E461" s="2" t="s">
        <v>4976</v>
      </c>
      <c r="F461" s="2" t="s">
        <v>4977</v>
      </c>
      <c r="H461" s="2" t="s">
        <v>4978</v>
      </c>
      <c r="I461" s="2" t="s">
        <v>4979</v>
      </c>
      <c r="J461" s="12" t="str">
        <f>VLOOKUP(I461,'Copy of Enriched Data - IPBES G'!$L$2:$L$229,1,false)</f>
        <v>#N/A</v>
      </c>
      <c r="L461" s="2" t="s">
        <v>4980</v>
      </c>
      <c r="M461" s="2" t="s">
        <v>2380</v>
      </c>
      <c r="N461" s="2" t="s">
        <v>1385</v>
      </c>
      <c r="O461" s="2" t="s">
        <v>1386</v>
      </c>
      <c r="AO461" s="2" t="s">
        <v>1368</v>
      </c>
    </row>
    <row r="462" ht="15.75" customHeight="1">
      <c r="A462" s="2" t="s">
        <v>4981</v>
      </c>
      <c r="B462" s="2" t="s">
        <v>1361</v>
      </c>
      <c r="C462" s="2">
        <v>2016.0</v>
      </c>
      <c r="D462" s="2" t="s">
        <v>4982</v>
      </c>
      <c r="E462" s="2" t="s">
        <v>4983</v>
      </c>
      <c r="F462" s="2" t="s">
        <v>4581</v>
      </c>
      <c r="H462" s="2" t="s">
        <v>4984</v>
      </c>
      <c r="I462" s="2" t="s">
        <v>4985</v>
      </c>
      <c r="J462" s="12" t="str">
        <f>VLOOKUP(I462,'Copy of Enriched Data - IPBES G'!$L$2:$L$229,1,false)</f>
        <v>#N/A</v>
      </c>
      <c r="L462" s="2" t="s">
        <v>4986</v>
      </c>
      <c r="M462" s="2" t="s">
        <v>4987</v>
      </c>
      <c r="N462" s="2" t="s">
        <v>1385</v>
      </c>
      <c r="O462" s="2" t="s">
        <v>1386</v>
      </c>
      <c r="Q462" s="2" t="s">
        <v>4988</v>
      </c>
      <c r="S462" s="2" t="s">
        <v>1600</v>
      </c>
      <c r="T462" s="2">
        <v>138.0</v>
      </c>
      <c r="AO462" s="2" t="s">
        <v>1368</v>
      </c>
    </row>
    <row r="463" ht="15.75" customHeight="1">
      <c r="A463" s="2" t="s">
        <v>4989</v>
      </c>
      <c r="B463" s="2" t="s">
        <v>2273</v>
      </c>
      <c r="C463" s="2">
        <v>2010.0</v>
      </c>
      <c r="D463" s="2" t="s">
        <v>4990</v>
      </c>
      <c r="E463" s="2" t="s">
        <v>870</v>
      </c>
      <c r="J463" s="12" t="str">
        <f>VLOOKUP(I463,'Copy of Enriched Data - IPBES G'!$L$2:$L$229,1,false)</f>
        <v>#N/A</v>
      </c>
      <c r="M463" s="2" t="s">
        <v>1449</v>
      </c>
      <c r="N463" s="2" t="s">
        <v>1385</v>
      </c>
      <c r="O463" s="2" t="s">
        <v>1386</v>
      </c>
      <c r="AB463" s="2" t="s">
        <v>4991</v>
      </c>
      <c r="AF463" s="2" t="s">
        <v>2277</v>
      </c>
      <c r="AO463" s="2" t="s">
        <v>1368</v>
      </c>
    </row>
    <row r="464" ht="15.75" customHeight="1">
      <c r="A464" s="2" t="s">
        <v>4992</v>
      </c>
      <c r="B464" s="2" t="s">
        <v>1361</v>
      </c>
      <c r="C464" s="2">
        <v>2001.0</v>
      </c>
      <c r="D464" s="2" t="s">
        <v>4993</v>
      </c>
      <c r="E464" s="2" t="s">
        <v>4994</v>
      </c>
      <c r="F464" s="2" t="s">
        <v>4995</v>
      </c>
      <c r="H464" s="2" t="s">
        <v>4996</v>
      </c>
      <c r="I464" s="2" t="s">
        <v>4997</v>
      </c>
      <c r="J464" s="12" t="str">
        <f>VLOOKUP(I464,'Copy of Enriched Data - IPBES G'!$L$2:$L$229,1,false)</f>
        <v>#N/A</v>
      </c>
      <c r="M464" s="2" t="s">
        <v>1414</v>
      </c>
      <c r="N464" s="2" t="s">
        <v>1385</v>
      </c>
      <c r="O464" s="2" t="s">
        <v>1386</v>
      </c>
      <c r="Q464" s="2" t="s">
        <v>4998</v>
      </c>
      <c r="S464" s="2" t="s">
        <v>1506</v>
      </c>
      <c r="T464" s="2">
        <v>32.0</v>
      </c>
      <c r="AO464" s="2" t="s">
        <v>1368</v>
      </c>
    </row>
    <row r="465" ht="15.75" customHeight="1">
      <c r="A465" s="2" t="s">
        <v>4999</v>
      </c>
      <c r="B465" s="2" t="s">
        <v>1361</v>
      </c>
      <c r="C465" s="2">
        <v>2010.0</v>
      </c>
      <c r="D465" s="2" t="s">
        <v>5000</v>
      </c>
      <c r="E465" s="2" t="s">
        <v>5001</v>
      </c>
      <c r="F465" s="2" t="s">
        <v>1587</v>
      </c>
      <c r="H465" s="2" t="s">
        <v>3516</v>
      </c>
      <c r="I465" s="2" t="s">
        <v>5002</v>
      </c>
      <c r="J465" s="12" t="str">
        <f>VLOOKUP(I465,'Copy of Enriched Data - IPBES G'!$L$2:$L$229,1,false)</f>
        <v>#N/A</v>
      </c>
      <c r="L465" s="2" t="s">
        <v>5003</v>
      </c>
      <c r="M465" s="2" t="s">
        <v>1449</v>
      </c>
      <c r="N465" s="2" t="s">
        <v>1385</v>
      </c>
      <c r="O465" s="2" t="s">
        <v>1386</v>
      </c>
      <c r="AO465" s="2" t="s">
        <v>1368</v>
      </c>
    </row>
    <row r="466" ht="15.75" customHeight="1">
      <c r="A466" s="2" t="s">
        <v>5004</v>
      </c>
      <c r="B466" s="2" t="s">
        <v>1396</v>
      </c>
      <c r="C466" s="2">
        <v>2015.0</v>
      </c>
      <c r="D466" s="2" t="s">
        <v>5005</v>
      </c>
      <c r="E466" s="2" t="s">
        <v>440</v>
      </c>
      <c r="G466" s="2" t="s">
        <v>5006</v>
      </c>
      <c r="J466" s="12" t="str">
        <f>VLOOKUP(I466,'Copy of Enriched Data - IPBES G'!$L$2:$L$229,1,false)</f>
        <v>#N/A</v>
      </c>
      <c r="L466" s="2" t="s">
        <v>5007</v>
      </c>
      <c r="M466" s="2" t="s">
        <v>1373</v>
      </c>
      <c r="N466" s="2" t="s">
        <v>1385</v>
      </c>
      <c r="O466" s="2" t="s">
        <v>1386</v>
      </c>
      <c r="AO466" s="2" t="s">
        <v>1368</v>
      </c>
    </row>
    <row r="467" ht="15.75" customHeight="1">
      <c r="A467" s="2" t="s">
        <v>5015</v>
      </c>
      <c r="B467" s="2" t="s">
        <v>1361</v>
      </c>
      <c r="C467" s="2">
        <v>2017.0</v>
      </c>
      <c r="D467" s="2" t="s">
        <v>5016</v>
      </c>
      <c r="E467" s="2" t="s">
        <v>5017</v>
      </c>
      <c r="F467" s="2" t="s">
        <v>2480</v>
      </c>
      <c r="H467" s="2" t="s">
        <v>2481</v>
      </c>
      <c r="I467" s="2" t="s">
        <v>5018</v>
      </c>
      <c r="J467" s="12" t="str">
        <f>VLOOKUP(I467,'Copy of Enriched Data - IPBES G'!$L$2:$L$229,1,false)</f>
        <v>#N/A</v>
      </c>
      <c r="L467" s="2" t="s">
        <v>5017</v>
      </c>
      <c r="M467" s="2" t="s">
        <v>1658</v>
      </c>
      <c r="N467" s="2" t="s">
        <v>1385</v>
      </c>
      <c r="O467" s="2" t="s">
        <v>1386</v>
      </c>
      <c r="Q467" s="2" t="s">
        <v>5019</v>
      </c>
      <c r="S467" s="2" t="s">
        <v>5020</v>
      </c>
      <c r="T467" s="2">
        <v>7.0</v>
      </c>
      <c r="AO467" s="2" t="s">
        <v>1368</v>
      </c>
    </row>
    <row r="468" ht="15.75" customHeight="1">
      <c r="A468" s="2" t="s">
        <v>5021</v>
      </c>
      <c r="B468" s="2" t="s">
        <v>1361</v>
      </c>
      <c r="C468" s="2">
        <v>2002.0</v>
      </c>
      <c r="D468" s="2" t="s">
        <v>5022</v>
      </c>
      <c r="E468" s="2" t="s">
        <v>5023</v>
      </c>
      <c r="F468" s="2" t="s">
        <v>5024</v>
      </c>
      <c r="H468" s="2" t="s">
        <v>5025</v>
      </c>
      <c r="I468" s="2" t="s">
        <v>5026</v>
      </c>
      <c r="J468" s="12" t="str">
        <f>VLOOKUP(I468,'Copy of Enriched Data - IPBES G'!$L$2:$L$229,1,false)</f>
        <v>#N/A</v>
      </c>
      <c r="L468" s="2" t="s">
        <v>5027</v>
      </c>
      <c r="M468" s="2" t="s">
        <v>1493</v>
      </c>
      <c r="N468" s="2" t="s">
        <v>1385</v>
      </c>
      <c r="O468" s="2" t="s">
        <v>1386</v>
      </c>
      <c r="AO468" s="2" t="s">
        <v>1368</v>
      </c>
    </row>
    <row r="469" ht="15.75" customHeight="1">
      <c r="A469" s="2" t="s">
        <v>5028</v>
      </c>
      <c r="B469" s="2" t="s">
        <v>1361</v>
      </c>
      <c r="C469" s="2">
        <v>2007.0</v>
      </c>
      <c r="D469" s="2" t="s">
        <v>5029</v>
      </c>
      <c r="E469" s="2" t="s">
        <v>5030</v>
      </c>
      <c r="F469" s="2" t="s">
        <v>2216</v>
      </c>
      <c r="H469" s="2" t="s">
        <v>2217</v>
      </c>
      <c r="I469" s="2" t="s">
        <v>5031</v>
      </c>
      <c r="J469" s="12" t="str">
        <f>VLOOKUP(I469,'Copy of Enriched Data - IPBES G'!$L$2:$L$229,1,false)</f>
        <v>#N/A</v>
      </c>
      <c r="L469" s="2" t="s">
        <v>5032</v>
      </c>
      <c r="M469" s="2" t="s">
        <v>2380</v>
      </c>
      <c r="N469" s="2" t="s">
        <v>1385</v>
      </c>
      <c r="O469" s="2" t="s">
        <v>1386</v>
      </c>
      <c r="Q469" s="2" t="s">
        <v>5033</v>
      </c>
      <c r="S469" s="2" t="s">
        <v>1443</v>
      </c>
      <c r="T469" s="2">
        <v>9.0</v>
      </c>
      <c r="AO469" s="2" t="s">
        <v>1368</v>
      </c>
    </row>
    <row r="470" ht="15.75" customHeight="1">
      <c r="A470" s="2" t="s">
        <v>5034</v>
      </c>
      <c r="B470" s="2" t="s">
        <v>1766</v>
      </c>
      <c r="C470" s="2">
        <v>2014.0</v>
      </c>
      <c r="D470" s="2" t="s">
        <v>5035</v>
      </c>
      <c r="E470" s="2" t="s">
        <v>5036</v>
      </c>
      <c r="F470" s="2" t="s">
        <v>5037</v>
      </c>
      <c r="G470" s="2" t="s">
        <v>5038</v>
      </c>
      <c r="J470" s="12" t="str">
        <f>VLOOKUP(I470,'Copy of Enriched Data - IPBES G'!$L$2:$L$229,1,false)</f>
        <v>#N/A</v>
      </c>
      <c r="L470" s="2" t="s">
        <v>5039</v>
      </c>
      <c r="M470" s="2" t="s">
        <v>1476</v>
      </c>
      <c r="N470" s="2" t="s">
        <v>1385</v>
      </c>
      <c r="O470" s="2" t="s">
        <v>1386</v>
      </c>
      <c r="AB470" s="2" t="s">
        <v>5040</v>
      </c>
      <c r="AO470" s="2" t="s">
        <v>1368</v>
      </c>
      <c r="AQ470" s="2" t="s">
        <v>5041</v>
      </c>
    </row>
    <row r="471" ht="15.75" customHeight="1">
      <c r="A471" s="2" t="s">
        <v>5042</v>
      </c>
      <c r="B471" s="2" t="s">
        <v>1361</v>
      </c>
      <c r="C471" s="2">
        <v>2017.0</v>
      </c>
      <c r="D471" s="2" t="s">
        <v>5043</v>
      </c>
      <c r="E471" s="2" t="s">
        <v>5044</v>
      </c>
      <c r="F471" s="2" t="s">
        <v>1965</v>
      </c>
      <c r="I471" s="2" t="s">
        <v>5045</v>
      </c>
      <c r="J471" s="12" t="str">
        <f>VLOOKUP(I471,'Copy of Enriched Data - IPBES G'!$L$2:$L$229,1,false)</f>
        <v>#N/A</v>
      </c>
      <c r="L471" s="2" t="s">
        <v>5046</v>
      </c>
      <c r="M471" s="2" t="s">
        <v>1658</v>
      </c>
      <c r="N471" s="2" t="s">
        <v>1385</v>
      </c>
      <c r="O471" s="2" t="s">
        <v>1386</v>
      </c>
      <c r="Q471" s="2" t="s">
        <v>5047</v>
      </c>
      <c r="S471" s="2" t="s">
        <v>1937</v>
      </c>
      <c r="T471" s="2">
        <v>25.0</v>
      </c>
      <c r="AO471" s="2" t="s">
        <v>1368</v>
      </c>
    </row>
    <row r="472" ht="15.75" customHeight="1">
      <c r="A472" s="2" t="s">
        <v>5054</v>
      </c>
      <c r="B472" s="2" t="s">
        <v>1361</v>
      </c>
      <c r="C472" s="2">
        <v>2000.0</v>
      </c>
      <c r="D472" s="2" t="s">
        <v>5055</v>
      </c>
      <c r="E472" s="2" t="s">
        <v>5056</v>
      </c>
      <c r="F472" s="2" t="s">
        <v>3154</v>
      </c>
      <c r="H472" s="2" t="s">
        <v>1702</v>
      </c>
      <c r="I472" s="2" t="s">
        <v>5057</v>
      </c>
      <c r="J472" s="12" t="str">
        <f>VLOOKUP(I472,'Copy of Enriched Data - IPBES G'!$L$2:$L$229,1,false)</f>
        <v>#N/A</v>
      </c>
      <c r="M472" s="2" t="s">
        <v>2429</v>
      </c>
      <c r="N472" s="2" t="s">
        <v>1385</v>
      </c>
      <c r="O472" s="2" t="s">
        <v>1386</v>
      </c>
      <c r="Q472" s="2" t="s">
        <v>5058</v>
      </c>
      <c r="S472" s="2" t="s">
        <v>5059</v>
      </c>
      <c r="T472" s="2">
        <v>110.0</v>
      </c>
      <c r="AO472" s="2" t="s">
        <v>1368</v>
      </c>
    </row>
    <row r="473" ht="15.75" customHeight="1">
      <c r="A473" s="2" t="s">
        <v>5060</v>
      </c>
      <c r="B473" s="2" t="s">
        <v>1361</v>
      </c>
      <c r="C473" s="2">
        <v>2008.0</v>
      </c>
      <c r="D473" s="2" t="s">
        <v>5061</v>
      </c>
      <c r="E473" s="2" t="s">
        <v>5062</v>
      </c>
      <c r="F473" s="2" t="s">
        <v>5063</v>
      </c>
      <c r="H473" s="2" t="s">
        <v>5064</v>
      </c>
      <c r="I473" s="2" t="s">
        <v>5065</v>
      </c>
      <c r="J473" s="12" t="str">
        <f>VLOOKUP(I473,'Copy of Enriched Data - IPBES G'!$L$2:$L$229,1,false)</f>
        <v>#N/A</v>
      </c>
      <c r="L473" s="2" t="s">
        <v>5066</v>
      </c>
      <c r="M473" s="2" t="s">
        <v>1458</v>
      </c>
      <c r="N473" s="2" t="s">
        <v>1385</v>
      </c>
      <c r="O473" s="2" t="s">
        <v>1386</v>
      </c>
      <c r="AO473" s="2" t="s">
        <v>1368</v>
      </c>
    </row>
    <row r="474" ht="15.75" customHeight="1">
      <c r="A474" s="2" t="s">
        <v>5067</v>
      </c>
      <c r="B474" s="2" t="s">
        <v>1781</v>
      </c>
      <c r="C474" s="2">
        <v>2011.0</v>
      </c>
      <c r="D474" s="2" t="s">
        <v>5068</v>
      </c>
      <c r="E474" s="2" t="s">
        <v>5069</v>
      </c>
      <c r="J474" s="12" t="str">
        <f>VLOOKUP(I474,'Copy of Enriched Data - IPBES G'!$L$2:$L$229,1,false)</f>
        <v>#N/A</v>
      </c>
      <c r="M474" s="2" t="s">
        <v>1627</v>
      </c>
      <c r="N474" s="2" t="s">
        <v>1385</v>
      </c>
      <c r="O474" s="2" t="s">
        <v>1386</v>
      </c>
      <c r="AC474" s="2" t="s">
        <v>5070</v>
      </c>
      <c r="AO474" s="2" t="s">
        <v>1368</v>
      </c>
    </row>
    <row r="475" ht="15.75" customHeight="1">
      <c r="A475" s="2" t="s">
        <v>5071</v>
      </c>
      <c r="B475" s="2" t="s">
        <v>1396</v>
      </c>
      <c r="C475" s="2">
        <v>2017.0</v>
      </c>
      <c r="D475" s="2" t="s">
        <v>5072</v>
      </c>
      <c r="E475" s="2" t="s">
        <v>5073</v>
      </c>
      <c r="J475" s="12" t="str">
        <f>VLOOKUP(I475,'Copy of Enriched Data - IPBES G'!$L$2:$L$229,1,false)</f>
        <v>#N/A</v>
      </c>
      <c r="M475" s="2" t="s">
        <v>1658</v>
      </c>
      <c r="N475" s="2" t="s">
        <v>1385</v>
      </c>
      <c r="O475" s="2" t="s">
        <v>1386</v>
      </c>
      <c r="AO475" s="2" t="s">
        <v>1368</v>
      </c>
    </row>
    <row r="476" ht="15.75" customHeight="1">
      <c r="A476" s="2" t="s">
        <v>5074</v>
      </c>
      <c r="B476" s="2" t="s">
        <v>1361</v>
      </c>
      <c r="C476" s="2">
        <v>2012.0</v>
      </c>
      <c r="D476" s="2" t="s">
        <v>5075</v>
      </c>
      <c r="E476" s="2" t="s">
        <v>5076</v>
      </c>
      <c r="F476" s="2" t="s">
        <v>5077</v>
      </c>
      <c r="H476" s="2" t="s">
        <v>5078</v>
      </c>
      <c r="I476" s="2" t="s">
        <v>5079</v>
      </c>
      <c r="J476" s="12" t="str">
        <f>VLOOKUP(I476,'Copy of Enriched Data - IPBES G'!$L$2:$L$229,1,false)</f>
        <v>#N/A</v>
      </c>
      <c r="L476" s="2" t="s">
        <v>5080</v>
      </c>
      <c r="M476" s="2" t="s">
        <v>1405</v>
      </c>
      <c r="N476" s="2" t="s">
        <v>1385</v>
      </c>
      <c r="O476" s="2" t="s">
        <v>1386</v>
      </c>
      <c r="AO476" s="2" t="s">
        <v>1368</v>
      </c>
    </row>
    <row r="477" ht="15.75" customHeight="1">
      <c r="A477" s="2" t="s">
        <v>5081</v>
      </c>
      <c r="B477" s="2" t="s">
        <v>1396</v>
      </c>
      <c r="C477" s="2">
        <v>1985.0</v>
      </c>
      <c r="D477" s="2" t="s">
        <v>5082</v>
      </c>
      <c r="E477" s="2" t="s">
        <v>5083</v>
      </c>
      <c r="J477" s="12" t="str">
        <f>VLOOKUP(I477,'Copy of Enriched Data - IPBES G'!$L$2:$L$229,1,false)</f>
        <v>#N/A</v>
      </c>
      <c r="M477" s="2" t="s">
        <v>1820</v>
      </c>
      <c r="N477" s="2" t="s">
        <v>1385</v>
      </c>
      <c r="O477" s="2" t="s">
        <v>1386</v>
      </c>
      <c r="X477" s="2" t="s">
        <v>5083</v>
      </c>
      <c r="Y477" s="2" t="s">
        <v>5084</v>
      </c>
      <c r="AB477" s="2" t="s">
        <v>5085</v>
      </c>
      <c r="AO477" s="2" t="s">
        <v>1368</v>
      </c>
    </row>
    <row r="478" ht="15.75" customHeight="1">
      <c r="A478" s="2" t="s">
        <v>5086</v>
      </c>
      <c r="B478" s="2" t="s">
        <v>1361</v>
      </c>
      <c r="C478" s="2">
        <v>2007.0</v>
      </c>
      <c r="D478" s="2" t="s">
        <v>5087</v>
      </c>
      <c r="E478" s="2" t="s">
        <v>5088</v>
      </c>
      <c r="I478" s="2" t="s">
        <v>5089</v>
      </c>
      <c r="J478" s="12" t="str">
        <f>VLOOKUP(I478,'Copy of Enriched Data - IPBES G'!$L$2:$L$229,1,false)</f>
        <v>#N/A</v>
      </c>
      <c r="M478" s="2" t="s">
        <v>2380</v>
      </c>
      <c r="N478" s="2" t="s">
        <v>1385</v>
      </c>
      <c r="O478" s="2" t="s">
        <v>1386</v>
      </c>
      <c r="Q478" s="2" t="s">
        <v>5090</v>
      </c>
      <c r="T478" s="2">
        <v>17.0</v>
      </c>
      <c r="AO478" s="2" t="s">
        <v>1368</v>
      </c>
    </row>
    <row r="479" ht="15.75" customHeight="1">
      <c r="A479" s="2" t="s">
        <v>5091</v>
      </c>
      <c r="B479" s="2" t="s">
        <v>1361</v>
      </c>
      <c r="C479" s="2">
        <v>2014.0</v>
      </c>
      <c r="D479" s="2" t="s">
        <v>5092</v>
      </c>
      <c r="E479" s="2" t="s">
        <v>5093</v>
      </c>
      <c r="F479" s="2" t="s">
        <v>5094</v>
      </c>
      <c r="H479" s="2" t="s">
        <v>5095</v>
      </c>
      <c r="I479" s="2" t="s">
        <v>5096</v>
      </c>
      <c r="J479" s="12" t="str">
        <f>VLOOKUP(I479,'Copy of Enriched Data - IPBES G'!$L$2:$L$229,1,false)</f>
        <v>#N/A</v>
      </c>
      <c r="L479" s="2" t="s">
        <v>5097</v>
      </c>
      <c r="M479" s="2" t="s">
        <v>1476</v>
      </c>
      <c r="N479" s="2" t="s">
        <v>1385</v>
      </c>
      <c r="O479" s="2" t="s">
        <v>1386</v>
      </c>
      <c r="AO479" s="2" t="s">
        <v>1368</v>
      </c>
    </row>
    <row r="480" ht="15.75" customHeight="1">
      <c r="A480" s="2" t="s">
        <v>5098</v>
      </c>
      <c r="B480" s="2" t="s">
        <v>1361</v>
      </c>
      <c r="C480" s="2">
        <v>2011.0</v>
      </c>
      <c r="D480" s="2" t="s">
        <v>5099</v>
      </c>
      <c r="E480" s="2" t="s">
        <v>5100</v>
      </c>
      <c r="F480" s="2" t="s">
        <v>3295</v>
      </c>
      <c r="H480" s="2" t="s">
        <v>5101</v>
      </c>
      <c r="I480" s="2" t="s">
        <v>5102</v>
      </c>
      <c r="J480" s="12" t="str">
        <f>VLOOKUP(I480,'Copy of Enriched Data - IPBES G'!$L$2:$L$229,1,false)</f>
        <v>#N/A</v>
      </c>
      <c r="L480" s="2" t="s">
        <v>5103</v>
      </c>
      <c r="M480" s="2" t="s">
        <v>5104</v>
      </c>
      <c r="N480" s="2" t="s">
        <v>1385</v>
      </c>
      <c r="O480" s="2" t="s">
        <v>1386</v>
      </c>
      <c r="Q480" s="2" t="s">
        <v>5105</v>
      </c>
      <c r="S480" s="2" t="s">
        <v>1600</v>
      </c>
      <c r="T480" s="2">
        <v>4.0</v>
      </c>
      <c r="AO480" s="2" t="s">
        <v>1368</v>
      </c>
    </row>
    <row r="481" ht="15.75" customHeight="1">
      <c r="A481" s="2" t="s">
        <v>5106</v>
      </c>
      <c r="B481" s="2" t="s">
        <v>1361</v>
      </c>
      <c r="C481" s="2">
        <v>2015.0</v>
      </c>
      <c r="D481" s="2" t="s">
        <v>5107</v>
      </c>
      <c r="E481" s="2" t="s">
        <v>5108</v>
      </c>
      <c r="F481" s="2" t="s">
        <v>1510</v>
      </c>
      <c r="H481" s="2" t="s">
        <v>1511</v>
      </c>
      <c r="I481" s="2" t="s">
        <v>5109</v>
      </c>
      <c r="J481" s="12" t="str">
        <f>VLOOKUP(I481,'Copy of Enriched Data - IPBES G'!$L$2:$L$229,1,false)</f>
        <v>#N/A</v>
      </c>
      <c r="K481" s="2" t="s">
        <v>5110</v>
      </c>
      <c r="M481" s="2" t="s">
        <v>1373</v>
      </c>
      <c r="N481" s="2" t="s">
        <v>1385</v>
      </c>
      <c r="O481" s="2" t="s">
        <v>1386</v>
      </c>
      <c r="Q481" s="2" t="s">
        <v>5111</v>
      </c>
      <c r="S481" s="2" t="s">
        <v>5112</v>
      </c>
      <c r="T481" s="2">
        <v>349.0</v>
      </c>
      <c r="AO481" s="2" t="s">
        <v>1368</v>
      </c>
    </row>
    <row r="482" ht="15.75" customHeight="1">
      <c r="A482" s="2" t="s">
        <v>5113</v>
      </c>
      <c r="B482" s="2" t="s">
        <v>1396</v>
      </c>
      <c r="C482" s="2">
        <v>2008.0</v>
      </c>
      <c r="D482" s="2" t="s">
        <v>5114</v>
      </c>
      <c r="E482" s="2" t="s">
        <v>5115</v>
      </c>
      <c r="J482" s="12" t="str">
        <f>VLOOKUP(I482,'Copy of Enriched Data - IPBES G'!$L$2:$L$229,1,false)</f>
        <v>#N/A</v>
      </c>
      <c r="M482" s="2" t="s">
        <v>1458</v>
      </c>
      <c r="N482" s="2" t="s">
        <v>1385</v>
      </c>
      <c r="O482" s="2" t="s">
        <v>1386</v>
      </c>
      <c r="AB482" s="2" t="s">
        <v>5116</v>
      </c>
      <c r="AO482" s="2" t="s">
        <v>1368</v>
      </c>
    </row>
    <row r="483" ht="15.75" customHeight="1">
      <c r="A483" s="2" t="s">
        <v>5117</v>
      </c>
      <c r="B483" s="2" t="s">
        <v>1361</v>
      </c>
      <c r="C483" s="2">
        <v>2005.0</v>
      </c>
      <c r="D483" s="2" t="s">
        <v>5118</v>
      </c>
      <c r="E483" s="2" t="s">
        <v>5119</v>
      </c>
      <c r="I483" s="2" t="s">
        <v>5120</v>
      </c>
      <c r="J483" s="12" t="str">
        <f>VLOOKUP(I483,'Copy of Enriched Data - IPBES G'!$L$2:$L$229,1,false)</f>
        <v>#N/A</v>
      </c>
      <c r="M483" s="2" t="s">
        <v>1394</v>
      </c>
      <c r="N483" s="2" t="s">
        <v>1385</v>
      </c>
      <c r="O483" s="2" t="s">
        <v>1386</v>
      </c>
      <c r="Q483" s="2" t="s">
        <v>5121</v>
      </c>
      <c r="T483" s="2">
        <v>25.0</v>
      </c>
      <c r="AO483" s="2" t="s">
        <v>1368</v>
      </c>
    </row>
    <row r="484" ht="15.75" customHeight="1">
      <c r="A484" s="2" t="s">
        <v>5122</v>
      </c>
      <c r="B484" s="2" t="s">
        <v>1396</v>
      </c>
      <c r="C484" s="2">
        <v>2002.0</v>
      </c>
      <c r="D484" s="2" t="s">
        <v>5123</v>
      </c>
      <c r="E484" s="2" t="s">
        <v>5124</v>
      </c>
      <c r="J484" s="12" t="str">
        <f>VLOOKUP(I484,'Copy of Enriched Data - IPBES G'!$L$2:$L$229,1,false)</f>
        <v>#N/A</v>
      </c>
      <c r="M484" s="2" t="s">
        <v>1493</v>
      </c>
      <c r="N484" s="2" t="s">
        <v>1385</v>
      </c>
      <c r="O484" s="2" t="s">
        <v>1386</v>
      </c>
      <c r="AB484" s="2" t="s">
        <v>5125</v>
      </c>
      <c r="AO484" s="2" t="s">
        <v>1368</v>
      </c>
    </row>
    <row r="485" ht="15.75" customHeight="1">
      <c r="A485" s="2" t="s">
        <v>5126</v>
      </c>
      <c r="B485" s="2" t="s">
        <v>1361</v>
      </c>
      <c r="C485" s="2">
        <v>1999.0</v>
      </c>
      <c r="D485" s="2" t="s">
        <v>5127</v>
      </c>
      <c r="E485" s="2" t="s">
        <v>5128</v>
      </c>
      <c r="F485" s="2" t="s">
        <v>5129</v>
      </c>
      <c r="H485" s="2" t="s">
        <v>5130</v>
      </c>
      <c r="I485" s="2" t="s">
        <v>5131</v>
      </c>
      <c r="J485" s="12" t="str">
        <f>VLOOKUP(I485,'Copy of Enriched Data - IPBES G'!$L$2:$L$229,1,false)</f>
        <v>#N/A</v>
      </c>
      <c r="L485" s="2" t="s">
        <v>5132</v>
      </c>
      <c r="M485" s="2" t="s">
        <v>1434</v>
      </c>
      <c r="N485" s="2" t="s">
        <v>1385</v>
      </c>
      <c r="O485" s="2" t="s">
        <v>1386</v>
      </c>
      <c r="AO485" s="2" t="s">
        <v>1368</v>
      </c>
    </row>
    <row r="486" ht="15.75" customHeight="1">
      <c r="A486" s="2" t="s">
        <v>5133</v>
      </c>
      <c r="B486" s="2" t="s">
        <v>1361</v>
      </c>
      <c r="C486" s="2">
        <v>2007.0</v>
      </c>
      <c r="D486" s="2" t="s">
        <v>5134</v>
      </c>
      <c r="E486" s="2" t="s">
        <v>5135</v>
      </c>
      <c r="F486" s="2" t="s">
        <v>5136</v>
      </c>
      <c r="H486" s="2" t="s">
        <v>5137</v>
      </c>
      <c r="I486" s="2" t="s">
        <v>5138</v>
      </c>
      <c r="J486" s="12" t="str">
        <f>VLOOKUP(I486,'Copy of Enriched Data - IPBES G'!$L$2:$L$229,1,false)</f>
        <v>#N/A</v>
      </c>
      <c r="L486" s="2" t="s">
        <v>5139</v>
      </c>
      <c r="M486" s="2" t="s">
        <v>2380</v>
      </c>
      <c r="N486" s="2" t="s">
        <v>1385</v>
      </c>
      <c r="O486" s="2" t="s">
        <v>1386</v>
      </c>
      <c r="AO486" s="2" t="s">
        <v>1368</v>
      </c>
    </row>
    <row r="487" ht="15.75" customHeight="1">
      <c r="A487" s="2" t="s">
        <v>5151</v>
      </c>
      <c r="B487" s="2" t="s">
        <v>1396</v>
      </c>
      <c r="C487" s="2">
        <v>2005.0</v>
      </c>
      <c r="D487" s="2" t="s">
        <v>5152</v>
      </c>
      <c r="E487" s="2" t="s">
        <v>5153</v>
      </c>
      <c r="J487" s="12" t="str">
        <f>VLOOKUP(I487,'Copy of Enriched Data - IPBES G'!$L$2:$L$229,1,false)</f>
        <v>#N/A</v>
      </c>
      <c r="M487" s="2" t="s">
        <v>1394</v>
      </c>
      <c r="N487" s="2" t="s">
        <v>1385</v>
      </c>
      <c r="O487" s="2" t="s">
        <v>1386</v>
      </c>
      <c r="AB487" s="2" t="s">
        <v>5154</v>
      </c>
      <c r="AC487" s="2" t="s">
        <v>4883</v>
      </c>
      <c r="AO487" s="2" t="s">
        <v>1368</v>
      </c>
    </row>
    <row r="488" ht="15.75" customHeight="1">
      <c r="A488" s="2" t="s">
        <v>5155</v>
      </c>
      <c r="B488" s="2" t="s">
        <v>1396</v>
      </c>
      <c r="C488" s="2">
        <v>2017.0</v>
      </c>
      <c r="D488" s="2" t="s">
        <v>5156</v>
      </c>
      <c r="E488" s="2" t="s">
        <v>5157</v>
      </c>
      <c r="J488" s="12" t="str">
        <f>VLOOKUP(I488,'Copy of Enriched Data - IPBES G'!$L$2:$L$229,1,false)</f>
        <v>#N/A</v>
      </c>
      <c r="M488" s="2" t="s">
        <v>1658</v>
      </c>
      <c r="N488" s="2" t="s">
        <v>1385</v>
      </c>
      <c r="O488" s="2" t="s">
        <v>1386</v>
      </c>
      <c r="AO488" s="2" t="s">
        <v>1368</v>
      </c>
    </row>
    <row r="489" ht="15.75" customHeight="1">
      <c r="A489" s="2" t="s">
        <v>5158</v>
      </c>
      <c r="B489" s="2" t="s">
        <v>1361</v>
      </c>
      <c r="C489" s="2">
        <v>1989.0</v>
      </c>
      <c r="D489" s="2" t="s">
        <v>5159</v>
      </c>
      <c r="E489" s="2" t="s">
        <v>5160</v>
      </c>
      <c r="J489" s="12" t="str">
        <f>VLOOKUP(I489,'Copy of Enriched Data - IPBES G'!$L$2:$L$229,1,false)</f>
        <v>#N/A</v>
      </c>
      <c r="M489" s="2" t="s">
        <v>2701</v>
      </c>
      <c r="N489" s="2" t="s">
        <v>1385</v>
      </c>
      <c r="O489" s="2" t="s">
        <v>1386</v>
      </c>
      <c r="AO489" s="2" t="s">
        <v>1368</v>
      </c>
    </row>
    <row r="490" ht="15.75" customHeight="1">
      <c r="A490" s="2" t="s">
        <v>5161</v>
      </c>
      <c r="B490" s="2" t="s">
        <v>1396</v>
      </c>
      <c r="C490" s="2">
        <v>2017.0</v>
      </c>
      <c r="D490" s="2" t="s">
        <v>5162</v>
      </c>
      <c r="E490" s="2" t="s">
        <v>5163</v>
      </c>
      <c r="J490" s="12" t="str">
        <f>VLOOKUP(I490,'Copy of Enriched Data - IPBES G'!$L$2:$L$229,1,false)</f>
        <v>#N/A</v>
      </c>
      <c r="M490" s="2" t="s">
        <v>1658</v>
      </c>
      <c r="N490" s="2" t="s">
        <v>1385</v>
      </c>
      <c r="O490" s="2" t="s">
        <v>1386</v>
      </c>
      <c r="AO490" s="2" t="s">
        <v>1368</v>
      </c>
      <c r="AQ490" s="2" t="s">
        <v>5164</v>
      </c>
      <c r="AR490" s="2" t="s">
        <v>5165</v>
      </c>
    </row>
    <row r="491" ht="15.75" customHeight="1">
      <c r="A491" s="2" t="s">
        <v>5166</v>
      </c>
      <c r="B491" s="2" t="s">
        <v>1361</v>
      </c>
      <c r="C491" s="2">
        <v>2016.0</v>
      </c>
      <c r="D491" s="2" t="s">
        <v>5152</v>
      </c>
      <c r="E491" s="2" t="s">
        <v>5167</v>
      </c>
      <c r="F491" s="2" t="s">
        <v>4830</v>
      </c>
      <c r="J491" s="12" t="str">
        <f>VLOOKUP(I491,'Copy of Enriched Data - IPBES G'!$L$2:$L$229,1,false)</f>
        <v>#N/A</v>
      </c>
      <c r="L491" s="2" t="s">
        <v>5168</v>
      </c>
      <c r="M491" s="2" t="s">
        <v>1502</v>
      </c>
      <c r="N491" s="2" t="s">
        <v>1385</v>
      </c>
      <c r="O491" s="2" t="s">
        <v>1386</v>
      </c>
      <c r="AO491" s="2" t="s">
        <v>1368</v>
      </c>
    </row>
    <row r="492" ht="15.75" customHeight="1">
      <c r="A492" s="2" t="s">
        <v>5169</v>
      </c>
      <c r="B492" s="2" t="s">
        <v>1361</v>
      </c>
      <c r="C492" s="2">
        <v>2011.0</v>
      </c>
      <c r="D492" s="2" t="s">
        <v>5170</v>
      </c>
      <c r="E492" s="2" t="s">
        <v>5171</v>
      </c>
      <c r="F492" s="2" t="s">
        <v>1587</v>
      </c>
      <c r="H492" s="2" t="s">
        <v>3516</v>
      </c>
      <c r="I492" s="2" t="s">
        <v>5172</v>
      </c>
      <c r="J492" s="12" t="str">
        <f>VLOOKUP(I492,'Copy of Enriched Data - IPBES G'!$L$2:$L$229,1,false)</f>
        <v>#N/A</v>
      </c>
      <c r="L492" s="2" t="s">
        <v>5173</v>
      </c>
      <c r="M492" s="2" t="s">
        <v>1627</v>
      </c>
      <c r="N492" s="2" t="s">
        <v>1385</v>
      </c>
      <c r="O492" s="2" t="s">
        <v>1386</v>
      </c>
      <c r="Q492" s="2" t="s">
        <v>5174</v>
      </c>
      <c r="S492" s="2" t="s">
        <v>1937</v>
      </c>
      <c r="T492" s="2">
        <v>25.0</v>
      </c>
      <c r="AO492" s="2" t="s">
        <v>1368</v>
      </c>
    </row>
    <row r="493" ht="15.75" customHeight="1">
      <c r="A493" s="2" t="s">
        <v>5175</v>
      </c>
      <c r="B493" s="2" t="s">
        <v>1361</v>
      </c>
      <c r="C493" s="2">
        <v>2011.0</v>
      </c>
      <c r="D493" s="2" t="s">
        <v>5176</v>
      </c>
      <c r="E493" s="2" t="s">
        <v>5177</v>
      </c>
      <c r="F493" s="2" t="s">
        <v>5178</v>
      </c>
      <c r="H493" s="2" t="s">
        <v>5179</v>
      </c>
      <c r="I493" s="2" t="s">
        <v>5180</v>
      </c>
      <c r="J493" s="12" t="str">
        <f>VLOOKUP(I493,'Copy of Enriched Data - IPBES G'!$L$2:$L$229,1,false)</f>
        <v>#N/A</v>
      </c>
      <c r="K493" s="2" t="s">
        <v>5181</v>
      </c>
      <c r="L493" s="2" t="s">
        <v>5182</v>
      </c>
      <c r="M493" s="2" t="s">
        <v>1627</v>
      </c>
      <c r="N493" s="2" t="s">
        <v>1385</v>
      </c>
      <c r="O493" s="2" t="s">
        <v>1386</v>
      </c>
      <c r="Q493" s="2" t="s">
        <v>5183</v>
      </c>
      <c r="S493" s="2" t="s">
        <v>1506</v>
      </c>
      <c r="T493" s="2">
        <v>56.0</v>
      </c>
      <c r="AO493" s="2" t="s">
        <v>1368</v>
      </c>
    </row>
    <row r="494" ht="15.75" customHeight="1">
      <c r="A494" s="2" t="s">
        <v>5193</v>
      </c>
      <c r="B494" s="2" t="s">
        <v>1396</v>
      </c>
      <c r="C494" s="2">
        <v>2018.0</v>
      </c>
      <c r="D494" s="2" t="s">
        <v>5194</v>
      </c>
      <c r="E494" s="2" t="s">
        <v>5195</v>
      </c>
      <c r="J494" s="12" t="str">
        <f>VLOOKUP(I494,'Copy of Enriched Data - IPBES G'!$L$2:$L$229,1,false)</f>
        <v>#N/A</v>
      </c>
      <c r="M494" s="2" t="s">
        <v>1420</v>
      </c>
      <c r="N494" s="2" t="s">
        <v>1385</v>
      </c>
      <c r="O494" s="2" t="s">
        <v>1386</v>
      </c>
      <c r="AO494" s="2" t="s">
        <v>1368</v>
      </c>
      <c r="AQ494" s="2" t="s">
        <v>5194</v>
      </c>
      <c r="AR494" s="2" t="s">
        <v>5196</v>
      </c>
    </row>
    <row r="495" ht="15.75" customHeight="1">
      <c r="A495" s="2" t="s">
        <v>5197</v>
      </c>
      <c r="B495" s="2" t="s">
        <v>1361</v>
      </c>
      <c r="C495" s="2">
        <v>2017.0</v>
      </c>
      <c r="D495" s="2" t="s">
        <v>5198</v>
      </c>
      <c r="E495" s="2" t="s">
        <v>5199</v>
      </c>
      <c r="F495" s="2" t="s">
        <v>1380</v>
      </c>
      <c r="H495" s="2" t="s">
        <v>1381</v>
      </c>
      <c r="I495" s="2" t="s">
        <v>5200</v>
      </c>
      <c r="J495" s="12" t="str">
        <f>VLOOKUP(I495,'Copy of Enriched Data - IPBES G'!$L$2:$L$229,1,false)</f>
        <v>#N/A</v>
      </c>
      <c r="K495" s="2" t="s">
        <v>5201</v>
      </c>
      <c r="M495" s="2" t="s">
        <v>5202</v>
      </c>
      <c r="N495" s="2" t="s">
        <v>1385</v>
      </c>
      <c r="O495" s="2" t="s">
        <v>1386</v>
      </c>
      <c r="Q495" s="2" t="s">
        <v>5203</v>
      </c>
      <c r="S495" s="2" t="s">
        <v>5204</v>
      </c>
      <c r="T495" s="2">
        <v>544.0</v>
      </c>
      <c r="AO495" s="2" t="s">
        <v>1368</v>
      </c>
    </row>
    <row r="496" ht="15.75" customHeight="1">
      <c r="A496" s="2" t="s">
        <v>5205</v>
      </c>
      <c r="B496" s="2" t="s">
        <v>1361</v>
      </c>
      <c r="C496" s="2">
        <v>2011.0</v>
      </c>
      <c r="D496" s="2" t="s">
        <v>5206</v>
      </c>
      <c r="E496" s="2" t="s">
        <v>5207</v>
      </c>
      <c r="F496" s="2" t="s">
        <v>1380</v>
      </c>
      <c r="H496" s="2" t="s">
        <v>1381</v>
      </c>
      <c r="I496" s="2" t="s">
        <v>5208</v>
      </c>
      <c r="J496" s="12" t="str">
        <f>VLOOKUP(I496,'Copy of Enriched Data - IPBES G'!$L$2:$L$229,1,false)</f>
        <v>#N/A</v>
      </c>
      <c r="L496" s="2" t="s">
        <v>5209</v>
      </c>
      <c r="M496" s="2" t="s">
        <v>1627</v>
      </c>
      <c r="N496" s="2" t="s">
        <v>1385</v>
      </c>
      <c r="O496" s="2" t="s">
        <v>1386</v>
      </c>
      <c r="AO496" s="2" t="s">
        <v>1368</v>
      </c>
    </row>
    <row r="497" ht="15.75" customHeight="1">
      <c r="A497" s="2" t="s">
        <v>5210</v>
      </c>
      <c r="B497" s="2" t="s">
        <v>1781</v>
      </c>
      <c r="C497" s="2">
        <v>2014.0</v>
      </c>
      <c r="D497" s="2" t="s">
        <v>5211</v>
      </c>
      <c r="E497" s="2" t="s">
        <v>5212</v>
      </c>
      <c r="J497" s="12" t="str">
        <f>VLOOKUP(I497,'Copy of Enriched Data - IPBES G'!$L$2:$L$229,1,false)</f>
        <v>#N/A</v>
      </c>
      <c r="M497" s="2" t="s">
        <v>1476</v>
      </c>
      <c r="N497" s="2" t="s">
        <v>1385</v>
      </c>
      <c r="O497" s="2" t="s">
        <v>1386</v>
      </c>
      <c r="AO497" s="2" t="s">
        <v>1368</v>
      </c>
    </row>
    <row r="498" ht="15.75" customHeight="1">
      <c r="A498" s="2" t="s">
        <v>5213</v>
      </c>
      <c r="B498" s="2" t="s">
        <v>1361</v>
      </c>
      <c r="C498" s="2">
        <v>2015.0</v>
      </c>
      <c r="D498" s="2" t="s">
        <v>5214</v>
      </c>
      <c r="E498" s="2" t="s">
        <v>5215</v>
      </c>
      <c r="F498" s="2" t="s">
        <v>5216</v>
      </c>
      <c r="I498" s="2" t="s">
        <v>5217</v>
      </c>
      <c r="J498" s="12" t="str">
        <f>VLOOKUP(I498,'Copy of Enriched Data - IPBES G'!$L$2:$L$229,1,false)</f>
        <v>#N/A</v>
      </c>
      <c r="L498" s="2" t="s">
        <v>5218</v>
      </c>
      <c r="M498" s="2" t="s">
        <v>1373</v>
      </c>
      <c r="N498" s="2" t="s">
        <v>1385</v>
      </c>
      <c r="O498" s="2" t="s">
        <v>1386</v>
      </c>
      <c r="AO498" s="2" t="s">
        <v>1368</v>
      </c>
    </row>
    <row r="499" ht="15.75" customHeight="1">
      <c r="A499" s="2" t="s">
        <v>5219</v>
      </c>
      <c r="B499" s="2" t="s">
        <v>1396</v>
      </c>
      <c r="C499" s="2">
        <v>1994.0</v>
      </c>
      <c r="D499" s="2" t="s">
        <v>5220</v>
      </c>
      <c r="E499" s="2" t="s">
        <v>5221</v>
      </c>
      <c r="G499" s="2" t="s">
        <v>5222</v>
      </c>
      <c r="J499" s="12" t="str">
        <f>VLOOKUP(I499,'Copy of Enriched Data - IPBES G'!$L$2:$L$229,1,false)</f>
        <v>#N/A</v>
      </c>
      <c r="M499" s="2" t="s">
        <v>2327</v>
      </c>
      <c r="N499" s="2" t="s">
        <v>1385</v>
      </c>
      <c r="O499" s="2" t="s">
        <v>1386</v>
      </c>
      <c r="R499" s="2">
        <v>284.0</v>
      </c>
      <c r="AB499" s="2" t="s">
        <v>2441</v>
      </c>
      <c r="AC499" s="2" t="s">
        <v>2146</v>
      </c>
      <c r="AO499" s="2" t="s">
        <v>1368</v>
      </c>
    </row>
    <row r="500" ht="15.75" customHeight="1">
      <c r="A500" s="2" t="s">
        <v>5223</v>
      </c>
      <c r="B500" s="2" t="s">
        <v>1361</v>
      </c>
      <c r="C500" s="2">
        <v>1993.0</v>
      </c>
      <c r="D500" s="2" t="s">
        <v>5224</v>
      </c>
      <c r="E500" s="2" t="s">
        <v>5225</v>
      </c>
      <c r="F500" s="2" t="s">
        <v>1715</v>
      </c>
      <c r="H500" s="2" t="s">
        <v>1716</v>
      </c>
      <c r="I500" s="2" t="s">
        <v>5226</v>
      </c>
      <c r="J500" s="12" t="str">
        <f>VLOOKUP(I500,'Copy of Enriched Data - IPBES G'!$L$2:$L$229,1,false)</f>
        <v>#N/A</v>
      </c>
      <c r="L500" s="2" t="s">
        <v>5227</v>
      </c>
      <c r="M500" s="2" t="s">
        <v>5228</v>
      </c>
      <c r="N500" s="2" t="s">
        <v>1385</v>
      </c>
      <c r="O500" s="2" t="s">
        <v>1386</v>
      </c>
      <c r="Q500" s="2" t="s">
        <v>5229</v>
      </c>
      <c r="S500" s="2" t="s">
        <v>1453</v>
      </c>
      <c r="T500" s="2">
        <v>41.0</v>
      </c>
      <c r="AO500" s="2" t="s">
        <v>1368</v>
      </c>
    </row>
    <row r="501" ht="15.75" customHeight="1">
      <c r="A501" s="2" t="s">
        <v>5230</v>
      </c>
      <c r="B501" s="2" t="s">
        <v>1361</v>
      </c>
      <c r="C501" s="2">
        <v>2003.0</v>
      </c>
      <c r="D501" s="2" t="s">
        <v>5231</v>
      </c>
      <c r="E501" s="2" t="s">
        <v>5232</v>
      </c>
      <c r="F501" s="2" t="s">
        <v>5233</v>
      </c>
      <c r="I501" s="2" t="s">
        <v>5234</v>
      </c>
      <c r="J501" s="12" t="str">
        <f>VLOOKUP(I501,'Copy of Enriched Data - IPBES G'!$L$2:$L$229,1,false)</f>
        <v>#N/A</v>
      </c>
      <c r="K501" s="2" t="s">
        <v>5235</v>
      </c>
      <c r="M501" s="2">
        <v>2003.0</v>
      </c>
      <c r="N501" s="2" t="s">
        <v>5236</v>
      </c>
      <c r="O501" s="2" t="s">
        <v>5237</v>
      </c>
      <c r="Q501" s="2" t="s">
        <v>5238</v>
      </c>
      <c r="S501" s="2">
        <v>4.0</v>
      </c>
      <c r="T501" s="2">
        <v>79.0</v>
      </c>
      <c r="AO501" s="2" t="s">
        <v>1609</v>
      </c>
    </row>
    <row r="502" ht="15.75" customHeight="1">
      <c r="A502" s="2" t="s">
        <v>5239</v>
      </c>
      <c r="B502" s="2" t="s">
        <v>1361</v>
      </c>
      <c r="C502" s="2">
        <v>2003.0</v>
      </c>
      <c r="D502" s="2" t="s">
        <v>5240</v>
      </c>
      <c r="E502" s="2" t="s">
        <v>5241</v>
      </c>
      <c r="F502" s="2" t="s">
        <v>5242</v>
      </c>
      <c r="J502" s="12" t="str">
        <f>VLOOKUP(I502,'Copy of Enriched Data - IPBES G'!$L$2:$L$229,1,false)</f>
        <v>#N/A</v>
      </c>
      <c r="K502" s="2" t="s">
        <v>5243</v>
      </c>
      <c r="L502" s="2" t="s">
        <v>5244</v>
      </c>
      <c r="M502" s="2">
        <v>2003.0</v>
      </c>
      <c r="N502" s="2" t="s">
        <v>5245</v>
      </c>
      <c r="O502" s="2" t="s">
        <v>5246</v>
      </c>
      <c r="Q502" s="2" t="s">
        <v>2629</v>
      </c>
      <c r="S502" s="2">
        <v>708.0</v>
      </c>
      <c r="T502" s="2">
        <v>708.0</v>
      </c>
      <c r="AO502" s="2" t="s">
        <v>1368</v>
      </c>
    </row>
    <row r="503" ht="15.75" customHeight="1">
      <c r="A503" s="2" t="s">
        <v>5247</v>
      </c>
      <c r="B503" s="2" t="s">
        <v>1361</v>
      </c>
      <c r="C503" s="2">
        <v>1992.0</v>
      </c>
      <c r="D503" s="2" t="s">
        <v>5248</v>
      </c>
      <c r="E503" s="2" t="s">
        <v>5249</v>
      </c>
      <c r="F503" s="2" t="s">
        <v>5250</v>
      </c>
      <c r="I503" s="2" t="s">
        <v>5251</v>
      </c>
      <c r="J503" s="12" t="str">
        <f>VLOOKUP(I503,'Copy of Enriched Data - IPBES G'!$L$2:$L$229,1,false)</f>
        <v>#N/A</v>
      </c>
      <c r="M503" s="2">
        <v>1992.0</v>
      </c>
      <c r="N503" s="2" t="s">
        <v>5252</v>
      </c>
      <c r="O503" s="2" t="s">
        <v>5253</v>
      </c>
      <c r="Q503" s="2" t="s">
        <v>5254</v>
      </c>
      <c r="S503" s="2">
        <v>1.0</v>
      </c>
      <c r="T503" s="2">
        <v>46.0</v>
      </c>
      <c r="AO503" s="2" t="s">
        <v>1368</v>
      </c>
    </row>
    <row r="504" ht="15.75" customHeight="1">
      <c r="A504" s="2" t="s">
        <v>5255</v>
      </c>
      <c r="B504" s="2" t="s">
        <v>1361</v>
      </c>
      <c r="C504" s="2">
        <v>2010.0</v>
      </c>
      <c r="D504" s="2" t="s">
        <v>5256</v>
      </c>
      <c r="E504" s="2" t="s">
        <v>5257</v>
      </c>
      <c r="F504" s="2" t="s">
        <v>5258</v>
      </c>
      <c r="I504" s="2" t="s">
        <v>5259</v>
      </c>
      <c r="J504" s="12" t="str">
        <f>VLOOKUP(I504,'Copy of Enriched Data - IPBES G'!$L$2:$L$229,1,false)</f>
        <v>#N/A</v>
      </c>
      <c r="M504" s="2">
        <v>2010.0</v>
      </c>
      <c r="N504" s="2" t="s">
        <v>5260</v>
      </c>
      <c r="O504" s="2" t="s">
        <v>5261</v>
      </c>
      <c r="Q504" s="2" t="s">
        <v>5262</v>
      </c>
      <c r="T504" s="2">
        <v>25.0</v>
      </c>
      <c r="AO504" s="2" t="s">
        <v>1368</v>
      </c>
    </row>
    <row r="505" ht="15.75" customHeight="1">
      <c r="A505" s="2" t="s">
        <v>5263</v>
      </c>
      <c r="B505" s="2" t="s">
        <v>1396</v>
      </c>
      <c r="C505" s="2">
        <v>2017.0</v>
      </c>
      <c r="D505" s="2" t="s">
        <v>5264</v>
      </c>
      <c r="E505" s="2" t="s">
        <v>5265</v>
      </c>
      <c r="J505" s="12" t="str">
        <f>VLOOKUP(I505,'Copy of Enriched Data - IPBES G'!$L$2:$L$229,1,false)</f>
        <v>#N/A</v>
      </c>
      <c r="K505" s="2" t="s">
        <v>5266</v>
      </c>
      <c r="M505" s="2">
        <v>2017.0</v>
      </c>
      <c r="N505" s="2" t="s">
        <v>1385</v>
      </c>
      <c r="O505" s="2" t="s">
        <v>1386</v>
      </c>
      <c r="T505" s="2">
        <v>3.0</v>
      </c>
      <c r="AB505" s="2" t="s">
        <v>5267</v>
      </c>
      <c r="AO505" s="2" t="s">
        <v>1368</v>
      </c>
    </row>
    <row r="506" ht="15.75" customHeight="1">
      <c r="A506" s="2" t="s">
        <v>5268</v>
      </c>
      <c r="B506" s="2" t="s">
        <v>1396</v>
      </c>
      <c r="C506" s="2">
        <v>1988.0</v>
      </c>
      <c r="D506" s="2" t="s">
        <v>5269</v>
      </c>
      <c r="E506" s="2" t="s">
        <v>5270</v>
      </c>
      <c r="G506" s="2" t="s">
        <v>5271</v>
      </c>
      <c r="J506" s="12" t="str">
        <f>VLOOKUP(I506,'Copy of Enriched Data - IPBES G'!$L$2:$L$229,1,false)</f>
        <v>#N/A</v>
      </c>
      <c r="K506" s="2" t="s">
        <v>5272</v>
      </c>
      <c r="L506" s="2" t="s">
        <v>5273</v>
      </c>
      <c r="M506" s="2">
        <v>1988.0</v>
      </c>
      <c r="N506" s="2" t="s">
        <v>1385</v>
      </c>
      <c r="O506" s="2" t="s">
        <v>1386</v>
      </c>
      <c r="R506" s="2">
        <v>205.0</v>
      </c>
      <c r="AB506" s="2" t="s">
        <v>5274</v>
      </c>
      <c r="AO506" s="2" t="s">
        <v>1368</v>
      </c>
    </row>
    <row r="507" ht="15.75" customHeight="1">
      <c r="A507" s="2" t="s">
        <v>5275</v>
      </c>
      <c r="B507" s="2" t="s">
        <v>1623</v>
      </c>
      <c r="C507" s="2">
        <v>2010.0</v>
      </c>
      <c r="D507" s="2" t="s">
        <v>5276</v>
      </c>
      <c r="E507" s="2" t="s">
        <v>5277</v>
      </c>
      <c r="J507" s="12" t="str">
        <f>VLOOKUP(I507,'Copy of Enriched Data - IPBES G'!$L$2:$L$229,1,false)</f>
        <v>#N/A</v>
      </c>
      <c r="K507" s="2" t="s">
        <v>5278</v>
      </c>
      <c r="L507" s="2" t="s">
        <v>5279</v>
      </c>
      <c r="M507" s="2">
        <v>2010.0</v>
      </c>
      <c r="N507" s="2" t="s">
        <v>1385</v>
      </c>
      <c r="O507" s="2" t="s">
        <v>1386</v>
      </c>
      <c r="Q507" s="2" t="s">
        <v>5280</v>
      </c>
      <c r="AB507" s="2" t="s">
        <v>5281</v>
      </c>
      <c r="AC507" s="2" t="s">
        <v>5282</v>
      </c>
      <c r="AO507" s="2" t="s">
        <v>1368</v>
      </c>
    </row>
    <row r="508" ht="15.75" customHeight="1">
      <c r="A508" s="2" t="s">
        <v>5283</v>
      </c>
      <c r="B508" s="2" t="s">
        <v>1766</v>
      </c>
      <c r="C508" s="2">
        <v>2005.0</v>
      </c>
      <c r="D508" s="2" t="s">
        <v>5284</v>
      </c>
      <c r="E508" s="2" t="s">
        <v>5285</v>
      </c>
      <c r="F508" s="2" t="s">
        <v>5286</v>
      </c>
      <c r="J508" s="12" t="str">
        <f>VLOOKUP(I508,'Copy of Enriched Data - IPBES G'!$L$2:$L$229,1,false)</f>
        <v>#N/A</v>
      </c>
      <c r="M508" s="2">
        <v>2005.0</v>
      </c>
      <c r="N508" s="2" t="s">
        <v>1385</v>
      </c>
      <c r="O508" s="2" t="s">
        <v>1386</v>
      </c>
      <c r="AB508" s="2" t="s">
        <v>5287</v>
      </c>
      <c r="AO508" s="2" t="s">
        <v>1368</v>
      </c>
      <c r="AQ508" s="2" t="s">
        <v>5288</v>
      </c>
    </row>
    <row r="509" ht="15.75" customHeight="1">
      <c r="A509" s="2" t="s">
        <v>5289</v>
      </c>
      <c r="B509" s="2" t="s">
        <v>1766</v>
      </c>
      <c r="C509" s="2">
        <v>2012.0</v>
      </c>
      <c r="D509" s="2" t="s">
        <v>5290</v>
      </c>
      <c r="E509" s="2" t="s">
        <v>5291</v>
      </c>
      <c r="F509" s="2" t="s">
        <v>5292</v>
      </c>
      <c r="J509" s="12" t="str">
        <f>VLOOKUP(I509,'Copy of Enriched Data - IPBES G'!$L$2:$L$229,1,false)</f>
        <v>#N/A</v>
      </c>
      <c r="M509" s="2">
        <v>2012.0</v>
      </c>
      <c r="N509" s="2" t="s">
        <v>1385</v>
      </c>
      <c r="O509" s="2" t="s">
        <v>1386</v>
      </c>
      <c r="Q509" s="2" t="s">
        <v>5293</v>
      </c>
      <c r="AB509" s="2" t="s">
        <v>5294</v>
      </c>
      <c r="AC509" s="2" t="s">
        <v>5295</v>
      </c>
      <c r="AO509" s="2" t="s">
        <v>1368</v>
      </c>
    </row>
    <row r="510" ht="15.75" customHeight="1">
      <c r="A510" s="2" t="s">
        <v>5296</v>
      </c>
      <c r="B510" s="2" t="s">
        <v>1361</v>
      </c>
      <c r="C510" s="2">
        <v>2001.0</v>
      </c>
      <c r="D510" s="2" t="s">
        <v>5297</v>
      </c>
      <c r="E510" s="2" t="s">
        <v>5298</v>
      </c>
      <c r="F510" s="2" t="s">
        <v>1474</v>
      </c>
      <c r="H510" s="2">
        <v>1.5565068E7</v>
      </c>
      <c r="I510" s="2" t="s">
        <v>5299</v>
      </c>
      <c r="J510" s="12" t="str">
        <f>VLOOKUP(I510,'Copy of Enriched Data - IPBES G'!$L$2:$L$229,1,false)</f>
        <v>#N/A</v>
      </c>
      <c r="L510" s="2" t="s">
        <v>5300</v>
      </c>
      <c r="M510" s="2">
        <v>2001.0</v>
      </c>
      <c r="N510" s="2" t="s">
        <v>1385</v>
      </c>
      <c r="O510" s="2" t="s">
        <v>1386</v>
      </c>
      <c r="AO510" s="2" t="s">
        <v>1368</v>
      </c>
    </row>
    <row r="511" ht="15.75" customHeight="1">
      <c r="A511" s="2" t="s">
        <v>5301</v>
      </c>
      <c r="B511" s="2" t="s">
        <v>1361</v>
      </c>
      <c r="C511" s="2">
        <v>2009.0</v>
      </c>
      <c r="D511" s="2" t="s">
        <v>5302</v>
      </c>
      <c r="E511" s="2" t="s">
        <v>5303</v>
      </c>
      <c r="F511" s="2" t="s">
        <v>1447</v>
      </c>
      <c r="I511" s="2" t="s">
        <v>5304</v>
      </c>
      <c r="J511" s="12" t="str">
        <f>VLOOKUP(I511,'Copy of Enriched Data - IPBES G'!$L$2:$L$229,1,false)</f>
        <v>#N/A</v>
      </c>
      <c r="M511" s="2" t="s">
        <v>1364</v>
      </c>
      <c r="N511" s="2" t="s">
        <v>5305</v>
      </c>
      <c r="O511" s="2" t="s">
        <v>5306</v>
      </c>
      <c r="Q511" s="2" t="s">
        <v>5307</v>
      </c>
      <c r="S511" s="2" t="s">
        <v>1480</v>
      </c>
      <c r="T511" s="2">
        <v>68.0</v>
      </c>
      <c r="AO511" s="2" t="s">
        <v>1368</v>
      </c>
    </row>
    <row r="512" ht="15.75" customHeight="1">
      <c r="A512" s="2" t="s">
        <v>5308</v>
      </c>
      <c r="B512" s="2" t="s">
        <v>1361</v>
      </c>
      <c r="C512" s="2">
        <v>2001.0</v>
      </c>
      <c r="D512" s="2" t="s">
        <v>5309</v>
      </c>
      <c r="E512" s="2" t="s">
        <v>5310</v>
      </c>
      <c r="F512" s="2" t="s">
        <v>5311</v>
      </c>
      <c r="I512" s="2" t="s">
        <v>5312</v>
      </c>
      <c r="J512" s="12" t="str">
        <f>VLOOKUP(I512,'Copy of Enriched Data - IPBES G'!$L$2:$L$229,1,false)</f>
        <v>#N/A</v>
      </c>
      <c r="M512" s="2" t="s">
        <v>1414</v>
      </c>
      <c r="N512" s="2" t="s">
        <v>5313</v>
      </c>
      <c r="O512" s="2" t="s">
        <v>5314</v>
      </c>
      <c r="Q512" s="2" t="s">
        <v>5315</v>
      </c>
      <c r="S512" s="2" t="s">
        <v>1506</v>
      </c>
      <c r="T512" s="2">
        <v>1.0</v>
      </c>
      <c r="AO512" s="2" t="s">
        <v>1368</v>
      </c>
    </row>
    <row r="513" ht="15.75" customHeight="1">
      <c r="A513" s="2" t="s">
        <v>5316</v>
      </c>
      <c r="B513" s="2" t="s">
        <v>1361</v>
      </c>
      <c r="C513" s="2">
        <v>2012.0</v>
      </c>
      <c r="D513" s="2" t="s">
        <v>5317</v>
      </c>
      <c r="E513" s="2" t="s">
        <v>5318</v>
      </c>
      <c r="F513" s="2" t="s">
        <v>2641</v>
      </c>
      <c r="I513" s="2" t="s">
        <v>5319</v>
      </c>
      <c r="J513" s="12" t="str">
        <f>VLOOKUP(I513,'Copy of Enriched Data - IPBES G'!$L$2:$L$229,1,false)</f>
        <v>#N/A</v>
      </c>
      <c r="K513" s="2" t="s">
        <v>5320</v>
      </c>
      <c r="L513" s="2" t="s">
        <v>5321</v>
      </c>
      <c r="M513" s="2" t="s">
        <v>1405</v>
      </c>
      <c r="N513" s="2" t="s">
        <v>5322</v>
      </c>
      <c r="O513" s="2" t="s">
        <v>5323</v>
      </c>
      <c r="Q513" s="2" t="s">
        <v>5324</v>
      </c>
      <c r="S513" s="2" t="s">
        <v>1462</v>
      </c>
      <c r="T513" s="2">
        <v>7.0</v>
      </c>
      <c r="AO513" s="2" t="s">
        <v>1368</v>
      </c>
    </row>
    <row r="514" ht="15.75" customHeight="1">
      <c r="A514" s="2" t="s">
        <v>5325</v>
      </c>
      <c r="B514" s="2" t="s">
        <v>1361</v>
      </c>
      <c r="C514" s="2">
        <v>2008.0</v>
      </c>
      <c r="D514" s="2" t="s">
        <v>5326</v>
      </c>
      <c r="E514" s="2" t="s">
        <v>5327</v>
      </c>
      <c r="F514" s="2" t="s">
        <v>5328</v>
      </c>
      <c r="J514" s="12" t="str">
        <f>VLOOKUP(I514,'Copy of Enriched Data - IPBES G'!$L$2:$L$229,1,false)</f>
        <v>#N/A</v>
      </c>
      <c r="M514" s="2" t="s">
        <v>1458</v>
      </c>
      <c r="N514" s="2" t="s">
        <v>5329</v>
      </c>
      <c r="O514" s="2" t="s">
        <v>5330</v>
      </c>
      <c r="Q514" s="2" t="s">
        <v>5331</v>
      </c>
      <c r="S514" s="2" t="s">
        <v>1462</v>
      </c>
      <c r="T514" s="2">
        <v>2.0</v>
      </c>
      <c r="AO514" s="2" t="s">
        <v>1368</v>
      </c>
    </row>
    <row r="515" ht="15.75" customHeight="1">
      <c r="A515" s="2" t="s">
        <v>5332</v>
      </c>
      <c r="B515" s="2" t="s">
        <v>1361</v>
      </c>
      <c r="C515" s="2">
        <v>1989.0</v>
      </c>
      <c r="D515" s="2" t="s">
        <v>5333</v>
      </c>
      <c r="E515" s="2" t="s">
        <v>5334</v>
      </c>
      <c r="F515" s="2" t="s">
        <v>5335</v>
      </c>
      <c r="I515" s="2" t="s">
        <v>5336</v>
      </c>
      <c r="J515" s="12" t="str">
        <f>VLOOKUP(I515,'Copy of Enriched Data - IPBES G'!$L$2:$L$229,1,false)</f>
        <v>#N/A</v>
      </c>
      <c r="M515" s="2" t="s">
        <v>2701</v>
      </c>
      <c r="N515" s="2" t="s">
        <v>5337</v>
      </c>
      <c r="O515" s="2" t="s">
        <v>5338</v>
      </c>
      <c r="Q515" s="2" t="s">
        <v>5339</v>
      </c>
      <c r="S515" s="2" t="s">
        <v>1600</v>
      </c>
      <c r="T515" s="2">
        <v>7.0</v>
      </c>
      <c r="AO515" s="2" t="s">
        <v>1368</v>
      </c>
    </row>
    <row r="516" ht="15.75" customHeight="1">
      <c r="A516" s="2" t="s">
        <v>5340</v>
      </c>
      <c r="B516" s="2" t="s">
        <v>1361</v>
      </c>
      <c r="C516" s="2">
        <v>2010.0</v>
      </c>
      <c r="D516" s="2" t="s">
        <v>5326</v>
      </c>
      <c r="E516" s="2" t="s">
        <v>5341</v>
      </c>
      <c r="F516" s="2" t="s">
        <v>4728</v>
      </c>
      <c r="H516" s="2" t="s">
        <v>5342</v>
      </c>
      <c r="I516" s="2" t="s">
        <v>5343</v>
      </c>
      <c r="J516" s="12" t="str">
        <f>VLOOKUP(I516,'Copy of Enriched Data - IPBES G'!$L$2:$L$229,1,false)</f>
        <v>#N/A</v>
      </c>
      <c r="K516" s="2" t="s">
        <v>5344</v>
      </c>
      <c r="M516" s="2" t="s">
        <v>5345</v>
      </c>
      <c r="N516" s="2" t="s">
        <v>1385</v>
      </c>
      <c r="O516" s="2" t="s">
        <v>1386</v>
      </c>
      <c r="Q516" s="2" t="s">
        <v>5346</v>
      </c>
      <c r="S516" s="2" t="s">
        <v>5347</v>
      </c>
      <c r="T516" s="2">
        <v>37.0</v>
      </c>
      <c r="AO516" s="2" t="s">
        <v>1368</v>
      </c>
    </row>
    <row r="517" ht="15.75" customHeight="1">
      <c r="A517" s="2" t="s">
        <v>5348</v>
      </c>
      <c r="B517" s="2" t="s">
        <v>1361</v>
      </c>
      <c r="C517" s="2">
        <v>2006.0</v>
      </c>
      <c r="D517" s="2" t="s">
        <v>5349</v>
      </c>
      <c r="E517" s="2" t="s">
        <v>5350</v>
      </c>
      <c r="F517" s="2" t="s">
        <v>2053</v>
      </c>
      <c r="H517" s="2" t="s">
        <v>5351</v>
      </c>
      <c r="I517" s="2" t="s">
        <v>5352</v>
      </c>
      <c r="J517" s="12" t="str">
        <f>VLOOKUP(I517,'Copy of Enriched Data - IPBES G'!$L$2:$L$229,1,false)</f>
        <v>#N/A</v>
      </c>
      <c r="K517" s="2" t="s">
        <v>5353</v>
      </c>
      <c r="M517" s="2" t="s">
        <v>1727</v>
      </c>
      <c r="N517" s="2" t="s">
        <v>1385</v>
      </c>
      <c r="O517" s="2" t="s">
        <v>1386</v>
      </c>
      <c r="Q517" s="2" t="s">
        <v>5354</v>
      </c>
      <c r="S517" s="2" t="s">
        <v>1537</v>
      </c>
      <c r="T517" s="2">
        <v>4.0</v>
      </c>
      <c r="AO517" s="2" t="s">
        <v>1609</v>
      </c>
    </row>
    <row r="518" ht="15.75" customHeight="1">
      <c r="A518" s="2" t="s">
        <v>5355</v>
      </c>
      <c r="B518" s="2" t="s">
        <v>1396</v>
      </c>
      <c r="C518" s="2">
        <v>1998.0</v>
      </c>
      <c r="D518" s="2" t="s">
        <v>5356</v>
      </c>
      <c r="E518" s="2" t="s">
        <v>5357</v>
      </c>
      <c r="G518" s="2" t="s">
        <v>5358</v>
      </c>
      <c r="J518" s="12" t="str">
        <f>VLOOKUP(I518,'Copy of Enriched Data - IPBES G'!$L$2:$L$229,1,false)</f>
        <v>#N/A</v>
      </c>
      <c r="K518" s="2" t="s">
        <v>5359</v>
      </c>
      <c r="L518" s="2" t="s">
        <v>5360</v>
      </c>
      <c r="M518" s="2" t="s">
        <v>1958</v>
      </c>
      <c r="N518" s="2" t="s">
        <v>1385</v>
      </c>
      <c r="O518" s="2" t="s">
        <v>1386</v>
      </c>
      <c r="R518" s="2">
        <v>459.0</v>
      </c>
      <c r="AB518" s="2" t="s">
        <v>2187</v>
      </c>
      <c r="AO518" s="2" t="s">
        <v>5361</v>
      </c>
    </row>
    <row r="519" ht="15.75" customHeight="1">
      <c r="A519" s="2" t="s">
        <v>5362</v>
      </c>
      <c r="B519" s="2" t="s">
        <v>1361</v>
      </c>
      <c r="C519" s="2">
        <v>2017.0</v>
      </c>
      <c r="D519" s="2" t="s">
        <v>5363</v>
      </c>
      <c r="E519" s="2" t="s">
        <v>5364</v>
      </c>
      <c r="F519" s="2" t="s">
        <v>5365</v>
      </c>
      <c r="I519" s="2" t="s">
        <v>5366</v>
      </c>
      <c r="J519" s="12" t="str">
        <f>VLOOKUP(I519,'Copy of Enriched Data - IPBES G'!$L$2:$L$229,1,false)</f>
        <v>#N/A</v>
      </c>
      <c r="K519" s="2" t="s">
        <v>5367</v>
      </c>
      <c r="L519" s="2" t="s">
        <v>5368</v>
      </c>
      <c r="M519" s="2" t="s">
        <v>5369</v>
      </c>
      <c r="N519" s="2" t="s">
        <v>1385</v>
      </c>
      <c r="O519" s="2" t="s">
        <v>1386</v>
      </c>
      <c r="S519" s="2" t="s">
        <v>5370</v>
      </c>
      <c r="T519" s="2">
        <v>1.0</v>
      </c>
      <c r="AO519" s="2" t="s">
        <v>1368</v>
      </c>
    </row>
    <row r="520" ht="15.75" customHeight="1">
      <c r="A520" s="2" t="s">
        <v>5371</v>
      </c>
      <c r="B520" s="2" t="s">
        <v>1361</v>
      </c>
      <c r="C520" s="2">
        <v>2006.0</v>
      </c>
      <c r="D520" s="2" t="s">
        <v>5372</v>
      </c>
      <c r="E520" s="2" t="s">
        <v>5373</v>
      </c>
      <c r="F520" s="2" t="s">
        <v>1510</v>
      </c>
      <c r="H520" s="2" t="s">
        <v>3540</v>
      </c>
      <c r="I520" s="2" t="s">
        <v>5374</v>
      </c>
      <c r="J520" s="12" t="str">
        <f>VLOOKUP(I520,'Copy of Enriched Data - IPBES G'!$L$2:$L$229,1,false)</f>
        <v>#N/A</v>
      </c>
      <c r="L520" s="2" t="s">
        <v>5375</v>
      </c>
      <c r="M520" s="2" t="s">
        <v>1727</v>
      </c>
      <c r="N520" s="2" t="s">
        <v>1385</v>
      </c>
      <c r="O520" s="2" t="s">
        <v>1386</v>
      </c>
      <c r="Q520" s="2" t="s">
        <v>5376</v>
      </c>
      <c r="S520" s="2" t="s">
        <v>5377</v>
      </c>
      <c r="T520" s="2">
        <v>311.0</v>
      </c>
      <c r="AO520" s="2" t="s">
        <v>1368</v>
      </c>
    </row>
    <row r="521" ht="15.75" customHeight="1">
      <c r="A521" s="2" t="s">
        <v>5378</v>
      </c>
      <c r="B521" s="2" t="s">
        <v>1361</v>
      </c>
      <c r="C521" s="2">
        <v>2005.0</v>
      </c>
      <c r="D521" s="2" t="s">
        <v>5379</v>
      </c>
      <c r="E521" s="2" t="s">
        <v>5380</v>
      </c>
      <c r="F521" s="2" t="s">
        <v>5381</v>
      </c>
      <c r="I521" s="2" t="s">
        <v>5382</v>
      </c>
      <c r="J521" s="12" t="str">
        <f>VLOOKUP(I521,'Copy of Enriched Data - IPBES G'!$L$2:$L$229,1,false)</f>
        <v>#N/A</v>
      </c>
      <c r="M521" s="2" t="s">
        <v>1394</v>
      </c>
      <c r="N521" s="2" t="s">
        <v>5383</v>
      </c>
      <c r="O521" s="2" t="s">
        <v>5384</v>
      </c>
      <c r="Q521" s="2" t="s">
        <v>5385</v>
      </c>
      <c r="S521" s="2" t="s">
        <v>1506</v>
      </c>
      <c r="T521" s="2">
        <v>20.0</v>
      </c>
      <c r="AO521" s="2" t="s">
        <v>1368</v>
      </c>
    </row>
    <row r="522" ht="15.75" customHeight="1">
      <c r="A522" s="2" t="s">
        <v>5386</v>
      </c>
      <c r="B522" s="2" t="s">
        <v>1361</v>
      </c>
      <c r="C522" s="2">
        <v>2008.0</v>
      </c>
      <c r="D522" s="2" t="s">
        <v>5387</v>
      </c>
      <c r="E522" s="2" t="s">
        <v>5388</v>
      </c>
      <c r="F522" s="2" t="s">
        <v>1760</v>
      </c>
      <c r="I522" s="2" t="s">
        <v>5389</v>
      </c>
      <c r="J522" s="12" t="str">
        <f>VLOOKUP(I522,'Copy of Enriched Data - IPBES G'!$L$2:$L$229,1,false)</f>
        <v>#N/A</v>
      </c>
      <c r="M522" s="2" t="s">
        <v>1458</v>
      </c>
      <c r="N522" s="2" t="s">
        <v>5390</v>
      </c>
      <c r="O522" s="2" t="s">
        <v>5391</v>
      </c>
      <c r="Q522" s="2" t="s">
        <v>5392</v>
      </c>
      <c r="S522" s="2" t="s">
        <v>1506</v>
      </c>
      <c r="T522" s="2">
        <v>65.0</v>
      </c>
      <c r="AO522" s="2" t="s">
        <v>1368</v>
      </c>
    </row>
    <row r="523" ht="15.75" customHeight="1">
      <c r="A523" s="2" t="s">
        <v>5393</v>
      </c>
      <c r="B523" s="2" t="s">
        <v>1361</v>
      </c>
      <c r="C523" s="2">
        <v>2004.0</v>
      </c>
      <c r="D523" s="2" t="s">
        <v>5394</v>
      </c>
      <c r="E523" s="2" t="s">
        <v>5395</v>
      </c>
      <c r="F523" s="2" t="s">
        <v>1825</v>
      </c>
      <c r="H523" s="2" t="s">
        <v>5396</v>
      </c>
      <c r="I523" s="2" t="s">
        <v>5397</v>
      </c>
      <c r="J523" s="12" t="str">
        <f>VLOOKUP(I523,'Copy of Enriched Data - IPBES G'!$L$2:$L$229,1,false)</f>
        <v>#N/A</v>
      </c>
      <c r="L523" s="2" t="s">
        <v>5398</v>
      </c>
      <c r="M523" s="2" t="s">
        <v>2373</v>
      </c>
      <c r="N523" s="2" t="s">
        <v>5399</v>
      </c>
      <c r="O523" s="2" t="s">
        <v>5400</v>
      </c>
      <c r="Q523" s="2" t="s">
        <v>5401</v>
      </c>
      <c r="S523" s="2" t="s">
        <v>1453</v>
      </c>
      <c r="T523" s="2">
        <v>86.0</v>
      </c>
      <c r="AO523" s="2" t="s">
        <v>1368</v>
      </c>
    </row>
    <row r="524" ht="15.75" customHeight="1">
      <c r="A524" s="2" t="s">
        <v>5402</v>
      </c>
      <c r="B524" s="2" t="s">
        <v>1361</v>
      </c>
      <c r="C524" s="2">
        <v>2012.0</v>
      </c>
      <c r="D524" s="2" t="s">
        <v>5403</v>
      </c>
      <c r="E524" s="2" t="s">
        <v>5404</v>
      </c>
      <c r="F524" s="2" t="s">
        <v>5405</v>
      </c>
      <c r="I524" s="2" t="s">
        <v>5406</v>
      </c>
      <c r="J524" s="12" t="str">
        <f>VLOOKUP(I524,'Copy of Enriched Data - IPBES G'!$L$2:$L$229,1,false)</f>
        <v>#N/A</v>
      </c>
      <c r="M524" s="2" t="s">
        <v>1405</v>
      </c>
      <c r="N524" s="2" t="s">
        <v>5407</v>
      </c>
      <c r="O524" s="2" t="s">
        <v>5408</v>
      </c>
      <c r="Q524" s="2" t="s">
        <v>5409</v>
      </c>
      <c r="T524" s="2">
        <v>1.0</v>
      </c>
      <c r="AO524" s="2" t="s">
        <v>1368</v>
      </c>
    </row>
    <row r="525" ht="15.75" customHeight="1">
      <c r="A525" s="2" t="s">
        <v>5410</v>
      </c>
      <c r="B525" s="2" t="s">
        <v>1361</v>
      </c>
      <c r="C525" s="2">
        <v>2009.0</v>
      </c>
      <c r="D525" s="2" t="s">
        <v>5411</v>
      </c>
      <c r="E525" s="2" t="s">
        <v>5412</v>
      </c>
      <c r="J525" s="12" t="str">
        <f>VLOOKUP(I525,'Copy of Enriched Data - IPBES G'!$L$2:$L$229,1,false)</f>
        <v>#N/A</v>
      </c>
      <c r="M525" s="2" t="s">
        <v>1364</v>
      </c>
      <c r="N525" s="2" t="s">
        <v>5413</v>
      </c>
      <c r="O525" s="2" t="s">
        <v>5414</v>
      </c>
      <c r="AO525" s="2" t="s">
        <v>1368</v>
      </c>
    </row>
    <row r="526" ht="15.75" customHeight="1">
      <c r="A526" s="2" t="s">
        <v>5415</v>
      </c>
      <c r="B526" s="2" t="s">
        <v>1361</v>
      </c>
      <c r="C526" s="2">
        <v>2005.0</v>
      </c>
      <c r="D526" s="2" t="s">
        <v>5416</v>
      </c>
      <c r="E526" s="2" t="s">
        <v>5417</v>
      </c>
      <c r="F526" s="2" t="s">
        <v>5418</v>
      </c>
      <c r="I526" s="2" t="s">
        <v>5419</v>
      </c>
      <c r="J526" s="12" t="str">
        <f>VLOOKUP(I526,'Copy of Enriched Data - IPBES G'!$L$2:$L$229,1,false)</f>
        <v>#N/A</v>
      </c>
      <c r="M526" s="2" t="s">
        <v>1394</v>
      </c>
      <c r="N526" s="2" t="s">
        <v>5420</v>
      </c>
      <c r="O526" s="2" t="s">
        <v>5421</v>
      </c>
      <c r="Q526" s="2" t="s">
        <v>5422</v>
      </c>
      <c r="S526" s="2" t="s">
        <v>5423</v>
      </c>
      <c r="T526" s="2">
        <v>125.0</v>
      </c>
      <c r="AO526" s="2" t="s">
        <v>1368</v>
      </c>
    </row>
    <row r="527" ht="15.75" customHeight="1">
      <c r="A527" s="2" t="s">
        <v>5424</v>
      </c>
      <c r="B527" s="2" t="s">
        <v>1361</v>
      </c>
      <c r="C527" s="2">
        <v>2017.0</v>
      </c>
      <c r="D527" s="2" t="s">
        <v>4843</v>
      </c>
      <c r="E527" s="2" t="s">
        <v>5425</v>
      </c>
      <c r="F527" s="2" t="s">
        <v>5426</v>
      </c>
      <c r="H527" s="2" t="s">
        <v>5427</v>
      </c>
      <c r="J527" s="12" t="str">
        <f>VLOOKUP(I527,'Copy of Enriched Data - IPBES G'!$L$2:$L$229,1,false)</f>
        <v>#N/A</v>
      </c>
      <c r="L527" s="2" t="s">
        <v>5428</v>
      </c>
      <c r="M527" s="2" t="s">
        <v>1658</v>
      </c>
      <c r="N527" s="2" t="s">
        <v>5429</v>
      </c>
      <c r="O527" s="2" t="s">
        <v>5430</v>
      </c>
      <c r="Q527" s="2" t="s">
        <v>5431</v>
      </c>
      <c r="S527" s="2" t="s">
        <v>1462</v>
      </c>
      <c r="T527" s="2">
        <v>1.0</v>
      </c>
      <c r="AO527" s="2" t="s">
        <v>1368</v>
      </c>
    </row>
    <row r="528" ht="15.75" customHeight="1">
      <c r="A528" s="2" t="s">
        <v>5432</v>
      </c>
      <c r="B528" s="2" t="s">
        <v>1361</v>
      </c>
      <c r="C528" s="2">
        <v>1991.0</v>
      </c>
      <c r="D528" s="2" t="s">
        <v>5433</v>
      </c>
      <c r="E528" s="2" t="s">
        <v>5434</v>
      </c>
      <c r="F528" s="2" t="s">
        <v>1425</v>
      </c>
      <c r="I528" s="2" t="s">
        <v>5435</v>
      </c>
      <c r="J528" s="12" t="str">
        <f>VLOOKUP(I528,'Copy of Enriched Data - IPBES G'!$L$2:$L$229,1,false)</f>
        <v>#N/A</v>
      </c>
      <c r="L528" s="2" t="s">
        <v>5436</v>
      </c>
      <c r="M528" s="2" t="s">
        <v>2607</v>
      </c>
      <c r="N528" s="2" t="s">
        <v>5437</v>
      </c>
      <c r="O528" s="2" t="s">
        <v>5438</v>
      </c>
      <c r="Q528" s="2" t="s">
        <v>5439</v>
      </c>
      <c r="S528" s="2" t="s">
        <v>1453</v>
      </c>
      <c r="T528" s="2">
        <v>20.0</v>
      </c>
      <c r="AO528" s="2" t="s">
        <v>1368</v>
      </c>
    </row>
    <row r="529" ht="15.75" customHeight="1">
      <c r="A529" s="2" t="s">
        <v>5440</v>
      </c>
      <c r="B529" s="2" t="s">
        <v>1361</v>
      </c>
      <c r="C529" s="2">
        <v>2010.0</v>
      </c>
      <c r="D529" s="2" t="s">
        <v>5441</v>
      </c>
      <c r="E529" s="2" t="s">
        <v>5442</v>
      </c>
      <c r="F529" s="2" t="s">
        <v>1688</v>
      </c>
      <c r="J529" s="12" t="str">
        <f>VLOOKUP(I529,'Copy of Enriched Data - IPBES G'!$L$2:$L$229,1,false)</f>
        <v>#N/A</v>
      </c>
      <c r="M529" s="2" t="s">
        <v>1449</v>
      </c>
      <c r="N529" s="2" t="s">
        <v>5443</v>
      </c>
      <c r="O529" s="2" t="s">
        <v>5444</v>
      </c>
      <c r="Q529" s="2" t="s">
        <v>5445</v>
      </c>
      <c r="AO529" s="2" t="s">
        <v>1368</v>
      </c>
    </row>
    <row r="530" ht="15.75" customHeight="1">
      <c r="A530" s="2" t="s">
        <v>5446</v>
      </c>
      <c r="B530" s="2" t="s">
        <v>1361</v>
      </c>
      <c r="C530" s="2">
        <v>1999.0</v>
      </c>
      <c r="D530" s="2" t="s">
        <v>5447</v>
      </c>
      <c r="E530" s="2" t="s">
        <v>5448</v>
      </c>
      <c r="F530" s="2" t="s">
        <v>2665</v>
      </c>
      <c r="I530" s="2" t="s">
        <v>5449</v>
      </c>
      <c r="J530" s="12" t="str">
        <f>VLOOKUP(I530,'Copy of Enriched Data - IPBES G'!$L$2:$L$229,1,false)</f>
        <v>#N/A</v>
      </c>
      <c r="M530" s="2" t="s">
        <v>1434</v>
      </c>
      <c r="N530" s="2" t="s">
        <v>5450</v>
      </c>
      <c r="O530" s="2" t="s">
        <v>5451</v>
      </c>
      <c r="Q530" s="2" t="s">
        <v>5452</v>
      </c>
      <c r="S530" s="2" t="s">
        <v>1506</v>
      </c>
      <c r="T530" s="2">
        <v>27.0</v>
      </c>
      <c r="AO530" s="2" t="s">
        <v>1368</v>
      </c>
    </row>
    <row r="531" ht="15.75" customHeight="1">
      <c r="A531" s="2" t="s">
        <v>5453</v>
      </c>
      <c r="B531" s="2" t="s">
        <v>1361</v>
      </c>
      <c r="C531" s="2">
        <v>2014.0</v>
      </c>
      <c r="D531" s="2" t="s">
        <v>5454</v>
      </c>
      <c r="E531" s="2" t="s">
        <v>5455</v>
      </c>
      <c r="F531" s="2" t="s">
        <v>3916</v>
      </c>
      <c r="I531" s="2" t="s">
        <v>5456</v>
      </c>
      <c r="J531" s="12" t="str">
        <f>VLOOKUP(I531,'Copy of Enriched Data - IPBES G'!$L$2:$L$229,1,false)</f>
        <v>#N/A</v>
      </c>
      <c r="M531" s="2" t="s">
        <v>1476</v>
      </c>
      <c r="N531" s="2" t="s">
        <v>5457</v>
      </c>
      <c r="O531" s="2" t="s">
        <v>5458</v>
      </c>
      <c r="Q531" s="2" t="s">
        <v>5459</v>
      </c>
      <c r="S531" s="2" t="s">
        <v>5460</v>
      </c>
      <c r="T531" s="2">
        <v>3.0</v>
      </c>
      <c r="AO531" s="2" t="s">
        <v>1368</v>
      </c>
    </row>
    <row r="532" ht="15.75" customHeight="1">
      <c r="A532" s="2" t="s">
        <v>5461</v>
      </c>
      <c r="B532" s="2" t="s">
        <v>1361</v>
      </c>
      <c r="C532" s="2">
        <v>2001.0</v>
      </c>
      <c r="D532" s="2" t="s">
        <v>5447</v>
      </c>
      <c r="E532" s="2" t="s">
        <v>5462</v>
      </c>
      <c r="F532" s="2" t="s">
        <v>4086</v>
      </c>
      <c r="I532" s="2" t="s">
        <v>5463</v>
      </c>
      <c r="J532" s="12" t="str">
        <f>VLOOKUP(I532,'Copy of Enriched Data - IPBES G'!$L$2:$L$229,1,false)</f>
        <v>#N/A</v>
      </c>
      <c r="M532" s="2" t="s">
        <v>1414</v>
      </c>
      <c r="N532" s="2" t="s">
        <v>5464</v>
      </c>
      <c r="O532" s="2" t="s">
        <v>5465</v>
      </c>
      <c r="Q532" s="2" t="s">
        <v>5466</v>
      </c>
      <c r="S532" s="2" t="s">
        <v>1453</v>
      </c>
      <c r="T532" s="2">
        <v>91.0</v>
      </c>
      <c r="AO532" s="2" t="s">
        <v>1368</v>
      </c>
    </row>
    <row r="533" ht="15.75" customHeight="1">
      <c r="A533" s="2" t="s">
        <v>5467</v>
      </c>
      <c r="B533" s="2" t="s">
        <v>1361</v>
      </c>
      <c r="C533" s="2">
        <v>1978.0</v>
      </c>
      <c r="D533" s="2" t="s">
        <v>5468</v>
      </c>
      <c r="E533" s="2" t="s">
        <v>5469</v>
      </c>
      <c r="F533" s="2" t="s">
        <v>5470</v>
      </c>
      <c r="I533" s="2" t="s">
        <v>5471</v>
      </c>
      <c r="J533" s="12" t="str">
        <f>VLOOKUP(I533,'Copy of Enriched Data - IPBES G'!$L$2:$L$229,1,false)</f>
        <v>#N/A</v>
      </c>
      <c r="M533" s="2" t="s">
        <v>5472</v>
      </c>
      <c r="N533" s="2" t="s">
        <v>5473</v>
      </c>
      <c r="O533" s="2" t="s">
        <v>5474</v>
      </c>
      <c r="Q533" s="2" t="s">
        <v>5475</v>
      </c>
      <c r="S533" s="2" t="s">
        <v>1453</v>
      </c>
      <c r="T533" s="2">
        <v>45.0</v>
      </c>
      <c r="AO533" s="2" t="s">
        <v>1368</v>
      </c>
    </row>
    <row r="534" ht="15.75" customHeight="1">
      <c r="A534" s="2" t="s">
        <v>5482</v>
      </c>
      <c r="B534" s="2" t="s">
        <v>1361</v>
      </c>
      <c r="C534" s="2">
        <v>2016.0</v>
      </c>
      <c r="D534" s="2" t="s">
        <v>5483</v>
      </c>
      <c r="E534" s="2" t="s">
        <v>5484</v>
      </c>
      <c r="F534" s="2" t="s">
        <v>2480</v>
      </c>
      <c r="H534" s="2" t="s">
        <v>2481</v>
      </c>
      <c r="I534" s="2" t="s">
        <v>5485</v>
      </c>
      <c r="J534" s="12" t="str">
        <f>VLOOKUP(I534,'Copy of Enriched Data - IPBES G'!$L$2:$L$229,1,false)</f>
        <v>#N/A</v>
      </c>
      <c r="K534" s="2" t="s">
        <v>5486</v>
      </c>
      <c r="L534" s="2" t="s">
        <v>5487</v>
      </c>
      <c r="M534" s="2" t="s">
        <v>5488</v>
      </c>
      <c r="N534" s="2" t="s">
        <v>1385</v>
      </c>
      <c r="O534" s="2" t="s">
        <v>1386</v>
      </c>
      <c r="Q534" s="2" t="s">
        <v>5489</v>
      </c>
      <c r="S534" s="2" t="s">
        <v>1462</v>
      </c>
      <c r="T534" s="2">
        <v>6.0</v>
      </c>
      <c r="AO534" s="2" t="s">
        <v>2244</v>
      </c>
    </row>
    <row r="535" ht="15.75" customHeight="1">
      <c r="A535" s="2" t="s">
        <v>5490</v>
      </c>
      <c r="B535" s="2" t="s">
        <v>1396</v>
      </c>
      <c r="C535" s="2">
        <v>1992.0</v>
      </c>
      <c r="D535" s="2" t="s">
        <v>5491</v>
      </c>
      <c r="E535" s="2" t="s">
        <v>5492</v>
      </c>
      <c r="G535" s="2" t="s">
        <v>5493</v>
      </c>
      <c r="J535" s="12" t="str">
        <f>VLOOKUP(I535,'Copy of Enriched Data - IPBES G'!$L$2:$L$229,1,false)</f>
        <v>#N/A</v>
      </c>
      <c r="K535" s="2" t="s">
        <v>5494</v>
      </c>
      <c r="M535" s="2" t="s">
        <v>3458</v>
      </c>
      <c r="N535" s="2" t="s">
        <v>1385</v>
      </c>
      <c r="O535" s="2" t="s">
        <v>1386</v>
      </c>
      <c r="R535" s="2">
        <v>244.0</v>
      </c>
      <c r="AB535" s="2" t="s">
        <v>5495</v>
      </c>
      <c r="AO535" s="2" t="s">
        <v>5496</v>
      </c>
    </row>
    <row r="536" ht="15.75" customHeight="1">
      <c r="A536" s="2" t="s">
        <v>5497</v>
      </c>
      <c r="B536" s="2" t="s">
        <v>1396</v>
      </c>
      <c r="C536" s="2">
        <v>2016.0</v>
      </c>
      <c r="D536" s="2" t="s">
        <v>5498</v>
      </c>
      <c r="E536" s="2" t="s">
        <v>5499</v>
      </c>
      <c r="G536" s="2" t="s">
        <v>5500</v>
      </c>
      <c r="J536" s="12" t="str">
        <f>VLOOKUP(I536,'Copy of Enriched Data - IPBES G'!$L$2:$L$229,1,false)</f>
        <v>#N/A</v>
      </c>
      <c r="K536" s="2" t="s">
        <v>5501</v>
      </c>
      <c r="M536" s="2" t="s">
        <v>1502</v>
      </c>
      <c r="N536" s="2" t="s">
        <v>1385</v>
      </c>
      <c r="O536" s="2" t="s">
        <v>1386</v>
      </c>
      <c r="R536" s="2">
        <v>144.0</v>
      </c>
      <c r="AB536" s="2" t="s">
        <v>5498</v>
      </c>
      <c r="AC536" s="2" t="s">
        <v>5502</v>
      </c>
      <c r="AO536" s="2" t="s">
        <v>5503</v>
      </c>
    </row>
    <row r="537" ht="15.75" customHeight="1">
      <c r="A537" s="2" t="s">
        <v>5504</v>
      </c>
      <c r="B537" s="2" t="s">
        <v>1623</v>
      </c>
      <c r="C537" s="2">
        <v>2018.0</v>
      </c>
      <c r="D537" s="2" t="s">
        <v>5505</v>
      </c>
      <c r="E537" s="2" t="s">
        <v>5506</v>
      </c>
      <c r="J537" s="12" t="str">
        <f>VLOOKUP(I537,'Copy of Enriched Data - IPBES G'!$L$2:$L$229,1,false)</f>
        <v>#N/A</v>
      </c>
      <c r="M537" s="2" t="s">
        <v>1420</v>
      </c>
      <c r="N537" s="2" t="s">
        <v>1385</v>
      </c>
      <c r="O537" s="2" t="s">
        <v>1386</v>
      </c>
      <c r="Q537" s="2" t="s">
        <v>5507</v>
      </c>
      <c r="AB537" s="2" t="s">
        <v>5505</v>
      </c>
      <c r="AC537" s="2" t="s">
        <v>4883</v>
      </c>
      <c r="AO537" s="2" t="s">
        <v>2244</v>
      </c>
    </row>
    <row r="538" ht="15.75" customHeight="1">
      <c r="A538" s="2" t="s">
        <v>5508</v>
      </c>
      <c r="B538" s="2" t="s">
        <v>1623</v>
      </c>
      <c r="C538" s="2">
        <v>2012.0</v>
      </c>
      <c r="D538" s="2" t="s">
        <v>5509</v>
      </c>
      <c r="E538" s="2" t="s">
        <v>5510</v>
      </c>
      <c r="J538" s="12" t="str">
        <f>VLOOKUP(I538,'Copy of Enriched Data - IPBES G'!$L$2:$L$229,1,false)</f>
        <v>#N/A</v>
      </c>
      <c r="K538" s="2" t="s">
        <v>5511</v>
      </c>
      <c r="M538" s="2" t="s">
        <v>1405</v>
      </c>
      <c r="N538" s="2" t="s">
        <v>1385</v>
      </c>
      <c r="O538" s="2" t="s">
        <v>1386</v>
      </c>
      <c r="AC538" s="2" t="s">
        <v>2410</v>
      </c>
      <c r="AO538" s="2" t="s">
        <v>2169</v>
      </c>
    </row>
    <row r="539" ht="15.75" customHeight="1">
      <c r="A539" s="2" t="s">
        <v>5512</v>
      </c>
      <c r="B539" s="2" t="s">
        <v>1361</v>
      </c>
      <c r="C539" s="2">
        <v>2015.0</v>
      </c>
      <c r="D539" s="2" t="s">
        <v>5513</v>
      </c>
      <c r="E539" s="2" t="s">
        <v>5514</v>
      </c>
      <c r="F539" s="2" t="s">
        <v>2205</v>
      </c>
      <c r="H539" s="2" t="s">
        <v>2206</v>
      </c>
      <c r="I539" s="2" t="s">
        <v>5515</v>
      </c>
      <c r="J539" s="12" t="str">
        <f>VLOOKUP(I539,'Copy of Enriched Data - IPBES G'!$L$2:$L$229,1,false)</f>
        <v>#N/A</v>
      </c>
      <c r="L539" s="2" t="s">
        <v>5516</v>
      </c>
      <c r="M539" s="2" t="s">
        <v>1373</v>
      </c>
      <c r="N539" s="2" t="s">
        <v>1385</v>
      </c>
      <c r="O539" s="2" t="s">
        <v>1386</v>
      </c>
      <c r="Q539" s="2" t="s">
        <v>5517</v>
      </c>
      <c r="S539" s="2" t="s">
        <v>1373</v>
      </c>
      <c r="T539" s="2">
        <v>61.0</v>
      </c>
      <c r="AO539" s="2" t="s">
        <v>2244</v>
      </c>
    </row>
    <row r="540" ht="15.75" customHeight="1">
      <c r="A540" s="2" t="s">
        <v>5518</v>
      </c>
      <c r="B540" s="2" t="s">
        <v>1396</v>
      </c>
      <c r="C540" s="2">
        <v>2018.0</v>
      </c>
      <c r="D540" s="2" t="s">
        <v>4843</v>
      </c>
      <c r="E540" s="2" t="s">
        <v>5519</v>
      </c>
      <c r="J540" s="12" t="str">
        <f>VLOOKUP(I540,'Copy of Enriched Data - IPBES G'!$L$2:$L$229,1,false)</f>
        <v>#N/A</v>
      </c>
      <c r="K540" s="2" t="s">
        <v>5520</v>
      </c>
      <c r="M540" s="2" t="s">
        <v>1420</v>
      </c>
      <c r="N540" s="2" t="s">
        <v>1385</v>
      </c>
      <c r="O540" s="2" t="s">
        <v>1386</v>
      </c>
      <c r="AO540" s="2" t="s">
        <v>1368</v>
      </c>
    </row>
    <row r="541" ht="15.75" customHeight="1">
      <c r="A541" s="2" t="s">
        <v>5521</v>
      </c>
      <c r="B541" s="2" t="s">
        <v>1396</v>
      </c>
      <c r="C541" s="2">
        <v>2018.0</v>
      </c>
      <c r="D541" s="2" t="s">
        <v>4843</v>
      </c>
      <c r="E541" s="2" t="s">
        <v>5522</v>
      </c>
      <c r="J541" s="12" t="str">
        <f>VLOOKUP(I541,'Copy of Enriched Data - IPBES G'!$L$2:$L$229,1,false)</f>
        <v>#N/A</v>
      </c>
      <c r="K541" s="2" t="s">
        <v>5523</v>
      </c>
      <c r="M541" s="2" t="s">
        <v>1420</v>
      </c>
      <c r="N541" s="2" t="s">
        <v>1385</v>
      </c>
      <c r="O541" s="2" t="s">
        <v>1386</v>
      </c>
      <c r="AO541" s="2" t="s">
        <v>1368</v>
      </c>
    </row>
    <row r="542" ht="15.75" customHeight="1">
      <c r="A542" s="2" t="s">
        <v>5524</v>
      </c>
      <c r="B542" s="2" t="s">
        <v>1396</v>
      </c>
      <c r="C542" s="2">
        <v>2017.0</v>
      </c>
      <c r="D542" s="2" t="s">
        <v>4843</v>
      </c>
      <c r="E542" s="2" t="s">
        <v>5525</v>
      </c>
      <c r="J542" s="12" t="str">
        <f>VLOOKUP(I542,'Copy of Enriched Data - IPBES G'!$L$2:$L$229,1,false)</f>
        <v>#N/A</v>
      </c>
      <c r="K542" s="2" t="s">
        <v>5526</v>
      </c>
      <c r="M542" s="2" t="s">
        <v>1658</v>
      </c>
      <c r="N542" s="2" t="s">
        <v>1385</v>
      </c>
      <c r="O542" s="2" t="s">
        <v>1386</v>
      </c>
      <c r="AO542" s="2" t="s">
        <v>1368</v>
      </c>
    </row>
    <row r="543" ht="15.75" customHeight="1">
      <c r="A543" s="2" t="s">
        <v>5527</v>
      </c>
      <c r="B543" s="2" t="s">
        <v>1396</v>
      </c>
      <c r="C543" s="2">
        <v>2018.0</v>
      </c>
      <c r="D543" s="2" t="s">
        <v>4843</v>
      </c>
      <c r="E543" s="2" t="s">
        <v>5528</v>
      </c>
      <c r="J543" s="12" t="str">
        <f>VLOOKUP(I543,'Copy of Enriched Data - IPBES G'!$L$2:$L$229,1,false)</f>
        <v>#N/A</v>
      </c>
      <c r="K543" s="2" t="s">
        <v>5529</v>
      </c>
      <c r="M543" s="2" t="s">
        <v>1420</v>
      </c>
      <c r="N543" s="2" t="s">
        <v>1385</v>
      </c>
      <c r="O543" s="2" t="s">
        <v>1386</v>
      </c>
      <c r="AO543" s="2" t="s">
        <v>1368</v>
      </c>
    </row>
    <row r="544" ht="15.75" customHeight="1">
      <c r="A544" s="2" t="s">
        <v>5530</v>
      </c>
      <c r="B544" s="2" t="s">
        <v>1396</v>
      </c>
      <c r="C544" s="2">
        <v>2017.0</v>
      </c>
      <c r="D544" s="2" t="s">
        <v>4843</v>
      </c>
      <c r="E544" s="2" t="s">
        <v>5531</v>
      </c>
      <c r="J544" s="12" t="str">
        <f>VLOOKUP(I544,'Copy of Enriched Data - IPBES G'!$L$2:$L$229,1,false)</f>
        <v>#N/A</v>
      </c>
      <c r="K544" s="2" t="s">
        <v>5532</v>
      </c>
      <c r="M544" s="2" t="s">
        <v>1658</v>
      </c>
      <c r="N544" s="2" t="s">
        <v>1385</v>
      </c>
      <c r="O544" s="2" t="s">
        <v>1386</v>
      </c>
      <c r="AO544" s="2" t="s">
        <v>1368</v>
      </c>
    </row>
    <row r="545" ht="15.75" customHeight="1">
      <c r="A545" s="2" t="s">
        <v>5533</v>
      </c>
      <c r="B545" s="2" t="s">
        <v>1623</v>
      </c>
      <c r="C545" s="2">
        <v>2015.0</v>
      </c>
      <c r="D545" s="2" t="s">
        <v>4843</v>
      </c>
      <c r="E545" s="2" t="s">
        <v>5534</v>
      </c>
      <c r="J545" s="12" t="str">
        <f>VLOOKUP(I545,'Copy of Enriched Data - IPBES G'!$L$2:$L$229,1,false)</f>
        <v>#N/A</v>
      </c>
      <c r="K545" s="2" t="s">
        <v>5535</v>
      </c>
      <c r="M545" s="2" t="s">
        <v>1373</v>
      </c>
      <c r="N545" s="2" t="s">
        <v>1385</v>
      </c>
      <c r="O545" s="2" t="s">
        <v>1386</v>
      </c>
      <c r="AO545" s="2" t="s">
        <v>1368</v>
      </c>
    </row>
    <row r="546" ht="15.75" customHeight="1">
      <c r="A546" s="2" t="s">
        <v>5536</v>
      </c>
      <c r="B546" s="2" t="s">
        <v>1396</v>
      </c>
      <c r="C546" s="2">
        <v>2018.0</v>
      </c>
      <c r="D546" s="2" t="s">
        <v>4843</v>
      </c>
      <c r="E546" s="2" t="s">
        <v>5537</v>
      </c>
      <c r="J546" s="12" t="str">
        <f>VLOOKUP(I546,'Copy of Enriched Data - IPBES G'!$L$2:$L$229,1,false)</f>
        <v>#N/A</v>
      </c>
      <c r="K546" s="2" t="s">
        <v>5538</v>
      </c>
      <c r="M546" s="2" t="s">
        <v>1420</v>
      </c>
      <c r="N546" s="2" t="s">
        <v>1385</v>
      </c>
      <c r="O546" s="2" t="s">
        <v>1386</v>
      </c>
      <c r="AO546" s="2" t="s">
        <v>1368</v>
      </c>
    </row>
    <row r="547" ht="15.75" customHeight="1">
      <c r="A547" s="2" t="s">
        <v>5539</v>
      </c>
      <c r="B547" s="2" t="s">
        <v>1396</v>
      </c>
      <c r="C547" s="2">
        <v>2018.0</v>
      </c>
      <c r="D547" s="2" t="s">
        <v>4843</v>
      </c>
      <c r="E547" s="2" t="s">
        <v>5540</v>
      </c>
      <c r="J547" s="12" t="str">
        <f>VLOOKUP(I547,'Copy of Enriched Data - IPBES G'!$L$2:$L$229,1,false)</f>
        <v>#N/A</v>
      </c>
      <c r="K547" s="2" t="s">
        <v>5541</v>
      </c>
      <c r="M547" s="2" t="s">
        <v>1420</v>
      </c>
      <c r="N547" s="2" t="s">
        <v>1385</v>
      </c>
      <c r="O547" s="2" t="s">
        <v>1386</v>
      </c>
      <c r="AO547" s="2" t="s">
        <v>1368</v>
      </c>
    </row>
    <row r="548" ht="15.75" customHeight="1">
      <c r="A548" s="2" t="s">
        <v>5542</v>
      </c>
      <c r="B548" s="2" t="s">
        <v>1396</v>
      </c>
      <c r="C548" s="2">
        <v>2018.0</v>
      </c>
      <c r="D548" s="2" t="s">
        <v>4843</v>
      </c>
      <c r="E548" s="2" t="s">
        <v>5543</v>
      </c>
      <c r="J548" s="12" t="str">
        <f>VLOOKUP(I548,'Copy of Enriched Data - IPBES G'!$L$2:$L$229,1,false)</f>
        <v>#N/A</v>
      </c>
      <c r="K548" s="2" t="s">
        <v>5544</v>
      </c>
      <c r="M548" s="2" t="s">
        <v>1420</v>
      </c>
      <c r="N548" s="2" t="s">
        <v>1385</v>
      </c>
      <c r="O548" s="2" t="s">
        <v>1386</v>
      </c>
      <c r="AO548" s="2" t="s">
        <v>1368</v>
      </c>
    </row>
    <row r="549" ht="15.75" customHeight="1">
      <c r="A549" s="2" t="s">
        <v>5545</v>
      </c>
      <c r="B549" s="2" t="s">
        <v>1396</v>
      </c>
      <c r="C549" s="2">
        <v>2017.0</v>
      </c>
      <c r="D549" s="2" t="s">
        <v>5505</v>
      </c>
      <c r="E549" s="2" t="s">
        <v>5546</v>
      </c>
      <c r="G549" s="2" t="s">
        <v>5547</v>
      </c>
      <c r="J549" s="12" t="str">
        <f>VLOOKUP(I549,'Copy of Enriched Data - IPBES G'!$L$2:$L$229,1,false)</f>
        <v>#N/A</v>
      </c>
      <c r="L549" s="2" t="s">
        <v>5548</v>
      </c>
      <c r="M549" s="2" t="s">
        <v>1658</v>
      </c>
      <c r="N549" s="2" t="s">
        <v>1385</v>
      </c>
      <c r="O549" s="2" t="s">
        <v>1386</v>
      </c>
      <c r="R549" s="2">
        <v>103.0</v>
      </c>
      <c r="AO549" s="2" t="s">
        <v>1368</v>
      </c>
    </row>
    <row r="550" ht="15.75" customHeight="1">
      <c r="A550" s="2" t="s">
        <v>5549</v>
      </c>
      <c r="B550" s="2" t="s">
        <v>1623</v>
      </c>
      <c r="C550" s="2">
        <v>2010.0</v>
      </c>
      <c r="D550" s="2" t="s">
        <v>5550</v>
      </c>
      <c r="E550" s="2" t="s">
        <v>5551</v>
      </c>
      <c r="J550" s="12" t="str">
        <f>VLOOKUP(I550,'Copy of Enriched Data - IPBES G'!$L$2:$L$229,1,false)</f>
        <v>#N/A</v>
      </c>
      <c r="M550" s="2" t="s">
        <v>1449</v>
      </c>
      <c r="N550" s="2" t="s">
        <v>1385</v>
      </c>
      <c r="O550" s="2" t="s">
        <v>1386</v>
      </c>
      <c r="Q550" s="2" t="s">
        <v>5552</v>
      </c>
      <c r="AO550" s="2" t="s">
        <v>1368</v>
      </c>
    </row>
    <row r="551" ht="15.75" customHeight="1">
      <c r="A551" s="2" t="s">
        <v>5553</v>
      </c>
      <c r="B551" s="2" t="s">
        <v>1361</v>
      </c>
      <c r="C551" s="2">
        <v>2017.0</v>
      </c>
      <c r="D551" s="2" t="s">
        <v>2487</v>
      </c>
      <c r="E551" s="2" t="s">
        <v>5554</v>
      </c>
      <c r="J551" s="12" t="str">
        <f>VLOOKUP(I551,'Copy of Enriched Data - IPBES G'!$L$2:$L$229,1,false)</f>
        <v>#N/A</v>
      </c>
      <c r="M551" s="2" t="s">
        <v>1658</v>
      </c>
      <c r="N551" s="2" t="s">
        <v>1385</v>
      </c>
      <c r="O551" s="2" t="s">
        <v>1386</v>
      </c>
      <c r="AO551" s="2" t="s">
        <v>1368</v>
      </c>
    </row>
    <row r="552" ht="15.75" customHeight="1">
      <c r="A552" s="2" t="s">
        <v>5555</v>
      </c>
      <c r="B552" s="2" t="s">
        <v>1361</v>
      </c>
      <c r="C552" s="2">
        <v>2012.0</v>
      </c>
      <c r="D552" s="2" t="s">
        <v>5556</v>
      </c>
      <c r="E552" s="2" t="s">
        <v>5557</v>
      </c>
      <c r="F552" s="2" t="s">
        <v>5558</v>
      </c>
      <c r="H552" s="2" t="s">
        <v>5559</v>
      </c>
      <c r="I552" s="2" t="s">
        <v>5560</v>
      </c>
      <c r="J552" s="12" t="str">
        <f>VLOOKUP(I552,'Copy of Enriched Data - IPBES G'!$L$2:$L$229,1,false)</f>
        <v>#N/A</v>
      </c>
      <c r="L552" s="2" t="s">
        <v>5561</v>
      </c>
      <c r="M552" s="2" t="s">
        <v>1405</v>
      </c>
      <c r="N552" s="2" t="s">
        <v>1385</v>
      </c>
      <c r="O552" s="2" t="s">
        <v>1386</v>
      </c>
      <c r="AO552" s="2" t="s">
        <v>1368</v>
      </c>
    </row>
    <row r="553" ht="15.75" customHeight="1">
      <c r="A553" s="2" t="s">
        <v>5562</v>
      </c>
      <c r="B553" s="2" t="s">
        <v>1766</v>
      </c>
      <c r="C553" s="2">
        <v>2009.0</v>
      </c>
      <c r="D553" s="2" t="s">
        <v>5563</v>
      </c>
      <c r="E553" s="2" t="s">
        <v>5564</v>
      </c>
      <c r="F553" s="2" t="s">
        <v>5565</v>
      </c>
      <c r="J553" s="12" t="str">
        <f>VLOOKUP(I553,'Copy of Enriched Data - IPBES G'!$L$2:$L$229,1,false)</f>
        <v>#N/A</v>
      </c>
      <c r="M553" s="2" t="s">
        <v>1364</v>
      </c>
      <c r="N553" s="2" t="s">
        <v>1385</v>
      </c>
      <c r="O553" s="2" t="s">
        <v>1386</v>
      </c>
      <c r="Q553" s="2" t="s">
        <v>5566</v>
      </c>
      <c r="AB553" s="2" t="s">
        <v>2441</v>
      </c>
      <c r="AC553" s="2" t="s">
        <v>2146</v>
      </c>
      <c r="AO553" s="2" t="s">
        <v>1368</v>
      </c>
      <c r="AQ553" s="2" t="s">
        <v>5567</v>
      </c>
    </row>
    <row r="554" ht="15.75" customHeight="1">
      <c r="A554" s="2" t="s">
        <v>5568</v>
      </c>
      <c r="B554" s="2" t="s">
        <v>1396</v>
      </c>
      <c r="C554" s="2">
        <v>1992.0</v>
      </c>
      <c r="D554" s="2" t="s">
        <v>5569</v>
      </c>
      <c r="E554" s="2" t="s">
        <v>5570</v>
      </c>
      <c r="J554" s="12" t="str">
        <f>VLOOKUP(I554,'Copy of Enriched Data - IPBES G'!$L$2:$L$229,1,false)</f>
        <v>#N/A</v>
      </c>
      <c r="M554" s="2" t="s">
        <v>3458</v>
      </c>
      <c r="N554" s="2" t="s">
        <v>1385</v>
      </c>
      <c r="O554" s="2" t="s">
        <v>1386</v>
      </c>
      <c r="AB554" s="2" t="s">
        <v>5571</v>
      </c>
      <c r="AO554" s="2" t="s">
        <v>1368</v>
      </c>
    </row>
    <row r="555" ht="15.75" customHeight="1">
      <c r="A555" s="2" t="s">
        <v>5572</v>
      </c>
      <c r="B555" s="2" t="s">
        <v>1361</v>
      </c>
      <c r="C555" s="2">
        <v>2009.0</v>
      </c>
      <c r="D555" s="2" t="s">
        <v>5573</v>
      </c>
      <c r="E555" s="2" t="s">
        <v>5574</v>
      </c>
      <c r="F555" s="2" t="s">
        <v>5575</v>
      </c>
      <c r="H555" s="2" t="s">
        <v>5576</v>
      </c>
      <c r="I555" s="2" t="s">
        <v>5577</v>
      </c>
      <c r="J555" s="12" t="str">
        <f>VLOOKUP(I555,'Copy of Enriched Data - IPBES G'!$L$2:$L$229,1,false)</f>
        <v>#N/A</v>
      </c>
      <c r="L555" s="2" t="s">
        <v>5578</v>
      </c>
      <c r="M555" s="2" t="s">
        <v>1364</v>
      </c>
      <c r="N555" s="2" t="s">
        <v>1385</v>
      </c>
      <c r="O555" s="2" t="s">
        <v>1386</v>
      </c>
      <c r="AO555" s="2" t="s">
        <v>1368</v>
      </c>
    </row>
    <row r="556" ht="15.75" customHeight="1">
      <c r="A556" s="2" t="s">
        <v>5579</v>
      </c>
      <c r="B556" s="2" t="s">
        <v>1361</v>
      </c>
      <c r="C556" s="2">
        <v>2009.0</v>
      </c>
      <c r="D556" s="2" t="s">
        <v>5580</v>
      </c>
      <c r="E556" s="2" t="s">
        <v>5581</v>
      </c>
      <c r="F556" s="2" t="s">
        <v>5582</v>
      </c>
      <c r="H556" s="2" t="s">
        <v>5583</v>
      </c>
      <c r="I556" s="2" t="s">
        <v>5584</v>
      </c>
      <c r="J556" s="12" t="str">
        <f>VLOOKUP(I556,'Copy of Enriched Data - IPBES G'!$L$2:$L$229,1,false)</f>
        <v>#N/A</v>
      </c>
      <c r="L556" s="2" t="s">
        <v>5585</v>
      </c>
      <c r="M556" s="2" t="s">
        <v>1364</v>
      </c>
      <c r="N556" s="2" t="s">
        <v>1385</v>
      </c>
      <c r="O556" s="2" t="s">
        <v>1386</v>
      </c>
      <c r="AO556" s="2" t="s">
        <v>1368</v>
      </c>
    </row>
    <row r="557" ht="15.75" customHeight="1">
      <c r="A557" s="2" t="s">
        <v>5586</v>
      </c>
      <c r="B557" s="2" t="s">
        <v>1361</v>
      </c>
      <c r="C557" s="2">
        <v>2017.0</v>
      </c>
      <c r="D557" s="2" t="s">
        <v>5587</v>
      </c>
      <c r="E557" s="2" t="s">
        <v>5588</v>
      </c>
      <c r="F557" s="2" t="s">
        <v>1688</v>
      </c>
      <c r="H557" s="2" t="s">
        <v>1689</v>
      </c>
      <c r="I557" s="2" t="s">
        <v>5589</v>
      </c>
      <c r="J557" s="12" t="str">
        <f>VLOOKUP(I557,'Copy of Enriched Data - IPBES G'!$L$2:$L$229,1,false)</f>
        <v>#N/A</v>
      </c>
      <c r="L557" s="2" t="s">
        <v>5590</v>
      </c>
      <c r="M557" s="2" t="s">
        <v>1709</v>
      </c>
      <c r="N557" s="2" t="s">
        <v>1385</v>
      </c>
      <c r="O557" s="2" t="s">
        <v>1386</v>
      </c>
      <c r="Q557" s="2" t="s">
        <v>5591</v>
      </c>
      <c r="S557" s="2" t="s">
        <v>2637</v>
      </c>
      <c r="T557" s="2">
        <v>114.0</v>
      </c>
      <c r="AO557" s="2" t="s">
        <v>1368</v>
      </c>
    </row>
    <row r="558" ht="15.75" customHeight="1">
      <c r="A558" s="2" t="s">
        <v>5592</v>
      </c>
      <c r="B558" s="2" t="s">
        <v>1361</v>
      </c>
      <c r="C558" s="2">
        <v>2015.0</v>
      </c>
      <c r="D558" s="2" t="s">
        <v>5593</v>
      </c>
      <c r="E558" s="2" t="s">
        <v>5594</v>
      </c>
      <c r="F558" s="2" t="s">
        <v>5595</v>
      </c>
      <c r="H558" s="2" t="s">
        <v>5596</v>
      </c>
      <c r="I558" s="2" t="s">
        <v>5597</v>
      </c>
      <c r="J558" s="12" t="str">
        <f>VLOOKUP(I558,'Copy of Enriched Data - IPBES G'!$L$2:$L$229,1,false)</f>
        <v>#N/A</v>
      </c>
      <c r="L558" s="2" t="s">
        <v>5598</v>
      </c>
      <c r="M558" s="2" t="s">
        <v>5599</v>
      </c>
      <c r="N558" s="2" t="s">
        <v>1385</v>
      </c>
      <c r="O558" s="2" t="s">
        <v>1386</v>
      </c>
      <c r="Q558" s="2" t="s">
        <v>5600</v>
      </c>
      <c r="T558" s="2">
        <v>14.0</v>
      </c>
      <c r="AO558" s="2" t="s">
        <v>1368</v>
      </c>
    </row>
    <row r="559" ht="15.75" customHeight="1">
      <c r="A559" s="2" t="s">
        <v>5601</v>
      </c>
      <c r="B559" s="2" t="s">
        <v>1396</v>
      </c>
      <c r="C559" s="2">
        <v>2003.0</v>
      </c>
      <c r="D559" s="2" t="s">
        <v>5602</v>
      </c>
      <c r="E559" s="2" t="s">
        <v>5603</v>
      </c>
      <c r="J559" s="12" t="str">
        <f>VLOOKUP(I559,'Copy of Enriched Data - IPBES G'!$L$2:$L$229,1,false)</f>
        <v>#N/A</v>
      </c>
      <c r="M559" s="2" t="s">
        <v>1606</v>
      </c>
      <c r="N559" s="2" t="s">
        <v>1385</v>
      </c>
      <c r="O559" s="2" t="s">
        <v>1386</v>
      </c>
      <c r="AB559" s="2" t="s">
        <v>5604</v>
      </c>
      <c r="AC559" s="2" t="s">
        <v>5605</v>
      </c>
      <c r="AO559" s="2" t="s">
        <v>1368</v>
      </c>
    </row>
    <row r="560" ht="15.75" customHeight="1">
      <c r="A560" s="2" t="s">
        <v>5606</v>
      </c>
      <c r="B560" s="2" t="s">
        <v>1361</v>
      </c>
      <c r="C560" s="2">
        <v>2015.0</v>
      </c>
      <c r="D560" s="2" t="s">
        <v>5607</v>
      </c>
      <c r="E560" s="2" t="s">
        <v>5608</v>
      </c>
      <c r="F560" s="2" t="s">
        <v>5609</v>
      </c>
      <c r="H560" s="2" t="s">
        <v>5610</v>
      </c>
      <c r="I560" s="2" t="s">
        <v>5611</v>
      </c>
      <c r="J560" s="12" t="str">
        <f>VLOOKUP(I560,'Copy of Enriched Data - IPBES G'!$L$2:$L$229,1,false)</f>
        <v>#N/A</v>
      </c>
      <c r="K560" s="2" t="s">
        <v>5612</v>
      </c>
      <c r="L560" s="2" t="s">
        <v>5613</v>
      </c>
      <c r="M560" s="2" t="s">
        <v>5599</v>
      </c>
      <c r="N560" s="2" t="s">
        <v>1385</v>
      </c>
      <c r="O560" s="2" t="s">
        <v>1386</v>
      </c>
      <c r="Q560" s="2" t="s">
        <v>5614</v>
      </c>
      <c r="S560" s="2" t="s">
        <v>2271</v>
      </c>
      <c r="T560" s="2">
        <v>15.0</v>
      </c>
      <c r="AO560" s="2" t="s">
        <v>1368</v>
      </c>
    </row>
    <row r="561" ht="15.75" customHeight="1">
      <c r="A561" s="2" t="s">
        <v>5615</v>
      </c>
      <c r="B561" s="2" t="s">
        <v>1361</v>
      </c>
      <c r="C561" s="2">
        <v>2017.0</v>
      </c>
      <c r="D561" s="2" t="s">
        <v>5616</v>
      </c>
      <c r="E561" s="2" t="s">
        <v>5617</v>
      </c>
      <c r="F561" s="2" t="s">
        <v>1380</v>
      </c>
      <c r="H561" s="2" t="s">
        <v>1381</v>
      </c>
      <c r="I561" s="2" t="s">
        <v>5618</v>
      </c>
      <c r="J561" s="12" t="str">
        <f>VLOOKUP(I561,'Copy of Enriched Data - IPBES G'!$L$2:$L$229,1,false)</f>
        <v>#N/A</v>
      </c>
      <c r="M561" s="2" t="s">
        <v>5619</v>
      </c>
      <c r="N561" s="2" t="s">
        <v>1385</v>
      </c>
      <c r="O561" s="2" t="s">
        <v>1386</v>
      </c>
      <c r="Q561" s="2" t="s">
        <v>5620</v>
      </c>
      <c r="S561" s="2" t="s">
        <v>5621</v>
      </c>
      <c r="T561" s="2">
        <v>543.0</v>
      </c>
      <c r="AO561" s="2" t="s">
        <v>1368</v>
      </c>
    </row>
    <row r="562" ht="15.75" customHeight="1">
      <c r="A562" s="2" t="s">
        <v>5622</v>
      </c>
      <c r="B562" s="2" t="s">
        <v>1766</v>
      </c>
      <c r="C562" s="2">
        <v>2010.0</v>
      </c>
      <c r="D562" s="2" t="s">
        <v>5623</v>
      </c>
      <c r="E562" s="2" t="s">
        <v>5624</v>
      </c>
      <c r="F562" s="2" t="s">
        <v>5625</v>
      </c>
      <c r="J562" s="12" t="str">
        <f>VLOOKUP(I562,'Copy of Enriched Data - IPBES G'!$L$2:$L$229,1,false)</f>
        <v>#N/A</v>
      </c>
      <c r="M562" s="2" t="s">
        <v>1449</v>
      </c>
      <c r="N562" s="2" t="s">
        <v>1385</v>
      </c>
      <c r="O562" s="2" t="s">
        <v>1386</v>
      </c>
      <c r="AB562" s="2" t="s">
        <v>5626</v>
      </c>
      <c r="AC562" s="2" t="s">
        <v>5627</v>
      </c>
      <c r="AO562" s="2" t="s">
        <v>1368</v>
      </c>
      <c r="AQ562" s="2" t="s">
        <v>5628</v>
      </c>
    </row>
    <row r="563" ht="15.75" customHeight="1">
      <c r="A563" s="2" t="s">
        <v>5629</v>
      </c>
      <c r="B563" s="2" t="s">
        <v>1361</v>
      </c>
      <c r="C563" s="2">
        <v>2015.0</v>
      </c>
      <c r="D563" s="2" t="s">
        <v>5630</v>
      </c>
      <c r="E563" s="2" t="s">
        <v>5631</v>
      </c>
      <c r="J563" s="12" t="str">
        <f>VLOOKUP(I563,'Copy of Enriched Data - IPBES G'!$L$2:$L$229,1,false)</f>
        <v>#N/A</v>
      </c>
      <c r="K563" s="2" t="s">
        <v>5632</v>
      </c>
      <c r="M563" s="2" t="s">
        <v>1373</v>
      </c>
      <c r="N563" s="2" t="s">
        <v>1385</v>
      </c>
      <c r="O563" s="2" t="s">
        <v>1386</v>
      </c>
      <c r="S563" s="2" t="s">
        <v>5633</v>
      </c>
      <c r="AO563" s="2" t="s">
        <v>1368</v>
      </c>
    </row>
    <row r="564" ht="15.75" customHeight="1">
      <c r="A564" s="2" t="s">
        <v>5634</v>
      </c>
      <c r="B564" s="2" t="s">
        <v>1396</v>
      </c>
      <c r="C564" s="2">
        <v>2000.0</v>
      </c>
      <c r="D564" s="2" t="s">
        <v>2487</v>
      </c>
      <c r="E564" s="2" t="s">
        <v>5635</v>
      </c>
      <c r="J564" s="12" t="str">
        <f>VLOOKUP(I564,'Copy of Enriched Data - IPBES G'!$L$2:$L$229,1,false)</f>
        <v>#N/A</v>
      </c>
      <c r="M564" s="2" t="s">
        <v>2429</v>
      </c>
      <c r="N564" s="2" t="s">
        <v>1385</v>
      </c>
      <c r="O564" s="2" t="s">
        <v>1386</v>
      </c>
      <c r="AB564" s="2" t="s">
        <v>5636</v>
      </c>
      <c r="AO564" s="2" t="s">
        <v>1368</v>
      </c>
    </row>
    <row r="565" ht="15.75" customHeight="1">
      <c r="A565" s="2" t="s">
        <v>5637</v>
      </c>
      <c r="B565" s="2" t="s">
        <v>1361</v>
      </c>
      <c r="C565" s="2">
        <v>2014.0</v>
      </c>
      <c r="D565" s="2" t="s">
        <v>5638</v>
      </c>
      <c r="E565" s="2" t="s">
        <v>5639</v>
      </c>
      <c r="J565" s="12" t="str">
        <f>VLOOKUP(I565,'Copy of Enriched Data - IPBES G'!$L$2:$L$229,1,false)</f>
        <v>#N/A</v>
      </c>
      <c r="K565" s="2" t="s">
        <v>5640</v>
      </c>
      <c r="M565" s="2" t="s">
        <v>1476</v>
      </c>
      <c r="N565" s="2" t="s">
        <v>1385</v>
      </c>
      <c r="O565" s="2" t="s">
        <v>1386</v>
      </c>
      <c r="AO565" s="2" t="s">
        <v>1368</v>
      </c>
    </row>
    <row r="566" ht="15.75" customHeight="1">
      <c r="A566" s="2" t="s">
        <v>5641</v>
      </c>
      <c r="B566" s="2" t="s">
        <v>1361</v>
      </c>
      <c r="C566" s="2">
        <v>2017.0</v>
      </c>
      <c r="D566" s="2" t="s">
        <v>5630</v>
      </c>
      <c r="E566" s="2" t="s">
        <v>5639</v>
      </c>
      <c r="J566" s="12" t="str">
        <f>VLOOKUP(I566,'Copy of Enriched Data - IPBES G'!$L$2:$L$229,1,false)</f>
        <v>#N/A</v>
      </c>
      <c r="M566" s="2" t="s">
        <v>1658</v>
      </c>
      <c r="N566" s="2" t="s">
        <v>1385</v>
      </c>
      <c r="O566" s="2" t="s">
        <v>1386</v>
      </c>
      <c r="AO566" s="2" t="s">
        <v>1368</v>
      </c>
    </row>
    <row r="567" ht="15.75" customHeight="1">
      <c r="A567" s="2" t="s">
        <v>5642</v>
      </c>
      <c r="B567" s="2" t="s">
        <v>1361</v>
      </c>
      <c r="C567" s="2">
        <v>2007.0</v>
      </c>
      <c r="D567" s="2" t="s">
        <v>5643</v>
      </c>
      <c r="E567" s="2" t="s">
        <v>5644</v>
      </c>
      <c r="F567" s="2" t="s">
        <v>5645</v>
      </c>
      <c r="I567" s="2" t="s">
        <v>5646</v>
      </c>
      <c r="J567" s="12" t="str">
        <f>VLOOKUP(I567,'Copy of Enriched Data - IPBES G'!$L$2:$L$229,1,false)</f>
        <v>#N/A</v>
      </c>
      <c r="M567" s="2" t="s">
        <v>2380</v>
      </c>
      <c r="N567" s="2" t="s">
        <v>5647</v>
      </c>
      <c r="O567" s="2" t="s">
        <v>5648</v>
      </c>
      <c r="Q567" s="2" t="s">
        <v>5649</v>
      </c>
      <c r="S567" s="2" t="s">
        <v>5423</v>
      </c>
      <c r="T567" s="2" t="s">
        <v>3136</v>
      </c>
      <c r="AO567" s="2" t="s">
        <v>1368</v>
      </c>
    </row>
    <row r="568" ht="15.75" customHeight="1">
      <c r="A568" s="2" t="s">
        <v>5650</v>
      </c>
      <c r="B568" s="2" t="s">
        <v>1361</v>
      </c>
      <c r="C568" s="2">
        <v>2000.0</v>
      </c>
      <c r="D568" s="2" t="s">
        <v>5651</v>
      </c>
      <c r="E568" s="2" t="s">
        <v>5652</v>
      </c>
      <c r="F568" s="2" t="s">
        <v>5653</v>
      </c>
      <c r="J568" s="12" t="str">
        <f>VLOOKUP(I568,'Copy of Enriched Data - IPBES G'!$L$2:$L$229,1,false)</f>
        <v>#N/A</v>
      </c>
      <c r="M568" s="2" t="s">
        <v>2429</v>
      </c>
      <c r="N568" s="2" t="s">
        <v>5654</v>
      </c>
      <c r="O568" s="2" t="s">
        <v>5655</v>
      </c>
      <c r="Q568" s="2" t="s">
        <v>5656</v>
      </c>
      <c r="S568" s="2" t="s">
        <v>1462</v>
      </c>
      <c r="T568" s="2" t="s">
        <v>5657</v>
      </c>
      <c r="AO568" s="2" t="s">
        <v>1368</v>
      </c>
    </row>
    <row r="569" ht="15.75" customHeight="1">
      <c r="A569" s="2" t="s">
        <v>5658</v>
      </c>
      <c r="B569" s="2" t="s">
        <v>1361</v>
      </c>
      <c r="C569" s="2">
        <v>1991.0</v>
      </c>
      <c r="D569" s="2" t="s">
        <v>5659</v>
      </c>
      <c r="E569" s="2" t="s">
        <v>5660</v>
      </c>
      <c r="J569" s="12" t="str">
        <f>VLOOKUP(I569,'Copy of Enriched Data - IPBES G'!$L$2:$L$229,1,false)</f>
        <v>#N/A</v>
      </c>
      <c r="M569" s="2" t="s">
        <v>2607</v>
      </c>
      <c r="N569" s="2" t="s">
        <v>5661</v>
      </c>
      <c r="O569" s="2" t="s">
        <v>5662</v>
      </c>
      <c r="AO569" s="2" t="s">
        <v>1368</v>
      </c>
    </row>
    <row r="570" ht="15.75" customHeight="1">
      <c r="A570" s="2" t="s">
        <v>5663</v>
      </c>
      <c r="B570" s="2" t="s">
        <v>1361</v>
      </c>
      <c r="C570" s="2">
        <v>1989.0</v>
      </c>
      <c r="D570" s="2" t="s">
        <v>5664</v>
      </c>
      <c r="E570" s="2" t="s">
        <v>5665</v>
      </c>
      <c r="F570" s="2" t="s">
        <v>5666</v>
      </c>
      <c r="H570" s="2" t="s">
        <v>5667</v>
      </c>
      <c r="I570" s="2" t="s">
        <v>5668</v>
      </c>
      <c r="J570" s="12" t="str">
        <f>VLOOKUP(I570,'Copy of Enriched Data - IPBES G'!$L$2:$L$229,1,false)</f>
        <v>#N/A</v>
      </c>
      <c r="L570" s="2" t="s">
        <v>5669</v>
      </c>
      <c r="M570" s="2" t="s">
        <v>2701</v>
      </c>
      <c r="N570" s="2" t="s">
        <v>5670</v>
      </c>
      <c r="O570" s="2" t="s">
        <v>5671</v>
      </c>
      <c r="AO570" s="2" t="s">
        <v>1368</v>
      </c>
    </row>
    <row r="571" ht="15.75" customHeight="1">
      <c r="A571" s="2" t="s">
        <v>5672</v>
      </c>
      <c r="B571" s="2" t="s">
        <v>1361</v>
      </c>
      <c r="C571" s="2">
        <v>2004.0</v>
      </c>
      <c r="D571" s="2" t="s">
        <v>5673</v>
      </c>
      <c r="E571" s="2" t="s">
        <v>5674</v>
      </c>
      <c r="F571" s="2" t="s">
        <v>1825</v>
      </c>
      <c r="I571" s="2" t="s">
        <v>5675</v>
      </c>
      <c r="J571" s="12" t="str">
        <f>VLOOKUP(I571,'Copy of Enriched Data - IPBES G'!$L$2:$L$229,1,false)</f>
        <v>#N/A</v>
      </c>
      <c r="L571" s="2" t="s">
        <v>5676</v>
      </c>
      <c r="M571" s="2" t="s">
        <v>2373</v>
      </c>
      <c r="N571" s="2" t="s">
        <v>5677</v>
      </c>
      <c r="O571" s="2" t="s">
        <v>5678</v>
      </c>
      <c r="Q571" s="2" t="s">
        <v>5679</v>
      </c>
      <c r="S571" s="2" t="s">
        <v>1480</v>
      </c>
      <c r="T571" s="2" t="s">
        <v>5680</v>
      </c>
      <c r="AO571" s="2" t="s">
        <v>1368</v>
      </c>
    </row>
    <row r="572" ht="15.75" customHeight="1">
      <c r="A572" s="2" t="s">
        <v>5681</v>
      </c>
      <c r="B572" s="2" t="s">
        <v>1361</v>
      </c>
      <c r="C572" s="2">
        <v>2006.0</v>
      </c>
      <c r="D572" s="2" t="s">
        <v>5682</v>
      </c>
      <c r="E572" s="2" t="s">
        <v>5683</v>
      </c>
      <c r="F572" s="2" t="s">
        <v>5684</v>
      </c>
      <c r="J572" s="12" t="str">
        <f>VLOOKUP(I572,'Copy of Enriched Data - IPBES G'!$L$2:$L$229,1,false)</f>
        <v>#N/A</v>
      </c>
      <c r="M572" s="2" t="s">
        <v>1727</v>
      </c>
      <c r="N572" s="2" t="s">
        <v>5685</v>
      </c>
      <c r="O572" s="2" t="s">
        <v>5686</v>
      </c>
      <c r="Q572" s="2" t="s">
        <v>5687</v>
      </c>
      <c r="AO572" s="2" t="s">
        <v>1368</v>
      </c>
    </row>
    <row r="573" ht="15.75" customHeight="1">
      <c r="A573" s="2" t="s">
        <v>5688</v>
      </c>
      <c r="B573" s="2" t="s">
        <v>1361</v>
      </c>
      <c r="C573" s="2">
        <v>1999.0</v>
      </c>
      <c r="D573" s="2" t="s">
        <v>5689</v>
      </c>
      <c r="E573" s="2" t="s">
        <v>5690</v>
      </c>
      <c r="F573" s="2" t="s">
        <v>1425</v>
      </c>
      <c r="I573" s="2" t="s">
        <v>5691</v>
      </c>
      <c r="J573" s="12" t="str">
        <f>VLOOKUP(I573,'Copy of Enriched Data - IPBES G'!$L$2:$L$229,1,false)</f>
        <v>#N/A</v>
      </c>
      <c r="M573" s="2" t="s">
        <v>1434</v>
      </c>
      <c r="N573" s="2" t="s">
        <v>3961</v>
      </c>
      <c r="O573" s="2" t="s">
        <v>3962</v>
      </c>
      <c r="Q573" s="2" t="s">
        <v>5692</v>
      </c>
      <c r="T573" s="2" t="s">
        <v>3417</v>
      </c>
      <c r="AO573" s="2" t="s">
        <v>1368</v>
      </c>
    </row>
    <row r="574" ht="15.75" customHeight="1">
      <c r="A574" s="2" t="s">
        <v>5693</v>
      </c>
      <c r="B574" s="2" t="s">
        <v>2615</v>
      </c>
      <c r="C574" s="2">
        <v>1998.0</v>
      </c>
      <c r="D574" s="2" t="s">
        <v>5694</v>
      </c>
      <c r="E574" s="2" t="s">
        <v>5695</v>
      </c>
      <c r="F574" s="2" t="s">
        <v>5696</v>
      </c>
      <c r="J574" s="12" t="str">
        <f>VLOOKUP(I574,'Copy of Enriched Data - IPBES G'!$L$2:$L$229,1,false)</f>
        <v>#N/A</v>
      </c>
      <c r="M574" s="2" t="s">
        <v>1958</v>
      </c>
      <c r="N574" s="2" t="s">
        <v>5697</v>
      </c>
      <c r="O574" s="2" t="s">
        <v>5698</v>
      </c>
      <c r="AO574" s="2" t="s">
        <v>1368</v>
      </c>
    </row>
    <row r="575" ht="15.75" customHeight="1">
      <c r="A575" s="2" t="s">
        <v>5699</v>
      </c>
      <c r="B575" s="2" t="s">
        <v>1361</v>
      </c>
      <c r="C575" s="2">
        <v>2005.0</v>
      </c>
      <c r="D575" s="2" t="s">
        <v>5700</v>
      </c>
      <c r="E575" s="2" t="s">
        <v>5701</v>
      </c>
      <c r="F575" s="2" t="s">
        <v>5702</v>
      </c>
      <c r="I575" s="2" t="s">
        <v>5703</v>
      </c>
      <c r="J575" s="12" t="str">
        <f>VLOOKUP(I575,'Copy of Enriched Data - IPBES G'!$L$2:$L$229,1,false)</f>
        <v>#N/A</v>
      </c>
      <c r="M575" s="2" t="s">
        <v>1394</v>
      </c>
      <c r="N575" s="2" t="s">
        <v>5704</v>
      </c>
      <c r="O575" s="2" t="s">
        <v>5705</v>
      </c>
      <c r="Q575" s="2" t="s">
        <v>5706</v>
      </c>
      <c r="S575" s="2" t="s">
        <v>1506</v>
      </c>
      <c r="T575" s="2" t="s">
        <v>2637</v>
      </c>
      <c r="AO575" s="2" t="s">
        <v>1368</v>
      </c>
    </row>
    <row r="576" ht="15.75" customHeight="1">
      <c r="A576" s="2" t="s">
        <v>5707</v>
      </c>
      <c r="B576" s="2" t="s">
        <v>1361</v>
      </c>
      <c r="C576" s="2">
        <v>2012.0</v>
      </c>
      <c r="D576" s="2" t="s">
        <v>5708</v>
      </c>
      <c r="E576" s="2" t="s">
        <v>5709</v>
      </c>
      <c r="F576" s="2" t="s">
        <v>5710</v>
      </c>
      <c r="I576" s="2" t="s">
        <v>5711</v>
      </c>
      <c r="J576" s="12" t="str">
        <f>VLOOKUP(I576,'Copy of Enriched Data - IPBES G'!$L$2:$L$229,1,false)</f>
        <v>#N/A</v>
      </c>
      <c r="M576" s="2" t="s">
        <v>1405</v>
      </c>
      <c r="N576" s="2" t="s">
        <v>5712</v>
      </c>
      <c r="O576" s="2" t="s">
        <v>5713</v>
      </c>
      <c r="Q576" s="2" t="s">
        <v>5714</v>
      </c>
      <c r="T576" s="2" t="s">
        <v>5715</v>
      </c>
      <c r="AO576" s="2" t="s">
        <v>1368</v>
      </c>
    </row>
    <row r="577" ht="15.75" customHeight="1">
      <c r="A577" s="2" t="s">
        <v>5716</v>
      </c>
      <c r="B577" s="2" t="s">
        <v>1361</v>
      </c>
      <c r="C577" s="2">
        <v>1989.0</v>
      </c>
      <c r="D577" s="2" t="s">
        <v>5717</v>
      </c>
      <c r="E577" s="2" t="s">
        <v>5718</v>
      </c>
      <c r="F577" s="2" t="s">
        <v>4679</v>
      </c>
      <c r="J577" s="12" t="str">
        <f>VLOOKUP(I577,'Copy of Enriched Data - IPBES G'!$L$2:$L$229,1,false)</f>
        <v>#N/A</v>
      </c>
      <c r="M577" s="2" t="s">
        <v>2701</v>
      </c>
      <c r="N577" s="2" t="s">
        <v>5719</v>
      </c>
      <c r="O577" s="2" t="s">
        <v>5720</v>
      </c>
      <c r="Q577" s="2" t="s">
        <v>5721</v>
      </c>
      <c r="S577" s="2" t="s">
        <v>1462</v>
      </c>
      <c r="T577" s="2" t="s">
        <v>1453</v>
      </c>
      <c r="AO577" s="2" t="s">
        <v>1368</v>
      </c>
    </row>
    <row r="578" ht="15.75" customHeight="1">
      <c r="A578" s="2" t="s">
        <v>5722</v>
      </c>
      <c r="B578" s="2" t="s">
        <v>1361</v>
      </c>
      <c r="C578" s="2">
        <v>2017.0</v>
      </c>
      <c r="D578" s="2" t="s">
        <v>5723</v>
      </c>
      <c r="E578" s="2" t="s">
        <v>5724</v>
      </c>
      <c r="F578" s="2" t="s">
        <v>3689</v>
      </c>
      <c r="I578" s="2" t="s">
        <v>5725</v>
      </c>
      <c r="J578" s="12" t="str">
        <f>VLOOKUP(I578,'Copy of Enriched Data - IPBES G'!$L$2:$L$229,1,false)</f>
        <v>#N/A</v>
      </c>
      <c r="M578" s="2" t="s">
        <v>1658</v>
      </c>
      <c r="N578" s="2" t="s">
        <v>5726</v>
      </c>
      <c r="O578" s="2" t="s">
        <v>5727</v>
      </c>
      <c r="Q578" s="2" t="s">
        <v>5728</v>
      </c>
      <c r="T578" s="2" t="s">
        <v>2237</v>
      </c>
      <c r="AO578" s="2" t="s">
        <v>1368</v>
      </c>
    </row>
    <row r="579" ht="15.75" customHeight="1">
      <c r="A579" s="2" t="s">
        <v>5729</v>
      </c>
      <c r="B579" s="2" t="s">
        <v>1361</v>
      </c>
      <c r="C579" s="2">
        <v>2007.0</v>
      </c>
      <c r="D579" s="2" t="s">
        <v>5730</v>
      </c>
      <c r="E579" s="2" t="s">
        <v>5731</v>
      </c>
      <c r="F579" s="2" t="s">
        <v>5732</v>
      </c>
      <c r="I579" s="2" t="s">
        <v>5733</v>
      </c>
      <c r="J579" s="12" t="str">
        <f>VLOOKUP(I579,'Copy of Enriched Data - IPBES G'!$L$2:$L$229,1,false)</f>
        <v>#N/A</v>
      </c>
      <c r="M579" s="2" t="s">
        <v>2380</v>
      </c>
      <c r="N579" s="2" t="s">
        <v>5734</v>
      </c>
      <c r="O579" s="2" t="s">
        <v>5735</v>
      </c>
      <c r="Q579" s="2" t="s">
        <v>5736</v>
      </c>
      <c r="S579" s="2" t="s">
        <v>1462</v>
      </c>
      <c r="T579" s="2" t="s">
        <v>5737</v>
      </c>
      <c r="AO579" s="2" t="s">
        <v>1368</v>
      </c>
    </row>
    <row r="580" ht="15.75" customHeight="1">
      <c r="A580" s="2" t="s">
        <v>5738</v>
      </c>
      <c r="B580" s="2" t="s">
        <v>1361</v>
      </c>
      <c r="C580" s="2">
        <v>1995.0</v>
      </c>
      <c r="D580" s="2" t="s">
        <v>5739</v>
      </c>
      <c r="E580" s="2" t="s">
        <v>5740</v>
      </c>
      <c r="F580" s="2" t="s">
        <v>5741</v>
      </c>
      <c r="I580" s="2" t="s">
        <v>5742</v>
      </c>
      <c r="J580" s="12" t="str">
        <f>VLOOKUP(I580,'Copy of Enriched Data - IPBES G'!$L$2:$L$229,1,false)</f>
        <v>#N/A</v>
      </c>
      <c r="M580" s="2" t="s">
        <v>2089</v>
      </c>
      <c r="N580" s="2" t="s">
        <v>5743</v>
      </c>
      <c r="O580" s="2" t="s">
        <v>5744</v>
      </c>
      <c r="Q580" s="2" t="s">
        <v>5745</v>
      </c>
      <c r="S580" s="2" t="s">
        <v>1600</v>
      </c>
      <c r="T580" s="2" t="s">
        <v>3306</v>
      </c>
      <c r="AO580" s="2" t="s">
        <v>1368</v>
      </c>
    </row>
    <row r="581" ht="15.75" customHeight="1">
      <c r="A581" s="2" t="s">
        <v>5746</v>
      </c>
      <c r="B581" s="2" t="s">
        <v>1361</v>
      </c>
      <c r="C581" s="2">
        <v>2009.0</v>
      </c>
      <c r="D581" s="2" t="s">
        <v>5747</v>
      </c>
      <c r="E581" s="2" t="s">
        <v>5748</v>
      </c>
      <c r="F581" s="2" t="s">
        <v>5749</v>
      </c>
      <c r="J581" s="12" t="str">
        <f>VLOOKUP(I581,'Copy of Enriched Data - IPBES G'!$L$2:$L$229,1,false)</f>
        <v>#N/A</v>
      </c>
      <c r="M581" s="2" t="s">
        <v>1364</v>
      </c>
      <c r="N581" s="2" t="s">
        <v>5750</v>
      </c>
      <c r="O581" s="2" t="s">
        <v>5751</v>
      </c>
      <c r="S581" s="2" t="s">
        <v>1453</v>
      </c>
      <c r="T581" s="2" t="s">
        <v>2237</v>
      </c>
      <c r="AO581" s="2" t="s">
        <v>1368</v>
      </c>
    </row>
    <row r="582" ht="15.75" customHeight="1">
      <c r="A582" s="2" t="s">
        <v>5752</v>
      </c>
      <c r="B582" s="2" t="s">
        <v>1361</v>
      </c>
      <c r="C582" s="2">
        <v>2007.0</v>
      </c>
      <c r="D582" s="2" t="s">
        <v>5753</v>
      </c>
      <c r="E582" s="2" t="s">
        <v>5754</v>
      </c>
      <c r="F582" s="2" t="s">
        <v>5755</v>
      </c>
      <c r="J582" s="12" t="str">
        <f>VLOOKUP(I582,'Copy of Enriched Data - IPBES G'!$L$2:$L$229,1,false)</f>
        <v>#N/A</v>
      </c>
      <c r="M582" s="2" t="s">
        <v>2380</v>
      </c>
      <c r="N582" s="2" t="s">
        <v>5756</v>
      </c>
      <c r="O582" s="2" t="s">
        <v>5757</v>
      </c>
      <c r="AO582" s="2" t="s">
        <v>1368</v>
      </c>
    </row>
    <row r="583" ht="15.75" customHeight="1">
      <c r="A583" s="2" t="s">
        <v>5758</v>
      </c>
      <c r="B583" s="2" t="s">
        <v>1361</v>
      </c>
      <c r="C583" s="2">
        <v>1991.0</v>
      </c>
      <c r="D583" s="2" t="s">
        <v>5759</v>
      </c>
      <c r="E583" s="2" t="s">
        <v>5760</v>
      </c>
      <c r="F583" s="2" t="s">
        <v>5761</v>
      </c>
      <c r="I583" s="2" t="s">
        <v>5762</v>
      </c>
      <c r="J583" s="12" t="str">
        <f>VLOOKUP(I583,'Copy of Enriched Data - IPBES G'!$L$2:$L$229,1,false)</f>
        <v>#N/A</v>
      </c>
      <c r="M583" s="2" t="s">
        <v>2607</v>
      </c>
      <c r="N583" s="2" t="s">
        <v>5763</v>
      </c>
      <c r="O583" s="2" t="s">
        <v>5764</v>
      </c>
      <c r="Q583" s="2" t="s">
        <v>5765</v>
      </c>
      <c r="S583" s="2" t="s">
        <v>1462</v>
      </c>
      <c r="T583" s="2" t="s">
        <v>1937</v>
      </c>
      <c r="AO583" s="2" t="s">
        <v>1368</v>
      </c>
    </row>
    <row r="584" ht="15.75" customHeight="1">
      <c r="A584" s="2" t="s">
        <v>5766</v>
      </c>
      <c r="B584" s="2" t="s">
        <v>1361</v>
      </c>
      <c r="C584" s="2">
        <v>1991.0</v>
      </c>
      <c r="D584" s="2" t="s">
        <v>5767</v>
      </c>
      <c r="E584" s="2" t="s">
        <v>5768</v>
      </c>
      <c r="F584" s="2" t="s">
        <v>5769</v>
      </c>
      <c r="H584" s="2" t="s">
        <v>5770</v>
      </c>
      <c r="I584" s="2" t="s">
        <v>5771</v>
      </c>
      <c r="J584" s="12" t="str">
        <f>VLOOKUP(I584,'Copy of Enriched Data - IPBES G'!$L$2:$L$229,1,false)</f>
        <v>#N/A</v>
      </c>
      <c r="L584" s="2" t="s">
        <v>5772</v>
      </c>
      <c r="M584" s="2" t="s">
        <v>2607</v>
      </c>
      <c r="N584" s="2" t="s">
        <v>5773</v>
      </c>
      <c r="O584" s="2" t="s">
        <v>5774</v>
      </c>
      <c r="Q584" s="2" t="s">
        <v>5775</v>
      </c>
      <c r="T584" s="2" t="s">
        <v>1480</v>
      </c>
      <c r="AO584" s="2" t="s">
        <v>1368</v>
      </c>
    </row>
    <row r="585" ht="15.75" customHeight="1">
      <c r="A585" s="2" t="s">
        <v>5776</v>
      </c>
      <c r="B585" s="2" t="s">
        <v>1361</v>
      </c>
      <c r="C585" s="2">
        <v>2014.0</v>
      </c>
      <c r="D585" s="2" t="s">
        <v>5777</v>
      </c>
      <c r="E585" s="2" t="s">
        <v>5778</v>
      </c>
      <c r="F585" s="2" t="s">
        <v>3916</v>
      </c>
      <c r="I585" s="2" t="s">
        <v>5779</v>
      </c>
      <c r="J585" s="12" t="str">
        <f>VLOOKUP(I585,'Copy of Enriched Data - IPBES G'!$L$2:$L$229,1,false)</f>
        <v>#N/A</v>
      </c>
      <c r="M585" s="2" t="s">
        <v>1476</v>
      </c>
      <c r="N585" s="2" t="s">
        <v>5780</v>
      </c>
      <c r="O585" s="2" t="s">
        <v>5781</v>
      </c>
      <c r="Q585" s="2" t="s">
        <v>5782</v>
      </c>
      <c r="S585" s="2" t="s">
        <v>5460</v>
      </c>
      <c r="T585" s="2" t="s">
        <v>1600</v>
      </c>
      <c r="AO585" s="2" t="s">
        <v>1368</v>
      </c>
    </row>
    <row r="586" ht="15.75" customHeight="1">
      <c r="A586" s="2" t="s">
        <v>5783</v>
      </c>
      <c r="B586" s="2" t="s">
        <v>2615</v>
      </c>
      <c r="C586" s="2">
        <v>2006.0</v>
      </c>
      <c r="D586" s="2" t="s">
        <v>5784</v>
      </c>
      <c r="E586" s="2" t="s">
        <v>5785</v>
      </c>
      <c r="F586" s="2" t="s">
        <v>5786</v>
      </c>
      <c r="J586" s="12" t="str">
        <f>VLOOKUP(I586,'Copy of Enriched Data - IPBES G'!$L$2:$L$229,1,false)</f>
        <v>#N/A</v>
      </c>
      <c r="M586" s="2" t="s">
        <v>1727</v>
      </c>
      <c r="N586" s="2" t="s">
        <v>5787</v>
      </c>
      <c r="O586" s="2" t="s">
        <v>5788</v>
      </c>
      <c r="AO586" s="2" t="s">
        <v>1368</v>
      </c>
    </row>
    <row r="587" ht="15.75" customHeight="1">
      <c r="A587" s="2" t="s">
        <v>5789</v>
      </c>
      <c r="B587" s="2" t="s">
        <v>1361</v>
      </c>
      <c r="C587" s="2">
        <v>2008.0</v>
      </c>
      <c r="D587" s="2" t="s">
        <v>5790</v>
      </c>
      <c r="E587" s="2" t="s">
        <v>5791</v>
      </c>
      <c r="F587" s="2" t="s">
        <v>5792</v>
      </c>
      <c r="J587" s="12" t="str">
        <f>VLOOKUP(I587,'Copy of Enriched Data - IPBES G'!$L$2:$L$229,1,false)</f>
        <v>#N/A</v>
      </c>
      <c r="M587" s="2" t="s">
        <v>1458</v>
      </c>
      <c r="N587" s="2" t="s">
        <v>5793</v>
      </c>
      <c r="O587" s="2" t="s">
        <v>5794</v>
      </c>
      <c r="Q587" s="2" t="s">
        <v>5795</v>
      </c>
      <c r="T587" s="2" t="s">
        <v>2237</v>
      </c>
      <c r="AO587" s="2" t="s">
        <v>1368</v>
      </c>
    </row>
    <row r="588" ht="15.75" customHeight="1">
      <c r="A588" s="2" t="s">
        <v>5796</v>
      </c>
      <c r="B588" s="2" t="s">
        <v>1361</v>
      </c>
      <c r="C588" s="2">
        <v>1995.0</v>
      </c>
      <c r="D588" s="2" t="s">
        <v>5797</v>
      </c>
      <c r="E588" s="2" t="s">
        <v>5798</v>
      </c>
      <c r="F588" s="2" t="s">
        <v>5799</v>
      </c>
      <c r="I588" s="2" t="s">
        <v>5800</v>
      </c>
      <c r="J588" s="12" t="str">
        <f>VLOOKUP(I588,'Copy of Enriched Data - IPBES G'!$L$2:$L$229,1,false)</f>
        <v>#N/A</v>
      </c>
      <c r="M588" s="2" t="s">
        <v>2089</v>
      </c>
      <c r="N588" s="2" t="s">
        <v>5801</v>
      </c>
      <c r="O588" s="2" t="s">
        <v>5802</v>
      </c>
      <c r="Q588" s="2" t="s">
        <v>4119</v>
      </c>
      <c r="S588" s="2" t="s">
        <v>1600</v>
      </c>
      <c r="T588" s="2" t="s">
        <v>1937</v>
      </c>
      <c r="AO588" s="2" t="s">
        <v>1368</v>
      </c>
    </row>
    <row r="589" ht="15.75" customHeight="1">
      <c r="A589" s="2" t="s">
        <v>5803</v>
      </c>
      <c r="B589" s="2" t="s">
        <v>1361</v>
      </c>
      <c r="C589" s="2">
        <v>2004.0</v>
      </c>
      <c r="D589" s="2" t="s">
        <v>5804</v>
      </c>
      <c r="E589" s="2" t="s">
        <v>5805</v>
      </c>
      <c r="F589" s="2" t="s">
        <v>5806</v>
      </c>
      <c r="I589" s="2" t="s">
        <v>5807</v>
      </c>
      <c r="J589" s="12" t="str">
        <f>VLOOKUP(I589,'Copy of Enriched Data - IPBES G'!$L$2:$L$229,1,false)</f>
        <v>#N/A</v>
      </c>
      <c r="M589" s="2" t="s">
        <v>2373</v>
      </c>
      <c r="N589" s="2" t="s">
        <v>5808</v>
      </c>
      <c r="O589" s="2" t="s">
        <v>5809</v>
      </c>
      <c r="Q589" s="2" t="s">
        <v>5810</v>
      </c>
      <c r="S589" s="2" t="s">
        <v>1462</v>
      </c>
      <c r="T589" s="2" t="s">
        <v>2042</v>
      </c>
      <c r="AO589" s="2" t="s">
        <v>1368</v>
      </c>
    </row>
    <row r="590" ht="15.75" customHeight="1">
      <c r="A590" s="2" t="s">
        <v>5811</v>
      </c>
      <c r="B590" s="2" t="s">
        <v>1361</v>
      </c>
      <c r="C590" s="2">
        <v>1980.0</v>
      </c>
      <c r="D590" s="2" t="s">
        <v>5812</v>
      </c>
      <c r="E590" s="2" t="s">
        <v>5813</v>
      </c>
      <c r="F590" s="2" t="s">
        <v>2205</v>
      </c>
      <c r="I590" s="2" t="s">
        <v>5814</v>
      </c>
      <c r="J590" s="12" t="str">
        <f>VLOOKUP(I590,'Copy of Enriched Data - IPBES G'!$L$2:$L$229,1,false)</f>
        <v>#N/A</v>
      </c>
      <c r="M590" s="2" t="s">
        <v>5815</v>
      </c>
      <c r="N590" s="2" t="s">
        <v>5816</v>
      </c>
      <c r="O590" s="2" t="s">
        <v>5817</v>
      </c>
      <c r="Q590" s="2" t="s">
        <v>5818</v>
      </c>
      <c r="S590" s="2" t="s">
        <v>1453</v>
      </c>
      <c r="T590" s="2" t="s">
        <v>1506</v>
      </c>
      <c r="AO590" s="2" t="s">
        <v>1368</v>
      </c>
    </row>
    <row r="591" ht="15.75" customHeight="1">
      <c r="A591" s="2" t="s">
        <v>5819</v>
      </c>
      <c r="B591" s="2" t="s">
        <v>1361</v>
      </c>
      <c r="C591" s="2">
        <v>1996.0</v>
      </c>
      <c r="D591" s="2" t="s">
        <v>5820</v>
      </c>
      <c r="E591" s="2" t="s">
        <v>5821</v>
      </c>
      <c r="F591" s="2" t="s">
        <v>5822</v>
      </c>
      <c r="J591" s="12" t="str">
        <f>VLOOKUP(I591,'Copy of Enriched Data - IPBES G'!$L$2:$L$229,1,false)</f>
        <v>#N/A</v>
      </c>
      <c r="M591" s="2" t="s">
        <v>2492</v>
      </c>
      <c r="N591" s="2" t="s">
        <v>5823</v>
      </c>
      <c r="O591" s="2" t="s">
        <v>5824</v>
      </c>
      <c r="Q591" s="2" t="s">
        <v>5825</v>
      </c>
      <c r="S591" s="2" t="s">
        <v>5423</v>
      </c>
      <c r="T591" s="2" t="s">
        <v>1600</v>
      </c>
      <c r="AO591" s="2" t="s">
        <v>1368</v>
      </c>
    </row>
    <row r="592" ht="15.75" customHeight="1">
      <c r="A592" s="2" t="s">
        <v>5826</v>
      </c>
      <c r="B592" s="2" t="s">
        <v>1361</v>
      </c>
      <c r="C592" s="2">
        <v>2006.0</v>
      </c>
      <c r="D592" s="2" t="s">
        <v>5827</v>
      </c>
      <c r="E592" s="2" t="s">
        <v>5828</v>
      </c>
      <c r="F592" s="2" t="s">
        <v>5829</v>
      </c>
      <c r="I592" s="2" t="s">
        <v>5830</v>
      </c>
      <c r="J592" s="12" t="str">
        <f>VLOOKUP(I592,'Copy of Enriched Data - IPBES G'!$L$2:$L$229,1,false)</f>
        <v>#N/A</v>
      </c>
      <c r="M592" s="2" t="s">
        <v>1727</v>
      </c>
      <c r="N592" s="2" t="s">
        <v>5831</v>
      </c>
      <c r="O592" s="2" t="s">
        <v>5832</v>
      </c>
      <c r="Q592" s="2" t="s">
        <v>5833</v>
      </c>
      <c r="S592" s="2" t="s">
        <v>1600</v>
      </c>
      <c r="T592" s="2" t="s">
        <v>2124</v>
      </c>
      <c r="AO592" s="2" t="s">
        <v>1368</v>
      </c>
    </row>
    <row r="593" ht="15.75" customHeight="1">
      <c r="A593" s="2" t="s">
        <v>5834</v>
      </c>
      <c r="B593" s="2" t="s">
        <v>1361</v>
      </c>
      <c r="C593" s="2">
        <v>1993.0</v>
      </c>
      <c r="D593" s="2" t="s">
        <v>5835</v>
      </c>
      <c r="E593" s="2" t="s">
        <v>5836</v>
      </c>
      <c r="F593" s="2" t="s">
        <v>5837</v>
      </c>
      <c r="I593" s="2" t="s">
        <v>5838</v>
      </c>
      <c r="J593" s="12" t="str">
        <f>VLOOKUP(I593,'Copy of Enriched Data - IPBES G'!$L$2:$L$229,1,false)</f>
        <v>#N/A</v>
      </c>
      <c r="M593" s="2" t="s">
        <v>2735</v>
      </c>
      <c r="N593" s="2" t="s">
        <v>5839</v>
      </c>
      <c r="O593" s="2" t="s">
        <v>5840</v>
      </c>
      <c r="Q593" s="2" t="s">
        <v>5841</v>
      </c>
      <c r="S593" s="2" t="s">
        <v>1453</v>
      </c>
      <c r="T593" s="2" t="s">
        <v>5842</v>
      </c>
      <c r="AO593" s="2" t="s">
        <v>1368</v>
      </c>
    </row>
    <row r="594" ht="15.75" customHeight="1">
      <c r="A594" s="2" t="s">
        <v>5843</v>
      </c>
      <c r="B594" s="2" t="s">
        <v>1361</v>
      </c>
      <c r="C594" s="2">
        <v>2004.0</v>
      </c>
      <c r="D594" s="2" t="s">
        <v>5844</v>
      </c>
      <c r="E594" s="2" t="s">
        <v>5845</v>
      </c>
      <c r="F594" s="2" t="s">
        <v>5846</v>
      </c>
      <c r="I594" s="2" t="s">
        <v>5847</v>
      </c>
      <c r="J594" s="12" t="str">
        <f>VLOOKUP(I594,'Copy of Enriched Data - IPBES G'!$L$2:$L$229,1,false)</f>
        <v>#N/A</v>
      </c>
      <c r="M594" s="2" t="s">
        <v>2373</v>
      </c>
      <c r="N594" s="2" t="s">
        <v>5848</v>
      </c>
      <c r="O594" s="2" t="s">
        <v>5849</v>
      </c>
      <c r="Q594" s="2" t="s">
        <v>5850</v>
      </c>
      <c r="S594" s="2" t="s">
        <v>5851</v>
      </c>
      <c r="T594" s="2" t="s">
        <v>1506</v>
      </c>
      <c r="AO594" s="2" t="s">
        <v>1368</v>
      </c>
    </row>
    <row r="595" ht="15.75" customHeight="1">
      <c r="A595" s="2" t="s">
        <v>5852</v>
      </c>
      <c r="B595" s="2" t="s">
        <v>1361</v>
      </c>
      <c r="C595" s="2">
        <v>2004.0</v>
      </c>
      <c r="D595" s="2" t="s">
        <v>5853</v>
      </c>
      <c r="E595" s="2" t="s">
        <v>5854</v>
      </c>
      <c r="F595" s="2" t="s">
        <v>5855</v>
      </c>
      <c r="I595" s="2" t="s">
        <v>5856</v>
      </c>
      <c r="J595" s="12" t="str">
        <f>VLOOKUP(I595,'Copy of Enriched Data - IPBES G'!$L$2:$L$229,1,false)</f>
        <v>#N/A</v>
      </c>
      <c r="M595" s="2" t="s">
        <v>2373</v>
      </c>
      <c r="N595" s="2" t="s">
        <v>5857</v>
      </c>
      <c r="O595" s="2" t="s">
        <v>5858</v>
      </c>
      <c r="Q595" s="2" t="s">
        <v>5859</v>
      </c>
      <c r="S595" s="2" t="s">
        <v>1506</v>
      </c>
      <c r="T595" s="2" t="s">
        <v>1506</v>
      </c>
      <c r="AO595" s="2" t="s">
        <v>1368</v>
      </c>
    </row>
    <row r="596" ht="15.75" customHeight="1">
      <c r="A596" s="2" t="s">
        <v>5860</v>
      </c>
      <c r="B596" s="2" t="s">
        <v>1361</v>
      </c>
      <c r="C596" s="2">
        <v>2015.0</v>
      </c>
      <c r="D596" s="2" t="s">
        <v>5861</v>
      </c>
      <c r="E596" s="2" t="s">
        <v>5862</v>
      </c>
      <c r="F596" s="2" t="s">
        <v>4215</v>
      </c>
      <c r="I596" s="2" t="s">
        <v>5863</v>
      </c>
      <c r="J596" s="12" t="str">
        <f>VLOOKUP(I596,'Copy of Enriched Data - IPBES G'!$L$2:$L$229,1,false)</f>
        <v>#N/A</v>
      </c>
      <c r="M596" s="2" t="s">
        <v>1373</v>
      </c>
      <c r="N596" s="2" t="s">
        <v>5864</v>
      </c>
      <c r="O596" s="2" t="s">
        <v>5865</v>
      </c>
      <c r="Q596" s="2" t="s">
        <v>5866</v>
      </c>
      <c r="T596" s="2" t="s">
        <v>2799</v>
      </c>
      <c r="AO596" s="2" t="s">
        <v>1368</v>
      </c>
    </row>
    <row r="597" ht="15.75" customHeight="1">
      <c r="A597" s="2" t="s">
        <v>5867</v>
      </c>
      <c r="B597" s="2" t="s">
        <v>1361</v>
      </c>
      <c r="C597" s="2">
        <v>1997.0</v>
      </c>
      <c r="D597" s="2" t="s">
        <v>5790</v>
      </c>
      <c r="E597" s="2" t="s">
        <v>5868</v>
      </c>
      <c r="F597" s="2" t="s">
        <v>5869</v>
      </c>
      <c r="J597" s="12" t="str">
        <f>VLOOKUP(I597,'Copy of Enriched Data - IPBES G'!$L$2:$L$229,1,false)</f>
        <v>#N/A</v>
      </c>
      <c r="M597" s="2" t="s">
        <v>1804</v>
      </c>
      <c r="N597" s="2" t="s">
        <v>5870</v>
      </c>
      <c r="O597" s="2" t="s">
        <v>5871</v>
      </c>
      <c r="Q597" s="2" t="s">
        <v>5872</v>
      </c>
      <c r="T597" s="2" t="s">
        <v>4806</v>
      </c>
      <c r="AO597" s="2" t="s">
        <v>1368</v>
      </c>
    </row>
    <row r="598" ht="15.75" customHeight="1">
      <c r="A598" s="2" t="s">
        <v>5873</v>
      </c>
      <c r="B598" s="2" t="s">
        <v>1361</v>
      </c>
      <c r="C598" s="2">
        <v>2017.0</v>
      </c>
      <c r="D598" s="2" t="s">
        <v>5874</v>
      </c>
      <c r="E598" s="2" t="s">
        <v>5875</v>
      </c>
      <c r="F598" s="2" t="s">
        <v>2641</v>
      </c>
      <c r="H598" s="2" t="s">
        <v>5876</v>
      </c>
      <c r="I598" s="2" t="s">
        <v>5877</v>
      </c>
      <c r="J598" s="12" t="str">
        <f>VLOOKUP(I598,'Copy of Enriched Data - IPBES G'!$L$2:$L$229,1,false)</f>
        <v>#N/A</v>
      </c>
      <c r="K598" s="2" t="s">
        <v>5878</v>
      </c>
      <c r="M598" s="2" t="s">
        <v>5879</v>
      </c>
      <c r="N598" s="2" t="s">
        <v>5880</v>
      </c>
      <c r="O598" s="2" t="s">
        <v>5881</v>
      </c>
      <c r="P598" s="2" t="s">
        <v>5882</v>
      </c>
      <c r="Q598" s="2" t="s">
        <v>5883</v>
      </c>
      <c r="S598" s="2" t="s">
        <v>1443</v>
      </c>
      <c r="T598" s="2" t="s">
        <v>2271</v>
      </c>
      <c r="V598" s="2" t="s">
        <v>5884</v>
      </c>
      <c r="W598" s="2" t="s">
        <v>5885</v>
      </c>
      <c r="AI598" s="2" t="s">
        <v>1541</v>
      </c>
      <c r="AO598" s="2" t="s">
        <v>5886</v>
      </c>
    </row>
    <row r="599" ht="15.75" customHeight="1">
      <c r="A599" s="2" t="s">
        <v>5887</v>
      </c>
      <c r="B599" s="2" t="s">
        <v>1361</v>
      </c>
      <c r="C599" s="2">
        <v>2017.0</v>
      </c>
      <c r="D599" s="2" t="s">
        <v>5888</v>
      </c>
      <c r="E599" s="2" t="s">
        <v>5889</v>
      </c>
      <c r="F599" s="2" t="s">
        <v>5595</v>
      </c>
      <c r="H599" s="2" t="s">
        <v>5596</v>
      </c>
      <c r="I599" s="2" t="s">
        <v>5890</v>
      </c>
      <c r="J599" s="12" t="str">
        <f>VLOOKUP(I599,'Copy of Enriched Data - IPBES G'!$L$2:$L$229,1,false)</f>
        <v>#N/A</v>
      </c>
      <c r="K599" s="2" t="s">
        <v>5891</v>
      </c>
      <c r="L599" s="2" t="s">
        <v>5892</v>
      </c>
      <c r="M599" s="2" t="s">
        <v>1709</v>
      </c>
      <c r="N599" s="2" t="s">
        <v>5893</v>
      </c>
      <c r="O599" s="2" t="s">
        <v>5894</v>
      </c>
      <c r="P599" s="2" t="s">
        <v>5895</v>
      </c>
      <c r="Q599" s="2" t="s">
        <v>5896</v>
      </c>
      <c r="T599" s="2" t="s">
        <v>5897</v>
      </c>
      <c r="V599" s="2" t="s">
        <v>5595</v>
      </c>
      <c r="W599" s="2" t="s">
        <v>5898</v>
      </c>
      <c r="AD599" s="2" t="s">
        <v>1540</v>
      </c>
      <c r="AI599" s="2" t="s">
        <v>1541</v>
      </c>
      <c r="AO599" s="2" t="s">
        <v>5899</v>
      </c>
    </row>
    <row r="600" ht="15.75" customHeight="1">
      <c r="A600" s="2" t="s">
        <v>5906</v>
      </c>
      <c r="B600" s="2" t="s">
        <v>1361</v>
      </c>
      <c r="C600" s="2">
        <v>2006.0</v>
      </c>
      <c r="D600" s="2" t="s">
        <v>5907</v>
      </c>
      <c r="E600" s="2" t="s">
        <v>5908</v>
      </c>
      <c r="F600" s="2" t="s">
        <v>5909</v>
      </c>
      <c r="H600" s="2" t="s">
        <v>5910</v>
      </c>
      <c r="I600" s="2" t="s">
        <v>5911</v>
      </c>
      <c r="J600" s="12" t="str">
        <f>VLOOKUP(I600,'Copy of Enriched Data - IPBES G'!$L$2:$L$229,1,false)</f>
        <v>#N/A</v>
      </c>
      <c r="K600" s="2" t="s">
        <v>5912</v>
      </c>
      <c r="M600" s="2" t="s">
        <v>5913</v>
      </c>
      <c r="N600" s="2" t="s">
        <v>5914</v>
      </c>
      <c r="O600" s="2" t="s">
        <v>5915</v>
      </c>
      <c r="P600" s="2" t="s">
        <v>5916</v>
      </c>
      <c r="Q600" s="2" t="s">
        <v>5917</v>
      </c>
      <c r="S600" s="2" t="s">
        <v>1462</v>
      </c>
      <c r="T600" s="2" t="s">
        <v>2928</v>
      </c>
      <c r="V600" s="2" t="s">
        <v>5909</v>
      </c>
      <c r="W600" s="2" t="s">
        <v>5918</v>
      </c>
      <c r="AD600" s="2" t="s">
        <v>1540</v>
      </c>
      <c r="AI600" s="2" t="s">
        <v>1541</v>
      </c>
      <c r="AO600" s="2" t="s">
        <v>1872</v>
      </c>
    </row>
    <row r="601" ht="15.75" customHeight="1">
      <c r="A601" s="2" t="s">
        <v>5919</v>
      </c>
      <c r="B601" s="2" t="s">
        <v>1361</v>
      </c>
      <c r="C601" s="2">
        <v>1999.0</v>
      </c>
      <c r="D601" s="2" t="s">
        <v>5920</v>
      </c>
      <c r="E601" s="2" t="s">
        <v>5921</v>
      </c>
      <c r="F601" s="2" t="s">
        <v>1510</v>
      </c>
      <c r="H601" s="2" t="s">
        <v>1546</v>
      </c>
      <c r="I601" s="2" t="s">
        <v>5922</v>
      </c>
      <c r="J601" s="12" t="str">
        <f>VLOOKUP(I601,'Copy of Enriched Data - IPBES G'!$L$2:$L$229,1,false)</f>
        <v>#N/A</v>
      </c>
      <c r="K601" s="2" t="s">
        <v>5923</v>
      </c>
      <c r="L601" s="2" t="s">
        <v>5924</v>
      </c>
      <c r="M601" s="2" t="s">
        <v>5925</v>
      </c>
      <c r="N601" s="2" t="s">
        <v>5926</v>
      </c>
      <c r="O601" s="2" t="s">
        <v>5927</v>
      </c>
      <c r="P601" s="2" t="s">
        <v>2134</v>
      </c>
      <c r="Q601" s="2" t="s">
        <v>5928</v>
      </c>
      <c r="S601" s="2" t="s">
        <v>5929</v>
      </c>
      <c r="T601" s="2" t="s">
        <v>5930</v>
      </c>
      <c r="V601" s="2" t="s">
        <v>1510</v>
      </c>
      <c r="W601" s="2" t="s">
        <v>5931</v>
      </c>
      <c r="AD601" s="2" t="s">
        <v>1540</v>
      </c>
      <c r="AI601" s="2" t="s">
        <v>1541</v>
      </c>
      <c r="AO601" s="2" t="s">
        <v>1885</v>
      </c>
    </row>
    <row r="602" ht="15.75" customHeight="1">
      <c r="A602" s="2" t="s">
        <v>5942</v>
      </c>
      <c r="B602" s="2" t="s">
        <v>1361</v>
      </c>
      <c r="C602" s="2">
        <v>2004.0</v>
      </c>
      <c r="D602" s="2" t="s">
        <v>5943</v>
      </c>
      <c r="E602" s="2" t="s">
        <v>5944</v>
      </c>
      <c r="F602" s="2" t="s">
        <v>1672</v>
      </c>
      <c r="H602" s="2" t="s">
        <v>5945</v>
      </c>
      <c r="I602" s="2" t="s">
        <v>5946</v>
      </c>
      <c r="J602" s="12" t="str">
        <f>VLOOKUP(I602,'Copy of Enriched Data - IPBES G'!$L$2:$L$229,1,false)</f>
        <v>#N/A</v>
      </c>
      <c r="K602" s="2" t="s">
        <v>5947</v>
      </c>
      <c r="M602" s="2" t="s">
        <v>5948</v>
      </c>
      <c r="N602" s="2" t="s">
        <v>5949</v>
      </c>
      <c r="O602" s="2" t="s">
        <v>5950</v>
      </c>
      <c r="P602" s="2" t="s">
        <v>5951</v>
      </c>
      <c r="Q602" s="2" t="s">
        <v>5952</v>
      </c>
      <c r="S602" s="2" t="s">
        <v>1600</v>
      </c>
      <c r="T602" s="2" t="s">
        <v>5953</v>
      </c>
      <c r="V602" s="2" t="s">
        <v>5954</v>
      </c>
      <c r="W602" s="2" t="s">
        <v>5955</v>
      </c>
      <c r="AD602" s="2" t="s">
        <v>1540</v>
      </c>
      <c r="AI602" s="2" t="s">
        <v>1541</v>
      </c>
      <c r="AO602" s="2" t="s">
        <v>1885</v>
      </c>
    </row>
    <row r="603" ht="15.75" customHeight="1">
      <c r="A603" s="2" t="s">
        <v>5967</v>
      </c>
      <c r="B603" s="2" t="s">
        <v>1361</v>
      </c>
      <c r="C603" s="2">
        <v>2015.0</v>
      </c>
      <c r="D603" s="2" t="s">
        <v>5968</v>
      </c>
      <c r="E603" s="2" t="s">
        <v>5969</v>
      </c>
      <c r="F603" s="2" t="s">
        <v>5970</v>
      </c>
      <c r="H603" s="2" t="s">
        <v>3742</v>
      </c>
      <c r="I603" s="2" t="s">
        <v>5971</v>
      </c>
      <c r="J603" s="12" t="str">
        <f>VLOOKUP(I603,'Copy of Enriched Data - IPBES G'!$L$2:$L$229,1,false)</f>
        <v>#N/A</v>
      </c>
      <c r="K603" s="2" t="s">
        <v>5972</v>
      </c>
      <c r="L603" s="2" t="s">
        <v>5973</v>
      </c>
      <c r="M603" s="2" t="s">
        <v>5974</v>
      </c>
      <c r="N603" s="2" t="s">
        <v>5975</v>
      </c>
      <c r="O603" s="2" t="s">
        <v>5976</v>
      </c>
      <c r="Q603" s="2" t="s">
        <v>5977</v>
      </c>
      <c r="S603" s="2" t="s">
        <v>1462</v>
      </c>
      <c r="T603" s="2" t="s">
        <v>2042</v>
      </c>
      <c r="AO603" s="2" t="s">
        <v>1621</v>
      </c>
    </row>
    <row r="604" ht="15.75" customHeight="1">
      <c r="A604" s="2" t="s">
        <v>5978</v>
      </c>
      <c r="B604" s="2" t="s">
        <v>1361</v>
      </c>
      <c r="C604" s="2">
        <v>2012.0</v>
      </c>
      <c r="D604" s="2" t="s">
        <v>5979</v>
      </c>
      <c r="E604" s="2" t="s">
        <v>5980</v>
      </c>
      <c r="F604" s="2" t="s">
        <v>5575</v>
      </c>
      <c r="H604" s="2" t="s">
        <v>5576</v>
      </c>
      <c r="I604" s="2" t="s">
        <v>5981</v>
      </c>
      <c r="J604" s="12" t="str">
        <f>VLOOKUP(I604,'Copy of Enriched Data - IPBES G'!$L$2:$L$229,1,false)</f>
        <v>#N/A</v>
      </c>
      <c r="K604" s="2" t="s">
        <v>5982</v>
      </c>
      <c r="M604" s="2" t="s">
        <v>3753</v>
      </c>
      <c r="N604" s="2" t="s">
        <v>5983</v>
      </c>
      <c r="O604" s="2" t="s">
        <v>5984</v>
      </c>
      <c r="P604" s="2" t="s">
        <v>5985</v>
      </c>
      <c r="Q604" s="2" t="s">
        <v>5986</v>
      </c>
      <c r="T604" s="2" t="s">
        <v>5987</v>
      </c>
      <c r="V604" s="2" t="s">
        <v>5575</v>
      </c>
      <c r="W604" s="2" t="s">
        <v>5988</v>
      </c>
      <c r="AD604" s="2" t="s">
        <v>1540</v>
      </c>
      <c r="AI604" s="2" t="s">
        <v>1541</v>
      </c>
      <c r="AO604" s="2" t="s">
        <v>5989</v>
      </c>
    </row>
    <row r="605" ht="15.75" customHeight="1">
      <c r="A605" s="2" t="s">
        <v>5990</v>
      </c>
      <c r="B605" s="2" t="s">
        <v>1361</v>
      </c>
      <c r="C605" s="2">
        <v>2010.0</v>
      </c>
      <c r="D605" s="2" t="s">
        <v>5991</v>
      </c>
      <c r="E605" s="2" t="s">
        <v>5992</v>
      </c>
      <c r="F605" s="2" t="s">
        <v>1688</v>
      </c>
      <c r="H605" s="2" t="s">
        <v>2892</v>
      </c>
      <c r="I605" s="2" t="s">
        <v>5993</v>
      </c>
      <c r="J605" s="12" t="str">
        <f>VLOOKUP(I605,'Copy of Enriched Data - IPBES G'!$L$2:$L$229,1,false)</f>
        <v>#N/A</v>
      </c>
      <c r="K605" s="2" t="s">
        <v>5994</v>
      </c>
      <c r="L605" s="2" t="s">
        <v>5995</v>
      </c>
      <c r="M605" s="2" t="s">
        <v>5996</v>
      </c>
      <c r="N605" s="2" t="s">
        <v>5997</v>
      </c>
      <c r="O605" s="2" t="s">
        <v>5998</v>
      </c>
      <c r="P605" s="2" t="s">
        <v>2897</v>
      </c>
      <c r="Q605" s="2" t="s">
        <v>5999</v>
      </c>
      <c r="S605" s="2" t="s">
        <v>2042</v>
      </c>
      <c r="T605" s="2" t="s">
        <v>2900</v>
      </c>
      <c r="V605" s="2" t="s">
        <v>2901</v>
      </c>
      <c r="AD605" s="2" t="s">
        <v>1540</v>
      </c>
      <c r="AI605" s="2" t="s">
        <v>1541</v>
      </c>
      <c r="AO605" s="2" t="s">
        <v>2852</v>
      </c>
    </row>
    <row r="606" ht="15.75" customHeight="1">
      <c r="A606" s="2" t="s">
        <v>6004</v>
      </c>
      <c r="B606" s="2" t="s">
        <v>1396</v>
      </c>
      <c r="C606" s="2">
        <v>1990.0</v>
      </c>
      <c r="D606" s="2" t="s">
        <v>5659</v>
      </c>
      <c r="E606" s="2" t="s">
        <v>6005</v>
      </c>
      <c r="G606" s="2" t="s">
        <v>6006</v>
      </c>
      <c r="J606" s="12" t="str">
        <f>VLOOKUP(I606,'Copy of Enriched Data - IPBES G'!$L$2:$L$229,1,false)</f>
        <v>#N/A</v>
      </c>
      <c r="M606" s="2" t="s">
        <v>2668</v>
      </c>
      <c r="N606" s="2" t="s">
        <v>1562</v>
      </c>
      <c r="O606" s="2" t="s">
        <v>1563</v>
      </c>
      <c r="R606" s="2">
        <v>280.0</v>
      </c>
      <c r="AB606" s="2" t="s">
        <v>2187</v>
      </c>
      <c r="AC606" s="2" t="s">
        <v>5295</v>
      </c>
      <c r="AO606" s="2" t="s">
        <v>6007</v>
      </c>
    </row>
    <row r="607" ht="15.75" customHeight="1">
      <c r="A607" s="2" t="s">
        <v>6008</v>
      </c>
      <c r="B607" s="2" t="s">
        <v>1361</v>
      </c>
      <c r="C607" s="2">
        <v>2015.0</v>
      </c>
      <c r="D607" s="2" t="s">
        <v>6009</v>
      </c>
      <c r="E607" s="2" t="s">
        <v>6010</v>
      </c>
      <c r="F607" s="2" t="s">
        <v>5575</v>
      </c>
      <c r="H607" s="2" t="s">
        <v>6011</v>
      </c>
      <c r="I607" s="2" t="s">
        <v>6012</v>
      </c>
      <c r="J607" s="12" t="str">
        <f>VLOOKUP(I607,'Copy of Enriched Data - IPBES G'!$L$2:$L$229,1,false)</f>
        <v>#N/A</v>
      </c>
      <c r="K607" s="2" t="s">
        <v>6013</v>
      </c>
      <c r="L607" s="2" t="s">
        <v>6014</v>
      </c>
      <c r="M607" s="2" t="s">
        <v>1373</v>
      </c>
      <c r="N607" s="2" t="s">
        <v>1385</v>
      </c>
      <c r="O607" s="2" t="s">
        <v>1386</v>
      </c>
      <c r="Q607" s="2" t="s">
        <v>6015</v>
      </c>
      <c r="T607" s="2" t="s">
        <v>6016</v>
      </c>
      <c r="AO607" s="2" t="s">
        <v>1368</v>
      </c>
    </row>
    <row r="608" ht="15.75" customHeight="1">
      <c r="A608" s="2" t="s">
        <v>6017</v>
      </c>
      <c r="B608" s="2" t="s">
        <v>1361</v>
      </c>
      <c r="C608" s="2">
        <v>2014.0</v>
      </c>
      <c r="D608" s="2" t="s">
        <v>6018</v>
      </c>
      <c r="E608" s="2" t="s">
        <v>6019</v>
      </c>
      <c r="F608" s="2" t="s">
        <v>1863</v>
      </c>
      <c r="H608" s="2" t="s">
        <v>1864</v>
      </c>
      <c r="I608" s="2" t="s">
        <v>6020</v>
      </c>
      <c r="J608" s="12" t="str">
        <f>VLOOKUP(I608,'Copy of Enriched Data - IPBES G'!$L$2:$L$229,1,false)</f>
        <v>#N/A</v>
      </c>
      <c r="K608" s="2" t="s">
        <v>6021</v>
      </c>
      <c r="L608" s="2" t="s">
        <v>6022</v>
      </c>
      <c r="M608" s="2" t="s">
        <v>1476</v>
      </c>
      <c r="N608" s="2" t="s">
        <v>1385</v>
      </c>
      <c r="O608" s="2" t="s">
        <v>1386</v>
      </c>
      <c r="Q608" s="2" t="s">
        <v>6023</v>
      </c>
      <c r="T608" s="2" t="s">
        <v>5842</v>
      </c>
      <c r="AO608" s="2" t="s">
        <v>1368</v>
      </c>
    </row>
    <row r="609" ht="15.75" customHeight="1">
      <c r="A609" s="2" t="s">
        <v>6024</v>
      </c>
      <c r="B609" s="2" t="s">
        <v>1766</v>
      </c>
      <c r="C609" s="2">
        <v>2014.0</v>
      </c>
      <c r="D609" s="2" t="s">
        <v>6025</v>
      </c>
      <c r="E609" s="2" t="s">
        <v>6026</v>
      </c>
      <c r="F609" s="2" t="s">
        <v>6027</v>
      </c>
      <c r="J609" s="12" t="str">
        <f>VLOOKUP(I609,'Copy of Enriched Data - IPBES G'!$L$2:$L$229,1,false)</f>
        <v>#N/A</v>
      </c>
      <c r="M609" s="2" t="s">
        <v>1476</v>
      </c>
      <c r="N609" s="2" t="s">
        <v>1385</v>
      </c>
      <c r="O609" s="2" t="s">
        <v>1386</v>
      </c>
      <c r="Q609" s="2" t="s">
        <v>6028</v>
      </c>
      <c r="AB609" s="2" t="s">
        <v>2187</v>
      </c>
      <c r="AO609" s="2" t="s">
        <v>2169</v>
      </c>
    </row>
    <row r="610" ht="15.75" customHeight="1">
      <c r="A610" s="2" t="s">
        <v>6029</v>
      </c>
      <c r="B610" s="2" t="s">
        <v>1361</v>
      </c>
      <c r="C610" s="2">
        <v>2011.0</v>
      </c>
      <c r="D610" s="2" t="s">
        <v>6030</v>
      </c>
      <c r="E610" s="2" t="s">
        <v>6031</v>
      </c>
      <c r="F610" s="2" t="s">
        <v>1688</v>
      </c>
      <c r="I610" s="2" t="s">
        <v>6032</v>
      </c>
      <c r="J610" s="12" t="str">
        <f>VLOOKUP(I610,'Copy of Enriched Data - IPBES G'!$L$2:$L$229,1,false)</f>
        <v>#N/A</v>
      </c>
      <c r="K610" s="2" t="s">
        <v>6033</v>
      </c>
      <c r="L610" s="2" t="s">
        <v>6034</v>
      </c>
      <c r="M610" s="2" t="s">
        <v>6035</v>
      </c>
      <c r="N610" s="2" t="s">
        <v>1385</v>
      </c>
      <c r="O610" s="2" t="s">
        <v>1386</v>
      </c>
      <c r="Q610" s="2" t="s">
        <v>6036</v>
      </c>
      <c r="S610" s="2" t="s">
        <v>2840</v>
      </c>
      <c r="T610" s="2" t="s">
        <v>6037</v>
      </c>
      <c r="V610" s="2" t="s">
        <v>6038</v>
      </c>
      <c r="AO610" s="2" t="s">
        <v>2238</v>
      </c>
    </row>
    <row r="611" ht="15.75" customHeight="1">
      <c r="A611" s="2" t="s">
        <v>6039</v>
      </c>
      <c r="B611" s="2" t="s">
        <v>1396</v>
      </c>
      <c r="C611" s="2">
        <v>2016.0</v>
      </c>
      <c r="D611" s="2" t="s">
        <v>6040</v>
      </c>
      <c r="E611" s="2" t="s">
        <v>6041</v>
      </c>
      <c r="J611" s="12" t="str">
        <f>VLOOKUP(I611,'Copy of Enriched Data - IPBES G'!$L$2:$L$229,1,false)</f>
        <v>#N/A</v>
      </c>
      <c r="K611" s="2" t="s">
        <v>6042</v>
      </c>
      <c r="M611" s="2" t="s">
        <v>1502</v>
      </c>
      <c r="N611" s="2" t="s">
        <v>1385</v>
      </c>
      <c r="O611" s="2" t="s">
        <v>1386</v>
      </c>
      <c r="AB611" s="2" t="s">
        <v>6043</v>
      </c>
      <c r="AC611" s="2" t="s">
        <v>6044</v>
      </c>
      <c r="AO611" s="2" t="s">
        <v>2244</v>
      </c>
    </row>
    <row r="612" ht="15.75" customHeight="1">
      <c r="A612" s="2" t="s">
        <v>6045</v>
      </c>
      <c r="B612" s="2" t="s">
        <v>1766</v>
      </c>
      <c r="C612" s="2">
        <v>1999.0</v>
      </c>
      <c r="D612" s="2" t="s">
        <v>6046</v>
      </c>
      <c r="E612" s="2" t="s">
        <v>6047</v>
      </c>
      <c r="F612" s="2" t="s">
        <v>6048</v>
      </c>
      <c r="J612" s="12" t="str">
        <f>VLOOKUP(I612,'Copy of Enriched Data - IPBES G'!$L$2:$L$229,1,false)</f>
        <v>#N/A</v>
      </c>
      <c r="M612" s="2" t="s">
        <v>1434</v>
      </c>
      <c r="N612" s="2" t="s">
        <v>1385</v>
      </c>
      <c r="O612" s="2" t="s">
        <v>1386</v>
      </c>
      <c r="Q612" s="2" t="s">
        <v>6049</v>
      </c>
      <c r="AB612" s="2" t="s">
        <v>6050</v>
      </c>
      <c r="AC612" s="2" t="s">
        <v>6051</v>
      </c>
      <c r="AO612" s="2" t="s">
        <v>2244</v>
      </c>
    </row>
    <row r="613" ht="15.75" customHeight="1">
      <c r="A613" s="2" t="s">
        <v>6052</v>
      </c>
      <c r="B613" s="2" t="s">
        <v>1361</v>
      </c>
      <c r="C613" s="2">
        <v>2018.0</v>
      </c>
      <c r="D613" s="2" t="s">
        <v>6053</v>
      </c>
      <c r="E613" s="2" t="s">
        <v>6054</v>
      </c>
      <c r="F613" s="2" t="s">
        <v>1510</v>
      </c>
      <c r="H613" s="2" t="s">
        <v>1917</v>
      </c>
      <c r="I613" s="2" t="s">
        <v>6055</v>
      </c>
      <c r="J613" s="12" t="str">
        <f>VLOOKUP(I613,'Copy of Enriched Data - IPBES G'!$L$2:$L$229,1,false)</f>
        <v>#N/A</v>
      </c>
      <c r="K613" s="2" t="s">
        <v>6056</v>
      </c>
      <c r="L613" s="2" t="s">
        <v>6057</v>
      </c>
      <c r="M613" s="2" t="s">
        <v>6058</v>
      </c>
      <c r="N613" s="2" t="s">
        <v>1385</v>
      </c>
      <c r="O613" s="2" t="s">
        <v>1386</v>
      </c>
      <c r="Q613" s="2" t="s">
        <v>6059</v>
      </c>
      <c r="S613" s="2" t="s">
        <v>6060</v>
      </c>
      <c r="T613" s="2" t="s">
        <v>6061</v>
      </c>
      <c r="AO613" s="2" t="s">
        <v>1621</v>
      </c>
    </row>
    <row r="614" ht="15.75" customHeight="1">
      <c r="A614" s="2" t="s">
        <v>6062</v>
      </c>
      <c r="B614" s="2" t="s">
        <v>1361</v>
      </c>
      <c r="C614" s="2">
        <v>2015.0</v>
      </c>
      <c r="D614" s="2" t="s">
        <v>6063</v>
      </c>
      <c r="E614" s="2" t="s">
        <v>6064</v>
      </c>
      <c r="F614" s="2" t="s">
        <v>1363</v>
      </c>
      <c r="H614" s="2" t="s">
        <v>1775</v>
      </c>
      <c r="I614" s="2" t="s">
        <v>6065</v>
      </c>
      <c r="J614" s="12" t="str">
        <f>VLOOKUP(I614,'Copy of Enriched Data - IPBES G'!$L$2:$L$229,1,false)</f>
        <v>#N/A</v>
      </c>
      <c r="K614" s="2" t="s">
        <v>6066</v>
      </c>
      <c r="M614" s="2" t="s">
        <v>2153</v>
      </c>
      <c r="N614" s="2" t="s">
        <v>1385</v>
      </c>
      <c r="O614" s="2" t="s">
        <v>1386</v>
      </c>
      <c r="Q614" s="2" t="s">
        <v>6067</v>
      </c>
      <c r="S614" s="2" t="s">
        <v>3474</v>
      </c>
      <c r="T614" s="2" t="s">
        <v>3475</v>
      </c>
      <c r="AO614" s="2" t="s">
        <v>1621</v>
      </c>
    </row>
    <row r="615" ht="15.75" customHeight="1">
      <c r="A615" s="2" t="s">
        <v>6068</v>
      </c>
      <c r="B615" s="2" t="s">
        <v>1766</v>
      </c>
      <c r="C615" s="2">
        <v>2012.0</v>
      </c>
      <c r="D615" s="2" t="s">
        <v>6069</v>
      </c>
      <c r="E615" s="2" t="s">
        <v>6070</v>
      </c>
      <c r="F615" s="2" t="s">
        <v>6071</v>
      </c>
      <c r="J615" s="12" t="str">
        <f>VLOOKUP(I615,'Copy of Enriched Data - IPBES G'!$L$2:$L$229,1,false)</f>
        <v>#N/A</v>
      </c>
      <c r="L615" s="2" t="s">
        <v>6072</v>
      </c>
      <c r="M615" s="2" t="s">
        <v>1405</v>
      </c>
      <c r="N615" s="2" t="s">
        <v>1385</v>
      </c>
      <c r="O615" s="2" t="s">
        <v>1386</v>
      </c>
      <c r="Q615" s="2" t="s">
        <v>6073</v>
      </c>
      <c r="AB615" s="2" t="s">
        <v>6074</v>
      </c>
      <c r="AO615" s="2" t="s">
        <v>1368</v>
      </c>
      <c r="AQ615" s="2" t="s">
        <v>6075</v>
      </c>
    </row>
    <row r="616" ht="15.75" customHeight="1">
      <c r="A616" s="2" t="s">
        <v>6076</v>
      </c>
      <c r="B616" s="2" t="s">
        <v>1361</v>
      </c>
      <c r="C616" s="2">
        <v>2002.0</v>
      </c>
      <c r="D616" s="2" t="s">
        <v>6077</v>
      </c>
      <c r="E616" s="2" t="s">
        <v>6078</v>
      </c>
      <c r="F616" s="2" t="s">
        <v>6079</v>
      </c>
      <c r="H616" s="2" t="s">
        <v>6080</v>
      </c>
      <c r="I616" s="2" t="s">
        <v>6081</v>
      </c>
      <c r="J616" s="12" t="str">
        <f>VLOOKUP(I616,'Copy of Enriched Data - IPBES G'!$L$2:$L$229,1,false)</f>
        <v>#N/A</v>
      </c>
      <c r="K616" s="2" t="s">
        <v>6082</v>
      </c>
      <c r="L616" s="2" t="s">
        <v>6083</v>
      </c>
      <c r="M616" s="2" t="s">
        <v>6084</v>
      </c>
      <c r="N616" s="2" t="s">
        <v>1385</v>
      </c>
      <c r="O616" s="2" t="s">
        <v>1386</v>
      </c>
      <c r="Q616" s="2" t="s">
        <v>6085</v>
      </c>
      <c r="S616" s="2" t="s">
        <v>1462</v>
      </c>
      <c r="T616" s="2" t="s">
        <v>6086</v>
      </c>
      <c r="AO616" s="2" t="s">
        <v>1368</v>
      </c>
    </row>
    <row r="617" ht="15.75" customHeight="1">
      <c r="A617" s="2" t="s">
        <v>6087</v>
      </c>
      <c r="B617" s="2" t="s">
        <v>1361</v>
      </c>
      <c r="C617" s="2">
        <v>1992.0</v>
      </c>
      <c r="D617" s="2" t="s">
        <v>6088</v>
      </c>
      <c r="E617" s="2" t="s">
        <v>6089</v>
      </c>
      <c r="F617" s="2" t="s">
        <v>6090</v>
      </c>
      <c r="H617" s="2" t="s">
        <v>6091</v>
      </c>
      <c r="I617" s="2" t="s">
        <v>6092</v>
      </c>
      <c r="J617" s="12" t="str">
        <f>VLOOKUP(I617,'Copy of Enriched Data - IPBES G'!$L$2:$L$229,1,false)</f>
        <v>#N/A</v>
      </c>
      <c r="M617" s="2" t="s">
        <v>3458</v>
      </c>
      <c r="N617" s="2" t="s">
        <v>1385</v>
      </c>
      <c r="O617" s="2" t="s">
        <v>1386</v>
      </c>
      <c r="Q617" s="2" t="s">
        <v>6093</v>
      </c>
      <c r="S617" s="2" t="s">
        <v>1480</v>
      </c>
      <c r="T617" s="2" t="s">
        <v>6094</v>
      </c>
      <c r="AO617" s="2" t="s">
        <v>1368</v>
      </c>
    </row>
    <row r="618" ht="15.75" customHeight="1">
      <c r="A618" s="2" t="s">
        <v>6095</v>
      </c>
      <c r="B618" s="2" t="s">
        <v>1396</v>
      </c>
      <c r="C618" s="2">
        <v>2018.0</v>
      </c>
      <c r="D618" s="2" t="s">
        <v>6096</v>
      </c>
      <c r="E618" s="2" t="s">
        <v>6097</v>
      </c>
      <c r="J618" s="12" t="str">
        <f>VLOOKUP(I618,'Copy of Enriched Data - IPBES G'!$L$2:$L$229,1,false)</f>
        <v>#N/A</v>
      </c>
      <c r="K618" s="2" t="s">
        <v>6098</v>
      </c>
      <c r="M618" s="2" t="s">
        <v>1420</v>
      </c>
      <c r="N618" s="2" t="s">
        <v>1385</v>
      </c>
      <c r="O618" s="2" t="s">
        <v>1386</v>
      </c>
      <c r="P618" s="2" t="s">
        <v>6099</v>
      </c>
      <c r="AO618" s="2" t="s">
        <v>1368</v>
      </c>
    </row>
    <row r="619" ht="15.75" customHeight="1">
      <c r="A619" s="2" t="s">
        <v>6100</v>
      </c>
      <c r="B619" s="2" t="s">
        <v>1623</v>
      </c>
      <c r="C619" s="2">
        <v>2016.0</v>
      </c>
      <c r="D619" s="2" t="s">
        <v>6101</v>
      </c>
      <c r="E619" s="2" t="s">
        <v>6102</v>
      </c>
      <c r="J619" s="12" t="str">
        <f>VLOOKUP(I619,'Copy of Enriched Data - IPBES G'!$L$2:$L$229,1,false)</f>
        <v>#N/A</v>
      </c>
      <c r="M619" s="2" t="s">
        <v>1502</v>
      </c>
      <c r="N619" s="2" t="s">
        <v>1385</v>
      </c>
      <c r="O619" s="2" t="s">
        <v>1386</v>
      </c>
      <c r="AB619" s="2" t="s">
        <v>6103</v>
      </c>
      <c r="AO619" s="2" t="s">
        <v>1368</v>
      </c>
    </row>
    <row r="620" ht="15.75" customHeight="1">
      <c r="A620" s="2" t="s">
        <v>6104</v>
      </c>
      <c r="B620" s="2" t="s">
        <v>1623</v>
      </c>
      <c r="C620" s="2">
        <v>2006.0</v>
      </c>
      <c r="D620" s="2" t="s">
        <v>6105</v>
      </c>
      <c r="E620" s="2" t="s">
        <v>6106</v>
      </c>
      <c r="J620" s="12" t="str">
        <f>VLOOKUP(I620,'Copy of Enriched Data - IPBES G'!$L$2:$L$229,1,false)</f>
        <v>#N/A</v>
      </c>
      <c r="K620" s="2" t="s">
        <v>6107</v>
      </c>
      <c r="M620" s="2" t="s">
        <v>1727</v>
      </c>
      <c r="N620" s="2" t="s">
        <v>1385</v>
      </c>
      <c r="O620" s="2" t="s">
        <v>1386</v>
      </c>
      <c r="AB620" s="2" t="s">
        <v>6108</v>
      </c>
      <c r="AC620" s="2" t="s">
        <v>6109</v>
      </c>
      <c r="AO620" s="2" t="s">
        <v>1368</v>
      </c>
    </row>
    <row r="621" ht="15.75" customHeight="1">
      <c r="A621" s="2" t="s">
        <v>6110</v>
      </c>
      <c r="B621" s="2" t="s">
        <v>1396</v>
      </c>
      <c r="C621" s="2">
        <v>2015.0</v>
      </c>
      <c r="D621" s="2" t="s">
        <v>6111</v>
      </c>
      <c r="E621" s="2" t="s">
        <v>6112</v>
      </c>
      <c r="J621" s="12" t="str">
        <f>VLOOKUP(I621,'Copy of Enriched Data - IPBES G'!$L$2:$L$229,1,false)</f>
        <v>#N/A</v>
      </c>
      <c r="M621" s="2" t="s">
        <v>1373</v>
      </c>
      <c r="N621" s="2" t="s">
        <v>1385</v>
      </c>
      <c r="O621" s="2" t="s">
        <v>1386</v>
      </c>
      <c r="AB621" s="2" t="s">
        <v>6113</v>
      </c>
      <c r="AO621" s="2" t="s">
        <v>1368</v>
      </c>
    </row>
    <row r="622" ht="15.75" customHeight="1">
      <c r="A622" s="2" t="s">
        <v>6114</v>
      </c>
      <c r="B622" s="2" t="s">
        <v>1766</v>
      </c>
      <c r="C622" s="2">
        <v>2017.0</v>
      </c>
      <c r="D622" s="2" t="s">
        <v>6115</v>
      </c>
      <c r="E622" s="2" t="s">
        <v>6116</v>
      </c>
      <c r="F622" s="2" t="s">
        <v>6117</v>
      </c>
      <c r="J622" s="12" t="str">
        <f>VLOOKUP(I622,'Copy of Enriched Data - IPBES G'!$L$2:$L$229,1,false)</f>
        <v>#N/A</v>
      </c>
      <c r="K622" s="2" t="s">
        <v>6118</v>
      </c>
      <c r="M622" s="2" t="s">
        <v>1658</v>
      </c>
      <c r="N622" s="2" t="s">
        <v>1385</v>
      </c>
      <c r="O622" s="2" t="s">
        <v>1386</v>
      </c>
      <c r="Q622" s="2" t="s">
        <v>5986</v>
      </c>
      <c r="AB622" s="2" t="s">
        <v>2409</v>
      </c>
      <c r="AC622" s="2" t="s">
        <v>2410</v>
      </c>
      <c r="AO622" s="2" t="s">
        <v>1368</v>
      </c>
      <c r="AQ622" s="2" t="s">
        <v>2411</v>
      </c>
    </row>
    <row r="623" ht="15.75" customHeight="1">
      <c r="A623" s="2" t="s">
        <v>6119</v>
      </c>
      <c r="B623" s="2" t="s">
        <v>1361</v>
      </c>
      <c r="C623" s="2">
        <v>2018.0</v>
      </c>
      <c r="D623" s="2" t="s">
        <v>6120</v>
      </c>
      <c r="E623" s="2" t="s">
        <v>6121</v>
      </c>
      <c r="F623" s="2" t="s">
        <v>1484</v>
      </c>
      <c r="H623" s="2" t="s">
        <v>6122</v>
      </c>
      <c r="I623" s="2" t="s">
        <v>6123</v>
      </c>
      <c r="J623" s="12" t="str">
        <f>VLOOKUP(I623,'Copy of Enriched Data - IPBES G'!$L$2:$L$229,1,false)</f>
        <v>#N/A</v>
      </c>
      <c r="L623" s="2" t="s">
        <v>6124</v>
      </c>
      <c r="M623" s="2" t="s">
        <v>1420</v>
      </c>
      <c r="N623" s="2" t="s">
        <v>1385</v>
      </c>
      <c r="O623" s="2" t="s">
        <v>1386</v>
      </c>
      <c r="Q623" s="2" t="s">
        <v>6125</v>
      </c>
      <c r="T623" s="2" t="s">
        <v>6126</v>
      </c>
      <c r="AO623" s="2" t="s">
        <v>1368</v>
      </c>
    </row>
    <row r="624" ht="15.75" customHeight="1">
      <c r="A624" s="2" t="s">
        <v>6127</v>
      </c>
      <c r="B624" s="2" t="s">
        <v>1361</v>
      </c>
      <c r="C624" s="2">
        <v>2010.0</v>
      </c>
      <c r="D624" s="2" t="s">
        <v>6128</v>
      </c>
      <c r="E624" s="2" t="s">
        <v>6129</v>
      </c>
      <c r="F624" s="2" t="s">
        <v>1510</v>
      </c>
      <c r="H624" s="2" t="s">
        <v>1511</v>
      </c>
      <c r="I624" s="2" t="s">
        <v>6130</v>
      </c>
      <c r="J624" s="12" t="str">
        <f>VLOOKUP(I624,'Copy of Enriched Data - IPBES G'!$L$2:$L$229,1,false)</f>
        <v>#N/A</v>
      </c>
      <c r="L624" s="2" t="s">
        <v>6131</v>
      </c>
      <c r="M624" s="2" t="s">
        <v>1449</v>
      </c>
      <c r="N624" s="2" t="s">
        <v>1385</v>
      </c>
      <c r="O624" s="2" t="s">
        <v>1386</v>
      </c>
      <c r="Q624" s="2" t="s">
        <v>6132</v>
      </c>
      <c r="S624" s="2" t="s">
        <v>6133</v>
      </c>
      <c r="T624" s="2" t="s">
        <v>6134</v>
      </c>
      <c r="AO624" s="2" t="s">
        <v>1368</v>
      </c>
    </row>
    <row r="625" ht="15.75" customHeight="1">
      <c r="A625" s="2" t="s">
        <v>6135</v>
      </c>
      <c r="B625" s="2" t="s">
        <v>1781</v>
      </c>
      <c r="C625" s="2">
        <v>2006.0</v>
      </c>
      <c r="D625" s="2" t="s">
        <v>6136</v>
      </c>
      <c r="E625" s="2" t="s">
        <v>6137</v>
      </c>
      <c r="J625" s="12" t="str">
        <f>VLOOKUP(I625,'Copy of Enriched Data - IPBES G'!$L$2:$L$229,1,false)</f>
        <v>#N/A</v>
      </c>
      <c r="M625" s="2" t="s">
        <v>1727</v>
      </c>
      <c r="N625" s="2" t="s">
        <v>1385</v>
      </c>
      <c r="O625" s="2" t="s">
        <v>1386</v>
      </c>
      <c r="AO625" s="2" t="s">
        <v>1368</v>
      </c>
    </row>
    <row r="626" ht="15.75" customHeight="1">
      <c r="A626" s="2" t="s">
        <v>6144</v>
      </c>
      <c r="B626" s="2" t="s">
        <v>1361</v>
      </c>
      <c r="C626" s="2">
        <v>2009.0</v>
      </c>
      <c r="D626" s="2" t="s">
        <v>6145</v>
      </c>
      <c r="E626" s="2" t="s">
        <v>6146</v>
      </c>
      <c r="F626" s="2" t="s">
        <v>3689</v>
      </c>
      <c r="H626" s="2" t="s">
        <v>3690</v>
      </c>
      <c r="I626" s="2" t="s">
        <v>6147</v>
      </c>
      <c r="J626" s="12" t="str">
        <f>VLOOKUP(I626,'Copy of Enriched Data - IPBES G'!$L$2:$L$229,1,false)</f>
        <v>#N/A</v>
      </c>
      <c r="M626" s="2" t="s">
        <v>6148</v>
      </c>
      <c r="N626" s="2" t="s">
        <v>1385</v>
      </c>
      <c r="O626" s="2" t="s">
        <v>1386</v>
      </c>
      <c r="Q626" s="2" t="s">
        <v>6149</v>
      </c>
      <c r="S626" s="2" t="s">
        <v>1462</v>
      </c>
      <c r="T626" s="2" t="s">
        <v>1462</v>
      </c>
      <c r="AO626" s="2" t="s">
        <v>1368</v>
      </c>
    </row>
    <row r="627" ht="15.75" customHeight="1">
      <c r="A627" s="2" t="s">
        <v>6150</v>
      </c>
      <c r="B627" s="2" t="s">
        <v>1361</v>
      </c>
      <c r="C627" s="2">
        <v>2016.0</v>
      </c>
      <c r="D627" s="2" t="s">
        <v>6151</v>
      </c>
      <c r="E627" s="2" t="s">
        <v>6152</v>
      </c>
      <c r="F627" s="2" t="s">
        <v>362</v>
      </c>
      <c r="H627" s="2" t="s">
        <v>1877</v>
      </c>
      <c r="I627" s="2" t="s">
        <v>6153</v>
      </c>
      <c r="J627" s="12" t="str">
        <f>VLOOKUP(I627,'Copy of Enriched Data - IPBES G'!$L$2:$L$229,1,false)</f>
        <v>#N/A</v>
      </c>
      <c r="K627" s="2" t="s">
        <v>6154</v>
      </c>
      <c r="M627" s="2" t="s">
        <v>6155</v>
      </c>
      <c r="N627" s="2" t="s">
        <v>1385</v>
      </c>
      <c r="O627" s="2" t="s">
        <v>1386</v>
      </c>
      <c r="Q627" s="2" t="s">
        <v>6156</v>
      </c>
      <c r="S627" s="2" t="s">
        <v>1600</v>
      </c>
      <c r="T627" s="2" t="s">
        <v>1620</v>
      </c>
      <c r="AO627" s="2" t="s">
        <v>1368</v>
      </c>
    </row>
    <row r="628" ht="15.75" customHeight="1">
      <c r="A628" s="2" t="s">
        <v>6157</v>
      </c>
      <c r="B628" s="2" t="s">
        <v>1361</v>
      </c>
      <c r="C628" s="2">
        <v>2011.0</v>
      </c>
      <c r="D628" s="2" t="s">
        <v>6158</v>
      </c>
      <c r="E628" s="2" t="s">
        <v>6159</v>
      </c>
      <c r="F628" s="2" t="s">
        <v>2665</v>
      </c>
      <c r="H628" s="2" t="s">
        <v>6160</v>
      </c>
      <c r="I628" s="2" t="s">
        <v>6161</v>
      </c>
      <c r="J628" s="12" t="str">
        <f>VLOOKUP(I628,'Copy of Enriched Data - IPBES G'!$L$2:$L$229,1,false)</f>
        <v>#N/A</v>
      </c>
      <c r="L628" s="2" t="s">
        <v>6162</v>
      </c>
      <c r="M628" s="2" t="s">
        <v>1627</v>
      </c>
      <c r="N628" s="2" t="s">
        <v>1385</v>
      </c>
      <c r="O628" s="2" t="s">
        <v>1386</v>
      </c>
      <c r="AO628" s="2" t="s">
        <v>1368</v>
      </c>
    </row>
    <row r="629" ht="15.75" customHeight="1">
      <c r="A629" s="2" t="s">
        <v>6163</v>
      </c>
      <c r="B629" s="2" t="s">
        <v>1361</v>
      </c>
      <c r="C629" s="2">
        <v>2002.0</v>
      </c>
      <c r="D629" s="2" t="s">
        <v>6164</v>
      </c>
      <c r="E629" s="2" t="s">
        <v>6165</v>
      </c>
      <c r="F629" s="2" t="s">
        <v>5470</v>
      </c>
      <c r="H629" s="2" t="s">
        <v>6166</v>
      </c>
      <c r="I629" s="2" t="s">
        <v>6167</v>
      </c>
      <c r="J629" s="12" t="str">
        <f>VLOOKUP(I629,'Copy of Enriched Data - IPBES G'!$L$2:$L$229,1,false)</f>
        <v>#N/A</v>
      </c>
      <c r="M629" s="2" t="s">
        <v>1493</v>
      </c>
      <c r="N629" s="2" t="s">
        <v>1385</v>
      </c>
      <c r="O629" s="2" t="s">
        <v>1386</v>
      </c>
      <c r="Q629" s="2" t="s">
        <v>6168</v>
      </c>
      <c r="S629" s="2" t="s">
        <v>1462</v>
      </c>
      <c r="T629" s="2" t="s">
        <v>3136</v>
      </c>
      <c r="AO629" s="2" t="s">
        <v>1368</v>
      </c>
    </row>
    <row r="630" ht="15.75" customHeight="1">
      <c r="A630" s="2" t="s">
        <v>6169</v>
      </c>
      <c r="B630" s="2" t="s">
        <v>1396</v>
      </c>
      <c r="C630" s="2">
        <v>2004.0</v>
      </c>
      <c r="D630" s="2" t="s">
        <v>6170</v>
      </c>
      <c r="E630" s="2" t="s">
        <v>6171</v>
      </c>
      <c r="J630" s="12" t="str">
        <f>VLOOKUP(I630,'Copy of Enriched Data - IPBES G'!$L$2:$L$229,1,false)</f>
        <v>#N/A</v>
      </c>
      <c r="M630" s="2" t="s">
        <v>2373</v>
      </c>
      <c r="N630" s="2" t="s">
        <v>1385</v>
      </c>
      <c r="O630" s="2" t="s">
        <v>1386</v>
      </c>
      <c r="AB630" s="2" t="s">
        <v>6172</v>
      </c>
      <c r="AO630" s="2" t="s">
        <v>1368</v>
      </c>
    </row>
    <row r="631" ht="15.75" customHeight="1">
      <c r="A631" s="2" t="s">
        <v>6173</v>
      </c>
      <c r="B631" s="2" t="s">
        <v>1396</v>
      </c>
      <c r="C631" s="2">
        <v>2011.0</v>
      </c>
      <c r="D631" s="2" t="s">
        <v>6174</v>
      </c>
      <c r="E631" s="2" t="s">
        <v>6175</v>
      </c>
      <c r="J631" s="12" t="str">
        <f>VLOOKUP(I631,'Copy of Enriched Data - IPBES G'!$L$2:$L$229,1,false)</f>
        <v>#N/A</v>
      </c>
      <c r="M631" s="2" t="s">
        <v>1627</v>
      </c>
      <c r="N631" s="2" t="s">
        <v>1385</v>
      </c>
      <c r="O631" s="2" t="s">
        <v>1386</v>
      </c>
      <c r="AB631" s="2" t="s">
        <v>2374</v>
      </c>
      <c r="AO631" s="2" t="s">
        <v>1368</v>
      </c>
    </row>
    <row r="632" ht="15.75" customHeight="1">
      <c r="A632" s="2" t="s">
        <v>6176</v>
      </c>
      <c r="B632" s="2" t="s">
        <v>1361</v>
      </c>
      <c r="C632" s="2">
        <v>2018.0</v>
      </c>
      <c r="D632" s="2" t="s">
        <v>6177</v>
      </c>
      <c r="E632" s="2" t="s">
        <v>6178</v>
      </c>
      <c r="F632" s="2" t="s">
        <v>2549</v>
      </c>
      <c r="H632" s="2" t="s">
        <v>2550</v>
      </c>
      <c r="I632" s="2" t="s">
        <v>6179</v>
      </c>
      <c r="J632" s="12" t="str">
        <f>VLOOKUP(I632,'Copy of Enriched Data - IPBES G'!$L$2:$L$229,1,false)</f>
        <v>#N/A</v>
      </c>
      <c r="L632" s="2" t="s">
        <v>6180</v>
      </c>
      <c r="M632" s="2" t="s">
        <v>1420</v>
      </c>
      <c r="N632" s="2" t="s">
        <v>1385</v>
      </c>
      <c r="O632" s="2" t="s">
        <v>1386</v>
      </c>
      <c r="S632" s="2" t="s">
        <v>1462</v>
      </c>
      <c r="T632" s="2" t="s">
        <v>6181</v>
      </c>
      <c r="AO632" s="2" t="s">
        <v>1368</v>
      </c>
    </row>
    <row r="633" ht="15.75" customHeight="1">
      <c r="A633" s="2" t="s">
        <v>6182</v>
      </c>
      <c r="B633" s="2" t="s">
        <v>1396</v>
      </c>
      <c r="C633" s="2">
        <v>1996.0</v>
      </c>
      <c r="D633" s="2" t="s">
        <v>6183</v>
      </c>
      <c r="E633" s="2" t="s">
        <v>6184</v>
      </c>
      <c r="J633" s="12" t="str">
        <f>VLOOKUP(I633,'Copy of Enriched Data - IPBES G'!$L$2:$L$229,1,false)</f>
        <v>#N/A</v>
      </c>
      <c r="M633" s="2" t="s">
        <v>2492</v>
      </c>
      <c r="N633" s="2" t="s">
        <v>1385</v>
      </c>
      <c r="O633" s="2" t="s">
        <v>1386</v>
      </c>
      <c r="AB633" s="2" t="s">
        <v>6185</v>
      </c>
      <c r="AO633" s="2" t="s">
        <v>1368</v>
      </c>
    </row>
    <row r="634" ht="15.75" customHeight="1">
      <c r="A634" s="2" t="s">
        <v>6186</v>
      </c>
      <c r="B634" s="2" t="s">
        <v>1396</v>
      </c>
      <c r="C634" s="2">
        <v>2016.0</v>
      </c>
      <c r="D634" s="2" t="s">
        <v>6170</v>
      </c>
      <c r="E634" s="2" t="s">
        <v>6187</v>
      </c>
      <c r="J634" s="12" t="str">
        <f>VLOOKUP(I634,'Copy of Enriched Data - IPBES G'!$L$2:$L$229,1,false)</f>
        <v>#N/A</v>
      </c>
      <c r="M634" s="2" t="s">
        <v>1502</v>
      </c>
      <c r="N634" s="2" t="s">
        <v>1385</v>
      </c>
      <c r="O634" s="2" t="s">
        <v>1386</v>
      </c>
      <c r="AB634" s="2" t="s">
        <v>6188</v>
      </c>
      <c r="AO634" s="2" t="s">
        <v>1368</v>
      </c>
    </row>
    <row r="635" ht="15.75" customHeight="1">
      <c r="A635" s="2" t="s">
        <v>6194</v>
      </c>
      <c r="B635" s="2" t="s">
        <v>1766</v>
      </c>
      <c r="C635" s="2">
        <v>2016.0</v>
      </c>
      <c r="D635" s="2" t="s">
        <v>6195</v>
      </c>
      <c r="E635" s="2" t="s">
        <v>6196</v>
      </c>
      <c r="F635" s="2" t="s">
        <v>6197</v>
      </c>
      <c r="J635" s="12" t="str">
        <f>VLOOKUP(I635,'Copy of Enriched Data - IPBES G'!$L$2:$L$229,1,false)</f>
        <v>#N/A</v>
      </c>
      <c r="M635" s="2" t="s">
        <v>1502</v>
      </c>
      <c r="N635" s="2" t="s">
        <v>1385</v>
      </c>
      <c r="O635" s="2" t="s">
        <v>1386</v>
      </c>
      <c r="Q635" s="2" t="s">
        <v>6198</v>
      </c>
      <c r="AB635" s="2" t="s">
        <v>6199</v>
      </c>
      <c r="AO635" s="2" t="s">
        <v>1368</v>
      </c>
      <c r="AQ635" s="2" t="s">
        <v>6200</v>
      </c>
    </row>
    <row r="636" ht="15.75" customHeight="1">
      <c r="A636" s="2" t="s">
        <v>6201</v>
      </c>
      <c r="B636" s="2" t="s">
        <v>1361</v>
      </c>
      <c r="C636" s="2">
        <v>2016.0</v>
      </c>
      <c r="D636" s="2" t="s">
        <v>6202</v>
      </c>
      <c r="E636" s="2" t="s">
        <v>6203</v>
      </c>
      <c r="F636" s="2" t="s">
        <v>6204</v>
      </c>
      <c r="H636" s="2" t="s">
        <v>6205</v>
      </c>
      <c r="I636" s="2" t="s">
        <v>6206</v>
      </c>
      <c r="J636" s="12" t="str">
        <f>VLOOKUP(I636,'Copy of Enriched Data - IPBES G'!$L$2:$L$229,1,false)</f>
        <v>#N/A</v>
      </c>
      <c r="L636" s="2" t="s">
        <v>6207</v>
      </c>
      <c r="M636" s="2" t="s">
        <v>1502</v>
      </c>
      <c r="N636" s="2" t="s">
        <v>1385</v>
      </c>
      <c r="O636" s="2" t="s">
        <v>1386</v>
      </c>
      <c r="Q636" s="2" t="s">
        <v>6208</v>
      </c>
      <c r="S636" s="2" t="s">
        <v>2565</v>
      </c>
      <c r="T636" s="2" t="s">
        <v>6209</v>
      </c>
      <c r="AO636" s="2" t="s">
        <v>1368</v>
      </c>
    </row>
    <row r="637" ht="15.75" customHeight="1">
      <c r="A637" s="2" t="s">
        <v>6210</v>
      </c>
      <c r="B637" s="2" t="s">
        <v>1361</v>
      </c>
      <c r="C637" s="2">
        <v>2015.0</v>
      </c>
      <c r="D637" s="2" t="s">
        <v>6211</v>
      </c>
      <c r="E637" s="2" t="s">
        <v>6212</v>
      </c>
      <c r="F637" s="2" t="s">
        <v>2641</v>
      </c>
      <c r="H637" s="2" t="s">
        <v>5876</v>
      </c>
      <c r="I637" s="2" t="s">
        <v>6213</v>
      </c>
      <c r="J637" s="12" t="str">
        <f>VLOOKUP(I637,'Copy of Enriched Data - IPBES G'!$L$2:$L$229,1,false)</f>
        <v>#N/A</v>
      </c>
      <c r="L637" s="2" t="s">
        <v>6214</v>
      </c>
      <c r="M637" s="2" t="s">
        <v>1373</v>
      </c>
      <c r="N637" s="2" t="s">
        <v>1385</v>
      </c>
      <c r="O637" s="2" t="s">
        <v>1386</v>
      </c>
      <c r="AO637" s="2" t="s">
        <v>1368</v>
      </c>
    </row>
    <row r="638" ht="15.75" customHeight="1">
      <c r="A638" s="2" t="s">
        <v>6215</v>
      </c>
      <c r="B638" s="2" t="s">
        <v>1361</v>
      </c>
      <c r="C638" s="2">
        <v>2016.0</v>
      </c>
      <c r="D638" s="2" t="s">
        <v>6216</v>
      </c>
      <c r="E638" s="2" t="s">
        <v>6217</v>
      </c>
      <c r="F638" s="2" t="s">
        <v>1688</v>
      </c>
      <c r="I638" s="2" t="s">
        <v>6218</v>
      </c>
      <c r="J638" s="12" t="str">
        <f>VLOOKUP(I638,'Copy of Enriched Data - IPBES G'!$L$2:$L$229,1,false)</f>
        <v>#N/A</v>
      </c>
      <c r="M638" s="2" t="s">
        <v>1502</v>
      </c>
      <c r="N638" s="2" t="s">
        <v>1385</v>
      </c>
      <c r="O638" s="2" t="s">
        <v>1386</v>
      </c>
      <c r="Q638" s="2" t="s">
        <v>6219</v>
      </c>
      <c r="S638" s="2" t="s">
        <v>1537</v>
      </c>
      <c r="T638" s="2" t="s">
        <v>6220</v>
      </c>
      <c r="AO638" s="2" t="s">
        <v>1368</v>
      </c>
    </row>
    <row r="639" ht="15.75" customHeight="1">
      <c r="A639" s="2" t="s">
        <v>6221</v>
      </c>
      <c r="B639" s="2" t="s">
        <v>1361</v>
      </c>
      <c r="C639" s="2">
        <v>2018.0</v>
      </c>
      <c r="D639" s="2" t="s">
        <v>6222</v>
      </c>
      <c r="E639" s="2" t="s">
        <v>6223</v>
      </c>
      <c r="F639" s="2" t="s">
        <v>6224</v>
      </c>
      <c r="H639" s="2" t="s">
        <v>6225</v>
      </c>
      <c r="I639" s="2" t="s">
        <v>6226</v>
      </c>
      <c r="J639" s="12" t="str">
        <f>VLOOKUP(I639,'Copy of Enriched Data - IPBES G'!$L$2:$L$229,1,false)</f>
        <v>#N/A</v>
      </c>
      <c r="L639" s="2" t="s">
        <v>6227</v>
      </c>
      <c r="M639" s="2" t="s">
        <v>1420</v>
      </c>
      <c r="N639" s="2" t="s">
        <v>1385</v>
      </c>
      <c r="O639" s="2" t="s">
        <v>1386</v>
      </c>
      <c r="Q639" s="2" t="s">
        <v>6228</v>
      </c>
      <c r="S639" s="2" t="s">
        <v>3617</v>
      </c>
      <c r="T639" s="2" t="s">
        <v>2271</v>
      </c>
      <c r="AO639" s="2" t="s">
        <v>1368</v>
      </c>
    </row>
    <row r="640" ht="15.75" customHeight="1">
      <c r="A640" s="2" t="s">
        <v>6229</v>
      </c>
      <c r="B640" s="2" t="s">
        <v>1361</v>
      </c>
      <c r="C640" s="2">
        <v>2010.0</v>
      </c>
      <c r="D640" s="2" t="s">
        <v>6230</v>
      </c>
      <c r="E640" s="2" t="s">
        <v>6231</v>
      </c>
      <c r="F640" s="2" t="s">
        <v>1466</v>
      </c>
      <c r="H640" s="2" t="s">
        <v>6232</v>
      </c>
      <c r="I640" s="2" t="s">
        <v>6233</v>
      </c>
      <c r="J640" s="12" t="str">
        <f>VLOOKUP(I640,'Copy of Enriched Data - IPBES G'!$L$2:$L$229,1,false)</f>
        <v>#N/A</v>
      </c>
      <c r="L640" s="2" t="s">
        <v>6234</v>
      </c>
      <c r="M640" s="2" t="s">
        <v>1449</v>
      </c>
      <c r="N640" s="2" t="s">
        <v>1385</v>
      </c>
      <c r="O640" s="2" t="s">
        <v>1386</v>
      </c>
      <c r="AO640" s="2" t="s">
        <v>1368</v>
      </c>
    </row>
    <row r="641" ht="15.75" customHeight="1">
      <c r="A641" s="2" t="s">
        <v>6235</v>
      </c>
      <c r="B641" s="2" t="s">
        <v>1781</v>
      </c>
      <c r="C641" s="2">
        <v>2017.0</v>
      </c>
      <c r="D641" s="2" t="s">
        <v>6236</v>
      </c>
      <c r="E641" s="2" t="s">
        <v>6237</v>
      </c>
      <c r="J641" s="12" t="str">
        <f>VLOOKUP(I641,'Copy of Enriched Data - IPBES G'!$L$2:$L$229,1,false)</f>
        <v>#N/A</v>
      </c>
      <c r="M641" s="2" t="s">
        <v>1658</v>
      </c>
      <c r="N641" s="2" t="s">
        <v>1385</v>
      </c>
      <c r="O641" s="2" t="s">
        <v>1386</v>
      </c>
      <c r="AO641" s="2" t="s">
        <v>1368</v>
      </c>
    </row>
    <row r="642" ht="15.75" customHeight="1">
      <c r="A642" s="2" t="s">
        <v>6238</v>
      </c>
      <c r="B642" s="2" t="s">
        <v>1361</v>
      </c>
      <c r="C642" s="2">
        <v>2014.0</v>
      </c>
      <c r="D642" s="2" t="s">
        <v>6239</v>
      </c>
      <c r="E642" s="2" t="s">
        <v>6240</v>
      </c>
      <c r="F642" s="2" t="s">
        <v>1688</v>
      </c>
      <c r="H642" s="2" t="s">
        <v>1689</v>
      </c>
      <c r="I642" s="2" t="s">
        <v>6241</v>
      </c>
      <c r="J642" s="12" t="str">
        <f>VLOOKUP(I642,'Copy of Enriched Data - IPBES G'!$L$2:$L$229,1,false)</f>
        <v>#N/A</v>
      </c>
      <c r="K642" s="2" t="s">
        <v>6242</v>
      </c>
      <c r="L642" s="2" t="s">
        <v>6243</v>
      </c>
      <c r="M642" s="2" t="s">
        <v>1476</v>
      </c>
      <c r="N642" s="2" t="s">
        <v>1385</v>
      </c>
      <c r="O642" s="2" t="s">
        <v>1386</v>
      </c>
      <c r="Q642" s="2" t="s">
        <v>6244</v>
      </c>
      <c r="S642" s="2" t="s">
        <v>3391</v>
      </c>
      <c r="T642" s="2" t="s">
        <v>6245</v>
      </c>
      <c r="AO642" s="2" t="s">
        <v>1368</v>
      </c>
    </row>
    <row r="643" ht="15.75" customHeight="1">
      <c r="A643" s="2" t="s">
        <v>6246</v>
      </c>
      <c r="B643" s="2" t="s">
        <v>1361</v>
      </c>
      <c r="C643" s="2">
        <v>2014.0</v>
      </c>
      <c r="D643" s="2" t="s">
        <v>6247</v>
      </c>
      <c r="E643" s="2" t="s">
        <v>6248</v>
      </c>
      <c r="F643" s="2" t="s">
        <v>2020</v>
      </c>
      <c r="H643" s="2" t="s">
        <v>2173</v>
      </c>
      <c r="I643" s="2" t="s">
        <v>6249</v>
      </c>
      <c r="J643" s="12" t="str">
        <f>VLOOKUP(I643,'Copy of Enriched Data - IPBES G'!$L$2:$L$229,1,false)</f>
        <v>#N/A</v>
      </c>
      <c r="L643" s="2" t="s">
        <v>6250</v>
      </c>
      <c r="M643" s="2" t="s">
        <v>6251</v>
      </c>
      <c r="N643" s="2" t="s">
        <v>1385</v>
      </c>
      <c r="O643" s="2" t="s">
        <v>1386</v>
      </c>
      <c r="Q643" s="2" t="s">
        <v>6252</v>
      </c>
      <c r="T643" s="2" t="s">
        <v>2714</v>
      </c>
      <c r="AO643" s="2" t="s">
        <v>1368</v>
      </c>
    </row>
    <row r="644" ht="15.75" customHeight="1">
      <c r="A644" s="2" t="s">
        <v>6253</v>
      </c>
      <c r="B644" s="2" t="s">
        <v>1781</v>
      </c>
      <c r="C644" s="2">
        <v>2008.0</v>
      </c>
      <c r="D644" s="2" t="s">
        <v>6254</v>
      </c>
      <c r="E644" s="2" t="s">
        <v>6255</v>
      </c>
      <c r="J644" s="12" t="str">
        <f>VLOOKUP(I644,'Copy of Enriched Data - IPBES G'!$L$2:$L$229,1,false)</f>
        <v>#N/A</v>
      </c>
      <c r="M644" s="2" t="s">
        <v>1458</v>
      </c>
      <c r="N644" s="2" t="s">
        <v>1385</v>
      </c>
      <c r="O644" s="2" t="s">
        <v>1386</v>
      </c>
      <c r="AC644" s="2" t="s">
        <v>2146</v>
      </c>
      <c r="AO644" s="2" t="s">
        <v>1368</v>
      </c>
    </row>
    <row r="645" ht="15.75" customHeight="1">
      <c r="A645" s="2" t="s">
        <v>6256</v>
      </c>
      <c r="B645" s="2" t="s">
        <v>1361</v>
      </c>
      <c r="C645" s="2">
        <v>2010.0</v>
      </c>
      <c r="D645" s="2" t="s">
        <v>6257</v>
      </c>
      <c r="E645" s="2" t="s">
        <v>6258</v>
      </c>
      <c r="F645" s="2" t="s">
        <v>6259</v>
      </c>
      <c r="H645" s="2" t="s">
        <v>6260</v>
      </c>
      <c r="I645" s="2" t="s">
        <v>6261</v>
      </c>
      <c r="J645" s="12" t="str">
        <f>VLOOKUP(I645,'Copy of Enriched Data - IPBES G'!$L$2:$L$229,1,false)</f>
        <v>#N/A</v>
      </c>
      <c r="L645" s="2" t="s">
        <v>6262</v>
      </c>
      <c r="M645" s="2" t="s">
        <v>1449</v>
      </c>
      <c r="N645" s="2" t="s">
        <v>1385</v>
      </c>
      <c r="O645" s="2" t="s">
        <v>1386</v>
      </c>
      <c r="AO645" s="2" t="s">
        <v>1368</v>
      </c>
    </row>
    <row r="646" ht="15.75" customHeight="1">
      <c r="A646" s="2" t="s">
        <v>6263</v>
      </c>
      <c r="B646" s="2" t="s">
        <v>1361</v>
      </c>
      <c r="C646" s="2">
        <v>2012.0</v>
      </c>
      <c r="D646" s="2" t="s">
        <v>6264</v>
      </c>
      <c r="E646" s="2" t="s">
        <v>6265</v>
      </c>
      <c r="F646" s="2" t="s">
        <v>6266</v>
      </c>
      <c r="H646" s="2" t="s">
        <v>6267</v>
      </c>
      <c r="I646" s="2" t="s">
        <v>6268</v>
      </c>
      <c r="J646" s="12" t="str">
        <f>VLOOKUP(I646,'Copy of Enriched Data - IPBES G'!$L$2:$L$229,1,false)</f>
        <v>#N/A</v>
      </c>
      <c r="L646" s="2" t="s">
        <v>6269</v>
      </c>
      <c r="M646" s="2" t="s">
        <v>1405</v>
      </c>
      <c r="N646" s="2" t="s">
        <v>1385</v>
      </c>
      <c r="O646" s="2" t="s">
        <v>1386</v>
      </c>
      <c r="AO646" s="2" t="s">
        <v>1368</v>
      </c>
    </row>
    <row r="647" ht="15.75" customHeight="1">
      <c r="A647" s="2" t="s">
        <v>6270</v>
      </c>
      <c r="B647" s="2" t="s">
        <v>1396</v>
      </c>
      <c r="C647" s="2">
        <v>2013.0</v>
      </c>
      <c r="D647" s="2" t="s">
        <v>6271</v>
      </c>
      <c r="E647" s="2" t="s">
        <v>6272</v>
      </c>
      <c r="J647" s="12" t="str">
        <f>VLOOKUP(I647,'Copy of Enriched Data - IPBES G'!$L$2:$L$229,1,false)</f>
        <v>#N/A</v>
      </c>
      <c r="M647" s="2" t="s">
        <v>1429</v>
      </c>
      <c r="N647" s="2" t="s">
        <v>1385</v>
      </c>
      <c r="O647" s="2" t="s">
        <v>1386</v>
      </c>
      <c r="AB647" s="2" t="s">
        <v>2441</v>
      </c>
      <c r="AO647" s="2" t="s">
        <v>1368</v>
      </c>
    </row>
    <row r="648" ht="15.75" customHeight="1">
      <c r="A648" s="2" t="s">
        <v>6273</v>
      </c>
      <c r="B648" s="2" t="s">
        <v>1781</v>
      </c>
      <c r="C648" s="2">
        <v>1991.0</v>
      </c>
      <c r="D648" s="2" t="s">
        <v>5767</v>
      </c>
      <c r="E648" s="2" t="s">
        <v>6274</v>
      </c>
      <c r="J648" s="12" t="str">
        <f>VLOOKUP(I648,'Copy of Enriched Data - IPBES G'!$L$2:$L$229,1,false)</f>
        <v>#N/A</v>
      </c>
      <c r="M648" s="2" t="s">
        <v>2607</v>
      </c>
      <c r="N648" s="2" t="s">
        <v>1385</v>
      </c>
      <c r="O648" s="2" t="s">
        <v>1386</v>
      </c>
      <c r="AO648" s="2" t="s">
        <v>1368</v>
      </c>
    </row>
    <row r="649" ht="15.75" customHeight="1">
      <c r="A649" s="2" t="s">
        <v>6275</v>
      </c>
      <c r="B649" s="2" t="s">
        <v>1361</v>
      </c>
      <c r="C649" s="2">
        <v>2011.0</v>
      </c>
      <c r="D649" s="2" t="s">
        <v>6276</v>
      </c>
      <c r="E649" s="2" t="s">
        <v>6277</v>
      </c>
      <c r="F649" s="2" t="s">
        <v>6278</v>
      </c>
      <c r="H649" s="2" t="s">
        <v>5147</v>
      </c>
      <c r="I649" s="2" t="s">
        <v>6279</v>
      </c>
      <c r="J649" s="12" t="str">
        <f>VLOOKUP(I649,'Copy of Enriched Data - IPBES G'!$L$2:$L$229,1,false)</f>
        <v>#N/A</v>
      </c>
      <c r="L649" s="2" t="s">
        <v>6280</v>
      </c>
      <c r="M649" s="2" t="s">
        <v>1627</v>
      </c>
      <c r="N649" s="2" t="s">
        <v>1385</v>
      </c>
      <c r="O649" s="2" t="s">
        <v>1386</v>
      </c>
      <c r="Q649" s="2" t="s">
        <v>6281</v>
      </c>
      <c r="S649" s="2" t="s">
        <v>1480</v>
      </c>
      <c r="T649" s="2" t="s">
        <v>6282</v>
      </c>
      <c r="AO649" s="2" t="s">
        <v>1368</v>
      </c>
    </row>
    <row r="650" ht="15.75" customHeight="1">
      <c r="A650" s="2" t="s">
        <v>6283</v>
      </c>
      <c r="B650" s="2" t="s">
        <v>1781</v>
      </c>
      <c r="C650" s="2">
        <v>2015.0</v>
      </c>
      <c r="D650" s="2" t="s">
        <v>6284</v>
      </c>
      <c r="E650" s="2" t="s">
        <v>6285</v>
      </c>
      <c r="J650" s="12" t="str">
        <f>VLOOKUP(I650,'Copy of Enriched Data - IPBES G'!$L$2:$L$229,1,false)</f>
        <v>#N/A</v>
      </c>
      <c r="M650" s="2" t="s">
        <v>1373</v>
      </c>
      <c r="N650" s="2" t="s">
        <v>1385</v>
      </c>
      <c r="O650" s="2" t="s">
        <v>1386</v>
      </c>
      <c r="AO650" s="2" t="s">
        <v>1368</v>
      </c>
    </row>
    <row r="651" ht="15.75" customHeight="1">
      <c r="A651" s="2" t="s">
        <v>6286</v>
      </c>
      <c r="B651" s="2" t="s">
        <v>1396</v>
      </c>
      <c r="C651" s="2">
        <v>2006.0</v>
      </c>
      <c r="D651" s="2" t="s">
        <v>6287</v>
      </c>
      <c r="E651" s="2" t="s">
        <v>6288</v>
      </c>
      <c r="G651" s="2" t="s">
        <v>6289</v>
      </c>
      <c r="J651" s="12" t="str">
        <f>VLOOKUP(I651,'Copy of Enriched Data - IPBES G'!$L$2:$L$229,1,false)</f>
        <v>#N/A</v>
      </c>
      <c r="L651" s="2" t="s">
        <v>6290</v>
      </c>
      <c r="M651" s="2" t="s">
        <v>1727</v>
      </c>
      <c r="N651" s="2" t="s">
        <v>1385</v>
      </c>
      <c r="O651" s="2" t="s">
        <v>1386</v>
      </c>
      <c r="R651" s="2">
        <v>338.0</v>
      </c>
      <c r="AB651" s="2" t="s">
        <v>6291</v>
      </c>
      <c r="AO651" s="2" t="s">
        <v>1368</v>
      </c>
    </row>
    <row r="652" ht="15.75" customHeight="1">
      <c r="A652" s="2" t="s">
        <v>6298</v>
      </c>
      <c r="B652" s="2" t="s">
        <v>1361</v>
      </c>
      <c r="C652" s="2">
        <v>2002.0</v>
      </c>
      <c r="D652" s="2" t="s">
        <v>6299</v>
      </c>
      <c r="E652" s="2" t="s">
        <v>6300</v>
      </c>
      <c r="F652" s="2" t="s">
        <v>1760</v>
      </c>
      <c r="H652" s="2" t="s">
        <v>1761</v>
      </c>
      <c r="I652" s="2" t="s">
        <v>6301</v>
      </c>
      <c r="J652" s="12" t="str">
        <f>VLOOKUP(I652,'Copy of Enriched Data - IPBES G'!$L$2:$L$229,1,false)</f>
        <v>#N/A</v>
      </c>
      <c r="L652" s="2" t="s">
        <v>6302</v>
      </c>
      <c r="M652" s="2" t="s">
        <v>1493</v>
      </c>
      <c r="N652" s="2" t="s">
        <v>1385</v>
      </c>
      <c r="O652" s="2" t="s">
        <v>1386</v>
      </c>
      <c r="Q652" s="2" t="s">
        <v>6303</v>
      </c>
      <c r="S652" s="2" t="s">
        <v>1462</v>
      </c>
      <c r="T652" s="2" t="s">
        <v>3211</v>
      </c>
      <c r="AO652" s="2" t="s">
        <v>1368</v>
      </c>
    </row>
    <row r="653" ht="15.75" customHeight="1">
      <c r="A653" s="2" t="s">
        <v>6304</v>
      </c>
      <c r="B653" s="2" t="s">
        <v>1361</v>
      </c>
      <c r="C653" s="2">
        <v>2000.0</v>
      </c>
      <c r="D653" s="2" t="s">
        <v>5659</v>
      </c>
      <c r="E653" s="2" t="s">
        <v>6305</v>
      </c>
      <c r="F653" s="2" t="s">
        <v>6306</v>
      </c>
      <c r="H653" s="2" t="s">
        <v>6307</v>
      </c>
      <c r="I653" s="2" t="s">
        <v>6308</v>
      </c>
      <c r="J653" s="12" t="str">
        <f>VLOOKUP(I653,'Copy of Enriched Data - IPBES G'!$L$2:$L$229,1,false)</f>
        <v>#N/A</v>
      </c>
      <c r="M653" s="2" t="s">
        <v>2429</v>
      </c>
      <c r="N653" s="2" t="s">
        <v>1385</v>
      </c>
      <c r="O653" s="2" t="s">
        <v>1386</v>
      </c>
      <c r="Q653" s="2" t="s">
        <v>6309</v>
      </c>
      <c r="S653" s="2" t="s">
        <v>1600</v>
      </c>
      <c r="T653" s="2" t="s">
        <v>6310</v>
      </c>
      <c r="AO653" s="2" t="s">
        <v>1368</v>
      </c>
    </row>
    <row r="654" ht="15.75" customHeight="1">
      <c r="A654" s="2" t="s">
        <v>6311</v>
      </c>
      <c r="B654" s="2" t="s">
        <v>1361</v>
      </c>
      <c r="C654" s="2">
        <v>2018.0</v>
      </c>
      <c r="D654" s="2" t="s">
        <v>6312</v>
      </c>
      <c r="E654" s="2" t="s">
        <v>6313</v>
      </c>
      <c r="F654" s="2" t="s">
        <v>1688</v>
      </c>
      <c r="H654" s="2" t="s">
        <v>1689</v>
      </c>
      <c r="I654" s="2" t="s">
        <v>6314</v>
      </c>
      <c r="J654" s="12" t="str">
        <f>VLOOKUP(I654,'Copy of Enriched Data - IPBES G'!$L$2:$L$229,1,false)</f>
        <v>#N/A</v>
      </c>
      <c r="M654" s="2" t="s">
        <v>1420</v>
      </c>
      <c r="N654" s="2" t="s">
        <v>1385</v>
      </c>
      <c r="O654" s="2" t="s">
        <v>1386</v>
      </c>
      <c r="Q654" s="2" t="s">
        <v>6315</v>
      </c>
      <c r="S654" s="2" t="s">
        <v>2877</v>
      </c>
      <c r="T654" s="2" t="s">
        <v>6316</v>
      </c>
      <c r="AO654" s="2" t="s">
        <v>1368</v>
      </c>
    </row>
    <row r="655" ht="15.75" customHeight="1">
      <c r="A655" s="2" t="s">
        <v>6317</v>
      </c>
      <c r="B655" s="2" t="s">
        <v>1396</v>
      </c>
      <c r="C655" s="2">
        <v>1965.0</v>
      </c>
      <c r="D655" s="2" t="s">
        <v>6318</v>
      </c>
      <c r="E655" s="2" t="s">
        <v>6319</v>
      </c>
      <c r="G655" s="2" t="s">
        <v>6320</v>
      </c>
      <c r="J655" s="12" t="str">
        <f>VLOOKUP(I655,'Copy of Enriched Data - IPBES G'!$L$2:$L$229,1,false)</f>
        <v>#N/A</v>
      </c>
      <c r="M655" s="2" t="s">
        <v>6321</v>
      </c>
      <c r="N655" s="2" t="s">
        <v>1385</v>
      </c>
      <c r="O655" s="2" t="s">
        <v>1386</v>
      </c>
      <c r="AB655" s="2" t="s">
        <v>3283</v>
      </c>
      <c r="AO655" s="2" t="s">
        <v>1368</v>
      </c>
    </row>
    <row r="656" ht="15.75" customHeight="1">
      <c r="A656" s="2" t="s">
        <v>6322</v>
      </c>
      <c r="B656" s="2" t="s">
        <v>1396</v>
      </c>
      <c r="C656" s="2">
        <v>2015.0</v>
      </c>
      <c r="D656" s="2" t="s">
        <v>5659</v>
      </c>
      <c r="E656" s="2" t="s">
        <v>6323</v>
      </c>
      <c r="G656" s="2" t="s">
        <v>6324</v>
      </c>
      <c r="J656" s="12" t="str">
        <f>VLOOKUP(I656,'Copy of Enriched Data - IPBES G'!$L$2:$L$229,1,false)</f>
        <v>#N/A</v>
      </c>
      <c r="L656" s="2" t="s">
        <v>6325</v>
      </c>
      <c r="M656" s="2" t="s">
        <v>1373</v>
      </c>
      <c r="N656" s="2" t="s">
        <v>1385</v>
      </c>
      <c r="O656" s="2" t="s">
        <v>1386</v>
      </c>
      <c r="R656" s="2">
        <v>294.0</v>
      </c>
      <c r="AB656" s="2" t="s">
        <v>2187</v>
      </c>
      <c r="AO656" s="2" t="s">
        <v>1368</v>
      </c>
    </row>
    <row r="657" ht="15.75" customHeight="1">
      <c r="A657" s="2" t="s">
        <v>6326</v>
      </c>
      <c r="B657" s="2" t="s">
        <v>1361</v>
      </c>
      <c r="C657" s="2">
        <v>2013.0</v>
      </c>
      <c r="D657" s="2" t="s">
        <v>6327</v>
      </c>
      <c r="E657" s="2" t="s">
        <v>6328</v>
      </c>
      <c r="F657" s="2" t="s">
        <v>6329</v>
      </c>
      <c r="H657" s="2" t="s">
        <v>6330</v>
      </c>
      <c r="I657" s="2" t="s">
        <v>6331</v>
      </c>
      <c r="J657" s="12" t="str">
        <f>VLOOKUP(I657,'Copy of Enriched Data - IPBES G'!$L$2:$L$229,1,false)</f>
        <v>#N/A</v>
      </c>
      <c r="L657" s="2" t="s">
        <v>6332</v>
      </c>
      <c r="M657" s="2" t="s">
        <v>6333</v>
      </c>
      <c r="N657" s="2" t="s">
        <v>1385</v>
      </c>
      <c r="O657" s="2" t="s">
        <v>1386</v>
      </c>
      <c r="Q657" s="2" t="s">
        <v>6334</v>
      </c>
      <c r="S657" s="2" t="s">
        <v>1600</v>
      </c>
      <c r="T657" s="2" t="s">
        <v>1620</v>
      </c>
      <c r="AO657" s="2" t="s">
        <v>1368</v>
      </c>
    </row>
    <row r="658" ht="15.75" customHeight="1">
      <c r="A658" s="2" t="s">
        <v>6335</v>
      </c>
      <c r="B658" s="2" t="s">
        <v>1361</v>
      </c>
      <c r="C658" s="2">
        <v>2015.0</v>
      </c>
      <c r="D658" s="2" t="s">
        <v>6336</v>
      </c>
      <c r="E658" s="2" t="s">
        <v>6337</v>
      </c>
      <c r="F658" s="2" t="s">
        <v>362</v>
      </c>
      <c r="H658" s="2" t="s">
        <v>1877</v>
      </c>
      <c r="I658" s="2" t="s">
        <v>6338</v>
      </c>
      <c r="J658" s="12" t="str">
        <f>VLOOKUP(I658,'Copy of Enriched Data - IPBES G'!$L$2:$L$229,1,false)</f>
        <v>#N/A</v>
      </c>
      <c r="K658" s="2" t="s">
        <v>6339</v>
      </c>
      <c r="L658" s="2" t="s">
        <v>6340</v>
      </c>
      <c r="M658" s="2" t="s">
        <v>6341</v>
      </c>
      <c r="N658" s="2" t="s">
        <v>1385</v>
      </c>
      <c r="O658" s="2" t="s">
        <v>1386</v>
      </c>
      <c r="Q658" s="2" t="s">
        <v>6342</v>
      </c>
      <c r="S658" s="2" t="s">
        <v>1443</v>
      </c>
      <c r="T658" s="2" t="s">
        <v>1537</v>
      </c>
      <c r="AO658" s="2" t="s">
        <v>1368</v>
      </c>
    </row>
    <row r="659" ht="15.75" customHeight="1">
      <c r="A659" s="2" t="s">
        <v>6343</v>
      </c>
      <c r="B659" s="2" t="s">
        <v>1781</v>
      </c>
      <c r="C659" s="2">
        <v>2016.0</v>
      </c>
      <c r="D659" s="2" t="s">
        <v>6344</v>
      </c>
      <c r="E659" s="2" t="s">
        <v>6345</v>
      </c>
      <c r="J659" s="12" t="str">
        <f>VLOOKUP(I659,'Copy of Enriched Data - IPBES G'!$L$2:$L$229,1,false)</f>
        <v>#N/A</v>
      </c>
      <c r="M659" s="2" t="s">
        <v>1502</v>
      </c>
      <c r="N659" s="2" t="s">
        <v>1385</v>
      </c>
      <c r="O659" s="2" t="s">
        <v>1386</v>
      </c>
      <c r="AO659" s="2" t="s">
        <v>1368</v>
      </c>
    </row>
    <row r="660" ht="15.75" customHeight="1">
      <c r="A660" s="2" t="s">
        <v>6346</v>
      </c>
      <c r="B660" s="2" t="s">
        <v>1361</v>
      </c>
      <c r="C660" s="2">
        <v>2010.0</v>
      </c>
      <c r="D660" s="2" t="s">
        <v>6347</v>
      </c>
      <c r="E660" s="2" t="s">
        <v>6348</v>
      </c>
      <c r="F660" s="2" t="s">
        <v>1500</v>
      </c>
      <c r="I660" s="2" t="s">
        <v>6349</v>
      </c>
      <c r="J660" s="12" t="str">
        <f>VLOOKUP(I660,'Copy of Enriched Data - IPBES G'!$L$2:$L$229,1,false)</f>
        <v>#N/A</v>
      </c>
      <c r="M660" s="2" t="s">
        <v>1449</v>
      </c>
      <c r="N660" s="2" t="s">
        <v>6350</v>
      </c>
      <c r="O660" s="2" t="s">
        <v>6351</v>
      </c>
      <c r="Q660" s="2" t="s">
        <v>6352</v>
      </c>
      <c r="S660" s="2">
        <v>3.0</v>
      </c>
      <c r="T660" s="2">
        <v>46.0</v>
      </c>
      <c r="AO660" s="2" t="s">
        <v>1368</v>
      </c>
    </row>
    <row r="661" ht="15.75" customHeight="1">
      <c r="A661" s="2" t="s">
        <v>6353</v>
      </c>
      <c r="B661" s="2" t="s">
        <v>1361</v>
      </c>
      <c r="C661" s="2">
        <v>2012.0</v>
      </c>
      <c r="D661" s="2" t="s">
        <v>6354</v>
      </c>
      <c r="E661" s="2" t="s">
        <v>6355</v>
      </c>
      <c r="F661" s="2" t="s">
        <v>6356</v>
      </c>
      <c r="H661" s="2" t="s">
        <v>6357</v>
      </c>
      <c r="J661" s="12" t="str">
        <f>VLOOKUP(I661,'Copy of Enriched Data - IPBES G'!$L$2:$L$229,1,false)</f>
        <v>#N/A</v>
      </c>
      <c r="L661" s="2" t="s">
        <v>6358</v>
      </c>
      <c r="M661" s="2" t="s">
        <v>1405</v>
      </c>
      <c r="N661" s="2" t="s">
        <v>4103</v>
      </c>
      <c r="O661" s="2" t="s">
        <v>4104</v>
      </c>
      <c r="Q661" s="2" t="s">
        <v>6359</v>
      </c>
      <c r="S661" s="2">
        <v>2.0</v>
      </c>
      <c r="T661" s="2">
        <v>5.0</v>
      </c>
      <c r="AO661" s="2" t="s">
        <v>1368</v>
      </c>
    </row>
    <row r="662" ht="15.75" customHeight="1">
      <c r="A662" s="2" t="s">
        <v>6360</v>
      </c>
      <c r="B662" s="2" t="s">
        <v>1361</v>
      </c>
      <c r="C662" s="2">
        <v>2012.0</v>
      </c>
      <c r="D662" s="2" t="s">
        <v>6361</v>
      </c>
      <c r="E662" s="2" t="s">
        <v>6362</v>
      </c>
      <c r="F662" s="2" t="s">
        <v>6363</v>
      </c>
      <c r="H662" s="2" t="s">
        <v>6364</v>
      </c>
      <c r="I662" s="2" t="s">
        <v>6365</v>
      </c>
      <c r="J662" s="12" t="str">
        <f>VLOOKUP(I662,'Copy of Enriched Data - IPBES G'!$L$2:$L$229,1,false)</f>
        <v>#N/A</v>
      </c>
      <c r="K662" s="2" t="s">
        <v>6366</v>
      </c>
      <c r="M662" s="2" t="s">
        <v>2612</v>
      </c>
      <c r="N662" s="2" t="s">
        <v>6367</v>
      </c>
      <c r="O662" s="2" t="s">
        <v>6368</v>
      </c>
      <c r="P662" s="2" t="s">
        <v>5951</v>
      </c>
      <c r="Q662" s="2" t="s">
        <v>6369</v>
      </c>
      <c r="S662" s="2">
        <v>5.0</v>
      </c>
      <c r="T662" s="2">
        <v>15.0</v>
      </c>
      <c r="W662" s="2" t="s">
        <v>6370</v>
      </c>
      <c r="AD662" s="2" t="s">
        <v>1540</v>
      </c>
      <c r="AI662" s="2" t="s">
        <v>1541</v>
      </c>
      <c r="AO662" s="2" t="s">
        <v>1885</v>
      </c>
    </row>
    <row r="663" ht="15.75" customHeight="1">
      <c r="A663" s="2" t="s">
        <v>6371</v>
      </c>
      <c r="B663" s="2" t="s">
        <v>1396</v>
      </c>
      <c r="C663" s="2">
        <v>2007.0</v>
      </c>
      <c r="D663" s="2" t="s">
        <v>6372</v>
      </c>
      <c r="E663" s="2" t="s">
        <v>6373</v>
      </c>
      <c r="J663" s="12" t="str">
        <f>VLOOKUP(I663,'Copy of Enriched Data - IPBES G'!$L$2:$L$229,1,false)</f>
        <v>#N/A</v>
      </c>
      <c r="M663" s="2" t="s">
        <v>2380</v>
      </c>
      <c r="N663" s="2" t="s">
        <v>6374</v>
      </c>
      <c r="O663" s="2" t="s">
        <v>6375</v>
      </c>
      <c r="AB663" s="2" t="s">
        <v>6376</v>
      </c>
      <c r="AD663" s="2" t="s">
        <v>1540</v>
      </c>
      <c r="AO663" s="2" t="s">
        <v>1872</v>
      </c>
    </row>
    <row r="664" ht="15.75" customHeight="1">
      <c r="A664" s="2" t="s">
        <v>6377</v>
      </c>
      <c r="B664" s="2" t="s">
        <v>1361</v>
      </c>
      <c r="C664" s="2">
        <v>2008.0</v>
      </c>
      <c r="D664" s="2" t="s">
        <v>6378</v>
      </c>
      <c r="E664" s="2" t="s">
        <v>6379</v>
      </c>
      <c r="F664" s="2" t="s">
        <v>6380</v>
      </c>
      <c r="H664" s="2" t="s">
        <v>6381</v>
      </c>
      <c r="I664" s="2" t="s">
        <v>6382</v>
      </c>
      <c r="J664" s="12" t="str">
        <f>VLOOKUP(I664,'Copy of Enriched Data - IPBES G'!$L$2:$L$229,1,false)</f>
        <v>#N/A</v>
      </c>
      <c r="K664" s="2" t="s">
        <v>6383</v>
      </c>
      <c r="L664" s="2" t="s">
        <v>6384</v>
      </c>
      <c r="M664" s="2" t="s">
        <v>1458</v>
      </c>
      <c r="N664" s="2" t="s">
        <v>1385</v>
      </c>
      <c r="O664" s="2" t="s">
        <v>1386</v>
      </c>
      <c r="Q664" s="2" t="s">
        <v>6385</v>
      </c>
      <c r="S664" s="2">
        <v>4.0</v>
      </c>
      <c r="T664" s="2">
        <v>18.0</v>
      </c>
      <c r="AO664" s="2" t="s">
        <v>1368</v>
      </c>
    </row>
    <row r="665" ht="15.75" customHeight="1">
      <c r="A665" s="2" t="s">
        <v>6386</v>
      </c>
      <c r="B665" s="2" t="s">
        <v>1623</v>
      </c>
      <c r="C665" s="2">
        <v>2012.0</v>
      </c>
      <c r="D665" s="2" t="s">
        <v>6387</v>
      </c>
      <c r="E665" s="2" t="s">
        <v>6388</v>
      </c>
      <c r="J665" s="12" t="str">
        <f>VLOOKUP(I665,'Copy of Enriched Data - IPBES G'!$L$2:$L$229,1,false)</f>
        <v>#N/A</v>
      </c>
      <c r="K665" s="2" t="s">
        <v>6389</v>
      </c>
      <c r="M665" s="2" t="s">
        <v>1405</v>
      </c>
      <c r="N665" s="2" t="s">
        <v>1385</v>
      </c>
      <c r="O665" s="2" t="s">
        <v>1386</v>
      </c>
      <c r="P665" s="2" t="s">
        <v>6390</v>
      </c>
      <c r="AB665" s="2" t="s">
        <v>6391</v>
      </c>
      <c r="AC665" s="2" t="s">
        <v>6392</v>
      </c>
      <c r="AO665" s="2" t="s">
        <v>1368</v>
      </c>
    </row>
    <row r="666" ht="15.75" customHeight="1">
      <c r="A666" s="2" t="s">
        <v>6393</v>
      </c>
      <c r="B666" s="2" t="s">
        <v>1766</v>
      </c>
      <c r="C666" s="2">
        <v>2017.0</v>
      </c>
      <c r="D666" s="2" t="s">
        <v>6394</v>
      </c>
      <c r="E666" s="2" t="s">
        <v>6395</v>
      </c>
      <c r="F666" s="2" t="s">
        <v>6396</v>
      </c>
      <c r="J666" s="12" t="str">
        <f>VLOOKUP(I666,'Copy of Enriched Data - IPBES G'!$L$2:$L$229,1,false)</f>
        <v>#N/A</v>
      </c>
      <c r="M666" s="2" t="s">
        <v>1658</v>
      </c>
      <c r="N666" s="2" t="s">
        <v>1385</v>
      </c>
      <c r="O666" s="2" t="s">
        <v>1386</v>
      </c>
      <c r="Q666" s="2" t="s">
        <v>6397</v>
      </c>
      <c r="AB666" s="2" t="s">
        <v>2441</v>
      </c>
      <c r="AO666" s="2" t="s">
        <v>1368</v>
      </c>
    </row>
    <row r="667" ht="15.75" customHeight="1">
      <c r="A667" s="2" t="s">
        <v>6398</v>
      </c>
      <c r="B667" s="2" t="s">
        <v>1361</v>
      </c>
      <c r="C667" s="2">
        <v>2001.0</v>
      </c>
      <c r="D667" s="2" t="s">
        <v>6399</v>
      </c>
      <c r="E667" s="2" t="s">
        <v>6400</v>
      </c>
      <c r="F667" s="2" t="s">
        <v>1474</v>
      </c>
      <c r="H667" s="2" t="s">
        <v>6401</v>
      </c>
      <c r="I667" s="2" t="s">
        <v>6402</v>
      </c>
      <c r="J667" s="12" t="str">
        <f>VLOOKUP(I667,'Copy of Enriched Data - IPBES G'!$L$2:$L$229,1,false)</f>
        <v>#N/A</v>
      </c>
      <c r="K667" s="2" t="s">
        <v>6403</v>
      </c>
      <c r="M667" s="2" t="s">
        <v>6404</v>
      </c>
      <c r="N667" s="2" t="s">
        <v>1385</v>
      </c>
      <c r="O667" s="2" t="s">
        <v>1386</v>
      </c>
      <c r="Q667" s="2" t="s">
        <v>6405</v>
      </c>
      <c r="S667" s="2">
        <v>4.0</v>
      </c>
      <c r="T667" s="2">
        <v>91.0</v>
      </c>
      <c r="AO667" s="2" t="s">
        <v>1368</v>
      </c>
    </row>
    <row r="668" ht="15.75" customHeight="1">
      <c r="A668" s="2" t="s">
        <v>6406</v>
      </c>
      <c r="B668" s="2" t="s">
        <v>1361</v>
      </c>
      <c r="C668" s="2">
        <v>2006.0</v>
      </c>
      <c r="D668" s="2" t="s">
        <v>6407</v>
      </c>
      <c r="E668" s="2" t="s">
        <v>6408</v>
      </c>
      <c r="F668" s="2" t="s">
        <v>1863</v>
      </c>
      <c r="H668" s="2" t="s">
        <v>1864</v>
      </c>
      <c r="I668" s="2" t="s">
        <v>6409</v>
      </c>
      <c r="J668" s="12" t="str">
        <f>VLOOKUP(I668,'Copy of Enriched Data - IPBES G'!$L$2:$L$229,1,false)</f>
        <v>#N/A</v>
      </c>
      <c r="L668" s="2" t="s">
        <v>6410</v>
      </c>
      <c r="M668" s="2" t="s">
        <v>1727</v>
      </c>
      <c r="N668" s="2" t="s">
        <v>1385</v>
      </c>
      <c r="O668" s="2" t="s">
        <v>1386</v>
      </c>
      <c r="AO668" s="2" t="s">
        <v>1368</v>
      </c>
    </row>
    <row r="669" ht="15.75" customHeight="1">
      <c r="A669" s="2" t="s">
        <v>6411</v>
      </c>
      <c r="B669" s="2" t="s">
        <v>1781</v>
      </c>
      <c r="C669" s="2">
        <v>2016.0</v>
      </c>
      <c r="D669" s="2" t="s">
        <v>6412</v>
      </c>
      <c r="E669" s="2" t="s">
        <v>6413</v>
      </c>
      <c r="J669" s="12" t="str">
        <f>VLOOKUP(I669,'Copy of Enriched Data - IPBES G'!$L$2:$L$229,1,false)</f>
        <v>#N/A</v>
      </c>
      <c r="L669" s="2" t="s">
        <v>6414</v>
      </c>
      <c r="M669" s="2" t="s">
        <v>1502</v>
      </c>
      <c r="N669" s="2" t="s">
        <v>1385</v>
      </c>
      <c r="O669" s="2" t="s">
        <v>1386</v>
      </c>
      <c r="R669" s="2">
        <v>1.0</v>
      </c>
      <c r="AO669" s="2" t="s">
        <v>1368</v>
      </c>
    </row>
    <row r="670" ht="15.75" customHeight="1">
      <c r="A670" s="2" t="s">
        <v>6415</v>
      </c>
      <c r="B670" s="2" t="s">
        <v>1361</v>
      </c>
      <c r="C670" s="2">
        <v>2002.0</v>
      </c>
      <c r="D670" s="2" t="s">
        <v>6416</v>
      </c>
      <c r="E670" s="2" t="s">
        <v>6417</v>
      </c>
      <c r="F670" s="2" t="s">
        <v>6418</v>
      </c>
      <c r="I670" s="2" t="s">
        <v>6419</v>
      </c>
      <c r="J670" s="12" t="str">
        <f>VLOOKUP(I670,'Copy of Enriched Data - IPBES G'!$L$2:$L$229,1,false)</f>
        <v>#N/A</v>
      </c>
      <c r="M670" s="2">
        <v>2002.0</v>
      </c>
      <c r="N670" s="2" t="s">
        <v>6420</v>
      </c>
      <c r="O670" s="2" t="s">
        <v>6421</v>
      </c>
      <c r="S670" s="2">
        <v>483.0</v>
      </c>
      <c r="T670" s="2">
        <v>112.0</v>
      </c>
      <c r="AO670" s="2" t="s">
        <v>1368</v>
      </c>
    </row>
    <row r="671" ht="15.75" customHeight="1">
      <c r="A671" s="2" t="s">
        <v>6422</v>
      </c>
      <c r="B671" s="2" t="s">
        <v>1361</v>
      </c>
      <c r="C671" s="2">
        <v>2014.0</v>
      </c>
      <c r="D671" s="2" t="s">
        <v>6423</v>
      </c>
      <c r="E671" s="2" t="s">
        <v>6424</v>
      </c>
      <c r="J671" s="12" t="str">
        <f>VLOOKUP(I671,'Copy of Enriched Data - IPBES G'!$L$2:$L$229,1,false)</f>
        <v>#N/A</v>
      </c>
      <c r="K671" s="2" t="s">
        <v>6425</v>
      </c>
      <c r="M671" s="2">
        <v>2014.0</v>
      </c>
      <c r="N671" s="2" t="s">
        <v>6426</v>
      </c>
      <c r="O671" s="2" t="s">
        <v>6427</v>
      </c>
      <c r="AO671" s="2" t="s">
        <v>1368</v>
      </c>
    </row>
    <row r="672" ht="15.75" customHeight="1">
      <c r="A672" s="2" t="s">
        <v>6428</v>
      </c>
      <c r="B672" s="2" t="s">
        <v>1361</v>
      </c>
      <c r="C672" s="2">
        <v>1996.0</v>
      </c>
      <c r="D672" s="2" t="s">
        <v>6429</v>
      </c>
      <c r="E672" s="2" t="s">
        <v>6430</v>
      </c>
      <c r="J672" s="12" t="str">
        <f>VLOOKUP(I672,'Copy of Enriched Data - IPBES G'!$L$2:$L$229,1,false)</f>
        <v>#N/A</v>
      </c>
      <c r="M672" s="2">
        <v>1996.0</v>
      </c>
      <c r="N672" s="2" t="s">
        <v>6431</v>
      </c>
      <c r="O672" s="2" t="s">
        <v>6432</v>
      </c>
      <c r="AO672" s="2" t="s">
        <v>1368</v>
      </c>
    </row>
    <row r="673" ht="15.75" customHeight="1">
      <c r="A673" s="2" t="s">
        <v>6433</v>
      </c>
      <c r="B673" s="2" t="s">
        <v>1361</v>
      </c>
      <c r="C673" s="2">
        <v>2014.0</v>
      </c>
      <c r="D673" s="2" t="s">
        <v>6434</v>
      </c>
      <c r="E673" s="2" t="s">
        <v>6435</v>
      </c>
      <c r="F673" s="2" t="s">
        <v>6436</v>
      </c>
      <c r="I673" s="2" t="s">
        <v>6437</v>
      </c>
      <c r="J673" s="12" t="str">
        <f>VLOOKUP(I673,'Copy of Enriched Data - IPBES G'!$L$2:$L$229,1,false)</f>
        <v>#N/A</v>
      </c>
      <c r="M673" s="2">
        <v>2014.0</v>
      </c>
      <c r="N673" s="2" t="s">
        <v>6438</v>
      </c>
      <c r="O673" s="2" t="s">
        <v>6439</v>
      </c>
      <c r="Q673" s="2" t="s">
        <v>6440</v>
      </c>
      <c r="S673" s="2">
        <v>1.0</v>
      </c>
      <c r="T673" s="2">
        <v>22.0</v>
      </c>
      <c r="AO673" s="2" t="s">
        <v>1368</v>
      </c>
    </row>
    <row r="674" ht="15.75" customHeight="1">
      <c r="A674" s="2" t="s">
        <v>6445</v>
      </c>
      <c r="B674" s="2" t="s">
        <v>1396</v>
      </c>
      <c r="C674" s="2">
        <v>2004.0</v>
      </c>
      <c r="D674" s="2" t="s">
        <v>6446</v>
      </c>
      <c r="E674" s="2" t="s">
        <v>6447</v>
      </c>
      <c r="J674" s="12" t="str">
        <f>VLOOKUP(I674,'Copy of Enriched Data - IPBES G'!$L$2:$L$229,1,false)</f>
        <v>#N/A</v>
      </c>
      <c r="M674" s="2">
        <v>2004.0</v>
      </c>
      <c r="N674" s="2" t="s">
        <v>1385</v>
      </c>
      <c r="O674" s="2" t="s">
        <v>1386</v>
      </c>
      <c r="AB674" s="2" t="s">
        <v>6448</v>
      </c>
      <c r="AO674" s="2" t="s">
        <v>1368</v>
      </c>
    </row>
    <row r="675" ht="15.75" customHeight="1">
      <c r="A675" s="2" t="s">
        <v>6449</v>
      </c>
      <c r="B675" s="2" t="s">
        <v>1361</v>
      </c>
      <c r="C675" s="2">
        <v>2005.0</v>
      </c>
      <c r="D675" s="2" t="s">
        <v>6450</v>
      </c>
      <c r="E675" s="2" t="s">
        <v>6451</v>
      </c>
      <c r="F675" s="2" t="s">
        <v>6278</v>
      </c>
      <c r="H675" s="2">
        <v>9645691.0</v>
      </c>
      <c r="I675" s="2" t="s">
        <v>6452</v>
      </c>
      <c r="J675" s="12" t="str">
        <f>VLOOKUP(I675,'Copy of Enriched Data - IPBES G'!$L$2:$L$229,1,false)</f>
        <v>#N/A</v>
      </c>
      <c r="L675" s="2" t="s">
        <v>6453</v>
      </c>
      <c r="M675" s="2">
        <v>2005.0</v>
      </c>
      <c r="N675" s="2" t="s">
        <v>1385</v>
      </c>
      <c r="O675" s="2" t="s">
        <v>1386</v>
      </c>
      <c r="Q675" s="2" t="s">
        <v>6454</v>
      </c>
      <c r="S675" s="2">
        <v>1.0</v>
      </c>
      <c r="T675" s="2">
        <v>48.0</v>
      </c>
      <c r="AO675" s="2" t="s">
        <v>1368</v>
      </c>
    </row>
    <row r="676" ht="15.75" customHeight="1">
      <c r="A676" s="2" t="s">
        <v>6455</v>
      </c>
      <c r="B676" s="2" t="s">
        <v>1396</v>
      </c>
      <c r="C676" s="2">
        <v>1996.0</v>
      </c>
      <c r="D676" s="2" t="s">
        <v>6456</v>
      </c>
      <c r="E676" s="2" t="s">
        <v>6457</v>
      </c>
      <c r="J676" s="12" t="str">
        <f>VLOOKUP(I676,'Copy of Enriched Data - IPBES G'!$L$2:$L$229,1,false)</f>
        <v>#N/A</v>
      </c>
      <c r="M676" s="2">
        <v>1996.0</v>
      </c>
      <c r="N676" s="2" t="s">
        <v>1385</v>
      </c>
      <c r="O676" s="2" t="s">
        <v>1386</v>
      </c>
      <c r="AB676" s="2" t="s">
        <v>1628</v>
      </c>
      <c r="AO676" s="2" t="s">
        <v>1368</v>
      </c>
    </row>
    <row r="677" ht="15.75" customHeight="1">
      <c r="A677" s="2" t="s">
        <v>6458</v>
      </c>
      <c r="B677" s="2" t="s">
        <v>1766</v>
      </c>
      <c r="C677" s="2">
        <v>1989.0</v>
      </c>
      <c r="D677" s="2" t="s">
        <v>6459</v>
      </c>
      <c r="E677" s="2" t="s">
        <v>6460</v>
      </c>
      <c r="F677" s="2" t="s">
        <v>6461</v>
      </c>
      <c r="J677" s="12" t="str">
        <f>VLOOKUP(I677,'Copy of Enriched Data - IPBES G'!$L$2:$L$229,1,false)</f>
        <v>#N/A</v>
      </c>
      <c r="M677" s="2">
        <v>1989.0</v>
      </c>
      <c r="N677" s="2" t="s">
        <v>1385</v>
      </c>
      <c r="O677" s="2" t="s">
        <v>1386</v>
      </c>
      <c r="Q677" s="2" t="s">
        <v>6462</v>
      </c>
      <c r="AB677" s="2" t="s">
        <v>6463</v>
      </c>
      <c r="AC677" s="2" t="s">
        <v>3609</v>
      </c>
      <c r="AO677" s="2" t="s">
        <v>1368</v>
      </c>
      <c r="AQ677" s="2" t="s">
        <v>6464</v>
      </c>
    </row>
    <row r="678" ht="15.75" customHeight="1">
      <c r="A678" s="2" t="s">
        <v>6465</v>
      </c>
      <c r="B678" s="2" t="s">
        <v>1396</v>
      </c>
      <c r="C678" s="2">
        <v>2001.0</v>
      </c>
      <c r="D678" s="2" t="s">
        <v>6466</v>
      </c>
      <c r="E678" s="2" t="s">
        <v>6467</v>
      </c>
      <c r="J678" s="12" t="str">
        <f>VLOOKUP(I678,'Copy of Enriched Data - IPBES G'!$L$2:$L$229,1,false)</f>
        <v>#N/A</v>
      </c>
      <c r="L678" s="2" t="s">
        <v>6468</v>
      </c>
      <c r="M678" s="2">
        <v>2001.0</v>
      </c>
      <c r="N678" s="2" t="s">
        <v>1385</v>
      </c>
      <c r="O678" s="2" t="s">
        <v>1386</v>
      </c>
      <c r="AB678" s="2" t="s">
        <v>6469</v>
      </c>
      <c r="AD678" s="2" t="s">
        <v>3263</v>
      </c>
      <c r="AO678" s="2" t="s">
        <v>1368</v>
      </c>
    </row>
    <row r="679" ht="15.75" customHeight="1">
      <c r="A679" s="2" t="s">
        <v>6470</v>
      </c>
      <c r="B679" s="2" t="s">
        <v>1361</v>
      </c>
      <c r="C679" s="2">
        <v>2012.0</v>
      </c>
      <c r="D679" s="2" t="s">
        <v>6471</v>
      </c>
      <c r="E679" s="2" t="s">
        <v>6472</v>
      </c>
      <c r="F679" s="2" t="s">
        <v>6473</v>
      </c>
      <c r="I679" s="2" t="s">
        <v>6474</v>
      </c>
      <c r="J679" s="12" t="str">
        <f>VLOOKUP(I679,'Copy of Enriched Data - IPBES G'!$L$2:$L$229,1,false)</f>
        <v>#N/A</v>
      </c>
      <c r="M679" s="2" t="s">
        <v>1405</v>
      </c>
      <c r="N679" s="2" t="s">
        <v>6475</v>
      </c>
      <c r="O679" s="2" t="s">
        <v>6476</v>
      </c>
      <c r="Q679" s="2" t="s">
        <v>6477</v>
      </c>
      <c r="S679" s="2" t="s">
        <v>5460</v>
      </c>
      <c r="T679" s="2" t="s">
        <v>6220</v>
      </c>
      <c r="AO679" s="2" t="s">
        <v>1368</v>
      </c>
    </row>
    <row r="680" ht="15.75" customHeight="1">
      <c r="A680" s="2" t="s">
        <v>6478</v>
      </c>
      <c r="B680" s="2" t="s">
        <v>1361</v>
      </c>
      <c r="C680" s="2">
        <v>1998.0</v>
      </c>
      <c r="D680" s="2" t="s">
        <v>6479</v>
      </c>
      <c r="E680" s="2" t="s">
        <v>6480</v>
      </c>
      <c r="F680" s="2" t="s">
        <v>3224</v>
      </c>
      <c r="I680" s="2" t="s">
        <v>6481</v>
      </c>
      <c r="J680" s="12" t="str">
        <f>VLOOKUP(I680,'Copy of Enriched Data - IPBES G'!$L$2:$L$229,1,false)</f>
        <v>#N/A</v>
      </c>
      <c r="M680" s="2" t="s">
        <v>1958</v>
      </c>
      <c r="N680" s="2" t="s">
        <v>6482</v>
      </c>
      <c r="O680" s="2" t="s">
        <v>6483</v>
      </c>
      <c r="Q680" s="2" t="s">
        <v>6484</v>
      </c>
      <c r="S680" s="2" t="s">
        <v>1600</v>
      </c>
      <c r="T680" s="2" t="s">
        <v>5953</v>
      </c>
      <c r="AO680" s="2" t="s">
        <v>1368</v>
      </c>
    </row>
    <row r="681" ht="15.75" customHeight="1">
      <c r="A681" s="2" t="s">
        <v>6485</v>
      </c>
      <c r="B681" s="2" t="s">
        <v>1361</v>
      </c>
      <c r="C681" s="2">
        <v>2011.0</v>
      </c>
      <c r="D681" s="2" t="s">
        <v>6486</v>
      </c>
      <c r="E681" s="2" t="s">
        <v>6487</v>
      </c>
      <c r="F681" s="2" t="s">
        <v>6488</v>
      </c>
      <c r="I681" s="2" t="s">
        <v>6489</v>
      </c>
      <c r="J681" s="12" t="str">
        <f>VLOOKUP(I681,'Copy of Enriched Data - IPBES G'!$L$2:$L$229,1,false)</f>
        <v>#N/A</v>
      </c>
      <c r="M681" s="2" t="s">
        <v>1627</v>
      </c>
      <c r="N681" s="2" t="s">
        <v>6490</v>
      </c>
      <c r="O681" s="2" t="s">
        <v>6491</v>
      </c>
      <c r="Q681" s="2" t="s">
        <v>6492</v>
      </c>
      <c r="S681" s="2" t="s">
        <v>1600</v>
      </c>
      <c r="T681" s="2" t="s">
        <v>2042</v>
      </c>
      <c r="AO681" s="2" t="s">
        <v>1368</v>
      </c>
    </row>
    <row r="682" ht="15.75" customHeight="1">
      <c r="A682" s="2" t="s">
        <v>6493</v>
      </c>
      <c r="B682" s="2" t="s">
        <v>1361</v>
      </c>
      <c r="C682" s="2">
        <v>2001.0</v>
      </c>
      <c r="D682" s="2" t="s">
        <v>6494</v>
      </c>
      <c r="E682" s="2" t="s">
        <v>6495</v>
      </c>
      <c r="F682" s="2" t="s">
        <v>2295</v>
      </c>
      <c r="I682" s="2" t="s">
        <v>6496</v>
      </c>
      <c r="J682" s="12" t="str">
        <f>VLOOKUP(I682,'Copy of Enriched Data - IPBES G'!$L$2:$L$229,1,false)</f>
        <v>#N/A</v>
      </c>
      <c r="M682" s="2" t="s">
        <v>1414</v>
      </c>
      <c r="N682" s="2" t="s">
        <v>6497</v>
      </c>
      <c r="O682" s="2" t="s">
        <v>6498</v>
      </c>
      <c r="Q682" s="2" t="s">
        <v>6499</v>
      </c>
      <c r="S682" s="2" t="s">
        <v>1506</v>
      </c>
      <c r="T682" s="2" t="s">
        <v>2714</v>
      </c>
      <c r="AO682" s="2" t="s">
        <v>1368</v>
      </c>
    </row>
    <row r="683" ht="15.75" customHeight="1">
      <c r="A683" s="2" t="s">
        <v>6500</v>
      </c>
      <c r="B683" s="2" t="s">
        <v>1361</v>
      </c>
      <c r="C683" s="2">
        <v>2015.0</v>
      </c>
      <c r="D683" s="2" t="s">
        <v>6501</v>
      </c>
      <c r="E683" s="2" t="s">
        <v>6502</v>
      </c>
      <c r="F683" s="2" t="s">
        <v>6503</v>
      </c>
      <c r="I683" s="2" t="s">
        <v>6504</v>
      </c>
      <c r="J683" s="12" t="str">
        <f>VLOOKUP(I683,'Copy of Enriched Data - IPBES G'!$L$2:$L$229,1,false)</f>
        <v>#N/A</v>
      </c>
      <c r="M683" s="2" t="s">
        <v>1373</v>
      </c>
      <c r="N683" s="2" t="s">
        <v>6505</v>
      </c>
      <c r="O683" s="2" t="s">
        <v>6506</v>
      </c>
      <c r="Q683" s="2" t="s">
        <v>6507</v>
      </c>
      <c r="T683" s="2" t="s">
        <v>6508</v>
      </c>
      <c r="AO683" s="2" t="s">
        <v>1368</v>
      </c>
    </row>
    <row r="684" ht="15.75" customHeight="1">
      <c r="A684" s="2" t="s">
        <v>6509</v>
      </c>
      <c r="B684" s="2" t="s">
        <v>1361</v>
      </c>
      <c r="C684" s="2">
        <v>2016.0</v>
      </c>
      <c r="D684" s="2" t="s">
        <v>6510</v>
      </c>
      <c r="E684" s="2" t="s">
        <v>6511</v>
      </c>
      <c r="F684" s="2" t="s">
        <v>6512</v>
      </c>
      <c r="I684" s="2" t="s">
        <v>6513</v>
      </c>
      <c r="J684" s="12" t="str">
        <f>VLOOKUP(I684,'Copy of Enriched Data - IPBES G'!$L$2:$L$229,1,false)</f>
        <v>#N/A</v>
      </c>
      <c r="M684" s="2" t="s">
        <v>1502</v>
      </c>
      <c r="N684" s="2" t="s">
        <v>6514</v>
      </c>
      <c r="O684" s="2" t="s">
        <v>6515</v>
      </c>
      <c r="Q684" s="2" t="s">
        <v>6516</v>
      </c>
      <c r="T684" s="2" t="s">
        <v>6517</v>
      </c>
      <c r="AO684" s="2" t="s">
        <v>1368</v>
      </c>
    </row>
    <row r="685" ht="15.75" customHeight="1">
      <c r="A685" s="2" t="s">
        <v>6518</v>
      </c>
      <c r="B685" s="2" t="s">
        <v>1361</v>
      </c>
      <c r="C685" s="2">
        <v>1972.0</v>
      </c>
      <c r="D685" s="2" t="s">
        <v>6519</v>
      </c>
      <c r="E685" s="2" t="s">
        <v>6520</v>
      </c>
      <c r="F685" s="2" t="s">
        <v>2665</v>
      </c>
      <c r="I685" s="2" t="s">
        <v>6521</v>
      </c>
      <c r="J685" s="12" t="str">
        <f>VLOOKUP(I685,'Copy of Enriched Data - IPBES G'!$L$2:$L$229,1,false)</f>
        <v>#N/A</v>
      </c>
      <c r="M685" s="2" t="s">
        <v>6522</v>
      </c>
      <c r="N685" s="2" t="s">
        <v>6523</v>
      </c>
      <c r="O685" s="2" t="s">
        <v>6524</v>
      </c>
      <c r="Q685" s="2" t="s">
        <v>6525</v>
      </c>
      <c r="S685" s="2" t="s">
        <v>1462</v>
      </c>
      <c r="T685" s="2" t="s">
        <v>1462</v>
      </c>
      <c r="AO685" s="2" t="s">
        <v>1368</v>
      </c>
    </row>
    <row r="686" ht="15.75" customHeight="1">
      <c r="A686" s="2" t="s">
        <v>6526</v>
      </c>
      <c r="B686" s="2" t="s">
        <v>1361</v>
      </c>
      <c r="C686" s="2">
        <v>2002.0</v>
      </c>
      <c r="D686" s="2" t="s">
        <v>6527</v>
      </c>
      <c r="E686" s="2" t="s">
        <v>6528</v>
      </c>
      <c r="F686" s="2" t="s">
        <v>6529</v>
      </c>
      <c r="J686" s="12" t="str">
        <f>VLOOKUP(I686,'Copy of Enriched Data - IPBES G'!$L$2:$L$229,1,false)</f>
        <v>#N/A</v>
      </c>
      <c r="M686" s="2" t="s">
        <v>1493</v>
      </c>
      <c r="N686" s="2" t="s">
        <v>6530</v>
      </c>
      <c r="O686" s="2" t="s">
        <v>6531</v>
      </c>
      <c r="Q686" s="2" t="s">
        <v>6532</v>
      </c>
      <c r="S686" s="2" t="s">
        <v>1453</v>
      </c>
      <c r="T686" s="2" t="s">
        <v>6533</v>
      </c>
      <c r="AO686" s="2" t="s">
        <v>1368</v>
      </c>
    </row>
    <row r="687" ht="15.75" customHeight="1">
      <c r="A687" s="2" t="s">
        <v>6534</v>
      </c>
      <c r="B687" s="2" t="s">
        <v>1361</v>
      </c>
      <c r="C687" s="2">
        <v>2003.0</v>
      </c>
      <c r="D687" s="2" t="s">
        <v>6535</v>
      </c>
      <c r="E687" s="2" t="s">
        <v>6536</v>
      </c>
      <c r="F687" s="2" t="s">
        <v>6537</v>
      </c>
      <c r="H687" s="2" t="s">
        <v>6538</v>
      </c>
      <c r="J687" s="12" t="str">
        <f>VLOOKUP(I687,'Copy of Enriched Data - IPBES G'!$L$2:$L$229,1,false)</f>
        <v>#N/A</v>
      </c>
      <c r="L687" s="2" t="s">
        <v>6539</v>
      </c>
      <c r="M687" s="2" t="s">
        <v>1606</v>
      </c>
      <c r="N687" s="2" t="s">
        <v>6540</v>
      </c>
      <c r="O687" s="2" t="s">
        <v>6541</v>
      </c>
      <c r="Q687" s="2" t="s">
        <v>6542</v>
      </c>
      <c r="S687" s="2" t="s">
        <v>1453</v>
      </c>
      <c r="T687" s="2" t="s">
        <v>1537</v>
      </c>
      <c r="AO687" s="2" t="s">
        <v>1368</v>
      </c>
    </row>
    <row r="688" ht="15.75" customHeight="1">
      <c r="A688" s="2" t="s">
        <v>6543</v>
      </c>
      <c r="B688" s="2" t="s">
        <v>1361</v>
      </c>
      <c r="C688" s="2">
        <v>1973.0</v>
      </c>
      <c r="D688" s="2" t="s">
        <v>6544</v>
      </c>
      <c r="E688" s="2" t="s">
        <v>6545</v>
      </c>
      <c r="F688" s="2" t="s">
        <v>6546</v>
      </c>
      <c r="I688" s="2" t="s">
        <v>6547</v>
      </c>
      <c r="J688" s="12" t="str">
        <f>VLOOKUP(I688,'Copy of Enriched Data - IPBES G'!$L$2:$L$229,1,false)</f>
        <v>#N/A</v>
      </c>
      <c r="M688" s="2" t="s">
        <v>3607</v>
      </c>
      <c r="N688" s="2" t="s">
        <v>6548</v>
      </c>
      <c r="O688" s="2" t="s">
        <v>6549</v>
      </c>
      <c r="Q688" s="2" t="s">
        <v>6550</v>
      </c>
      <c r="S688" s="2" t="s">
        <v>6551</v>
      </c>
      <c r="T688" s="2" t="s">
        <v>2565</v>
      </c>
      <c r="AO688" s="2" t="s">
        <v>2244</v>
      </c>
    </row>
    <row r="689" ht="15.75" customHeight="1">
      <c r="A689" s="2" t="s">
        <v>6552</v>
      </c>
      <c r="B689" s="2" t="s">
        <v>1361</v>
      </c>
      <c r="C689" s="2">
        <v>1999.0</v>
      </c>
      <c r="D689" s="2" t="s">
        <v>6553</v>
      </c>
      <c r="E689" s="2" t="s">
        <v>6554</v>
      </c>
      <c r="F689" s="2" t="s">
        <v>6555</v>
      </c>
      <c r="J689" s="12" t="str">
        <f>VLOOKUP(I689,'Copy of Enriched Data - IPBES G'!$L$2:$L$229,1,false)</f>
        <v>#N/A</v>
      </c>
      <c r="M689" s="2" t="s">
        <v>1434</v>
      </c>
      <c r="N689" s="2" t="s">
        <v>6556</v>
      </c>
      <c r="O689" s="2" t="s">
        <v>6557</v>
      </c>
      <c r="Q689" s="2" t="s">
        <v>6558</v>
      </c>
      <c r="AO689" s="2" t="s">
        <v>1368</v>
      </c>
    </row>
    <row r="690" ht="15.75" customHeight="1">
      <c r="A690" s="2" t="s">
        <v>6559</v>
      </c>
      <c r="B690" s="2" t="s">
        <v>1361</v>
      </c>
      <c r="C690" s="2">
        <v>2013.0</v>
      </c>
      <c r="D690" s="2" t="s">
        <v>6560</v>
      </c>
      <c r="E690" s="2" t="s">
        <v>6561</v>
      </c>
      <c r="F690" s="2" t="s">
        <v>2028</v>
      </c>
      <c r="I690" s="2" t="s">
        <v>6562</v>
      </c>
      <c r="J690" s="12" t="str">
        <f>VLOOKUP(I690,'Copy of Enriched Data - IPBES G'!$L$2:$L$229,1,false)</f>
        <v>#N/A</v>
      </c>
      <c r="M690" s="2" t="s">
        <v>1429</v>
      </c>
      <c r="N690" s="2" t="s">
        <v>6563</v>
      </c>
      <c r="O690" s="2" t="s">
        <v>6564</v>
      </c>
      <c r="Q690" s="2" t="s">
        <v>6565</v>
      </c>
      <c r="S690" s="2" t="s">
        <v>1506</v>
      </c>
      <c r="T690" s="2" t="s">
        <v>2824</v>
      </c>
      <c r="AO690" s="2" t="s">
        <v>1368</v>
      </c>
    </row>
    <row r="691" ht="15.75" customHeight="1">
      <c r="A691" s="2" t="s">
        <v>6566</v>
      </c>
      <c r="B691" s="2" t="s">
        <v>1361</v>
      </c>
      <c r="C691" s="2">
        <v>1999.0</v>
      </c>
      <c r="D691" s="2" t="s">
        <v>6567</v>
      </c>
      <c r="E691" s="2" t="s">
        <v>6568</v>
      </c>
      <c r="F691" s="2" t="s">
        <v>5909</v>
      </c>
      <c r="I691" s="2" t="s">
        <v>6569</v>
      </c>
      <c r="J691" s="12" t="str">
        <f>VLOOKUP(I691,'Copy of Enriched Data - IPBES G'!$L$2:$L$229,1,false)</f>
        <v>#N/A</v>
      </c>
      <c r="M691" s="2" t="s">
        <v>1434</v>
      </c>
      <c r="N691" s="2" t="s">
        <v>6570</v>
      </c>
      <c r="O691" s="2" t="s">
        <v>6571</v>
      </c>
      <c r="Q691" s="2" t="s">
        <v>6572</v>
      </c>
      <c r="S691" s="2" t="s">
        <v>1443</v>
      </c>
      <c r="T691" s="2" t="s">
        <v>2271</v>
      </c>
      <c r="AO691" s="2" t="s">
        <v>1368</v>
      </c>
    </row>
    <row r="692" ht="15.75" customHeight="1">
      <c r="A692" s="2" t="s">
        <v>6573</v>
      </c>
      <c r="B692" s="2" t="s">
        <v>1361</v>
      </c>
      <c r="C692" s="2">
        <v>1996.0</v>
      </c>
      <c r="D692" s="2" t="s">
        <v>6574</v>
      </c>
      <c r="E692" s="2" t="s">
        <v>6575</v>
      </c>
      <c r="F692" s="2" t="s">
        <v>6576</v>
      </c>
      <c r="J692" s="12" t="str">
        <f>VLOOKUP(I692,'Copy of Enriched Data - IPBES G'!$L$2:$L$229,1,false)</f>
        <v>#N/A</v>
      </c>
      <c r="M692" s="2" t="s">
        <v>2492</v>
      </c>
      <c r="N692" s="2" t="s">
        <v>6577</v>
      </c>
      <c r="O692" s="2" t="s">
        <v>6578</v>
      </c>
      <c r="T692" s="2" t="s">
        <v>2629</v>
      </c>
      <c r="AO692" s="2" t="s">
        <v>1368</v>
      </c>
    </row>
    <row r="693" ht="15.75" customHeight="1">
      <c r="A693" s="2" t="s">
        <v>6579</v>
      </c>
      <c r="B693" s="2" t="s">
        <v>1361</v>
      </c>
      <c r="C693" s="2">
        <v>2017.0</v>
      </c>
      <c r="D693" s="2" t="s">
        <v>6580</v>
      </c>
      <c r="E693" s="2" t="s">
        <v>6581</v>
      </c>
      <c r="F693" s="2" t="s">
        <v>5595</v>
      </c>
      <c r="I693" s="2" t="s">
        <v>6582</v>
      </c>
      <c r="J693" s="12" t="str">
        <f>VLOOKUP(I693,'Copy of Enriched Data - IPBES G'!$L$2:$L$229,1,false)</f>
        <v>#N/A</v>
      </c>
      <c r="M693" s="2" t="s">
        <v>1658</v>
      </c>
      <c r="N693" s="2" t="s">
        <v>6583</v>
      </c>
      <c r="O693" s="2" t="s">
        <v>6584</v>
      </c>
      <c r="Q693" s="2" t="s">
        <v>6585</v>
      </c>
      <c r="T693" s="2" t="s">
        <v>3306</v>
      </c>
      <c r="AO693" s="2" t="s">
        <v>1368</v>
      </c>
    </row>
    <row r="694" ht="15.75" customHeight="1">
      <c r="A694" s="2" t="s">
        <v>6586</v>
      </c>
      <c r="B694" s="2" t="s">
        <v>1361</v>
      </c>
      <c r="C694" s="2">
        <v>2015.0</v>
      </c>
      <c r="D694" s="2" t="s">
        <v>6587</v>
      </c>
      <c r="E694" s="2" t="s">
        <v>6588</v>
      </c>
      <c r="F694" s="2" t="s">
        <v>6589</v>
      </c>
      <c r="I694" s="2" t="s">
        <v>6590</v>
      </c>
      <c r="J694" s="12" t="str">
        <f>VLOOKUP(I694,'Copy of Enriched Data - IPBES G'!$L$2:$L$229,1,false)</f>
        <v>#N/A</v>
      </c>
      <c r="M694" s="2" t="s">
        <v>1373</v>
      </c>
      <c r="N694" s="2" t="s">
        <v>6591</v>
      </c>
      <c r="O694" s="2" t="s">
        <v>6592</v>
      </c>
      <c r="Q694" s="2" t="s">
        <v>6593</v>
      </c>
      <c r="T694" s="2" t="s">
        <v>6594</v>
      </c>
      <c r="AO694" s="2" t="s">
        <v>1368</v>
      </c>
    </row>
    <row r="695" ht="15.75" customHeight="1">
      <c r="A695" s="2" t="s">
        <v>6595</v>
      </c>
      <c r="B695" s="2" t="s">
        <v>1361</v>
      </c>
      <c r="C695" s="2">
        <v>2002.0</v>
      </c>
      <c r="D695" s="2" t="s">
        <v>6596</v>
      </c>
      <c r="E695" s="2" t="s">
        <v>6597</v>
      </c>
      <c r="F695" s="2" t="s">
        <v>6598</v>
      </c>
      <c r="I695" s="2" t="s">
        <v>6599</v>
      </c>
      <c r="J695" s="12" t="str">
        <f>VLOOKUP(I695,'Copy of Enriched Data - IPBES G'!$L$2:$L$229,1,false)</f>
        <v>#N/A</v>
      </c>
      <c r="L695" s="2" t="s">
        <v>6600</v>
      </c>
      <c r="M695" s="2" t="s">
        <v>1493</v>
      </c>
      <c r="N695" s="2" t="s">
        <v>6601</v>
      </c>
      <c r="O695" s="2" t="s">
        <v>6602</v>
      </c>
      <c r="Q695" s="2" t="s">
        <v>6603</v>
      </c>
      <c r="S695" s="2" t="s">
        <v>1462</v>
      </c>
      <c r="T695" s="2" t="s">
        <v>2739</v>
      </c>
      <c r="AO695" s="2" t="s">
        <v>1368</v>
      </c>
    </row>
    <row r="696" ht="15.75" customHeight="1">
      <c r="A696" s="2" t="s">
        <v>6612</v>
      </c>
      <c r="B696" s="2" t="s">
        <v>1361</v>
      </c>
      <c r="C696" s="2">
        <v>2008.0</v>
      </c>
      <c r="D696" s="2" t="s">
        <v>6613</v>
      </c>
      <c r="E696" s="2" t="s">
        <v>6614</v>
      </c>
      <c r="F696" s="2" t="s">
        <v>1688</v>
      </c>
      <c r="I696" s="2" t="s">
        <v>6615</v>
      </c>
      <c r="J696" s="12" t="str">
        <f>VLOOKUP(I696,'Copy of Enriched Data - IPBES G'!$L$2:$L$229,1,false)</f>
        <v>#N/A</v>
      </c>
      <c r="M696" s="2" t="s">
        <v>1458</v>
      </c>
      <c r="N696" s="2" t="s">
        <v>6616</v>
      </c>
      <c r="O696" s="2" t="s">
        <v>6617</v>
      </c>
      <c r="Q696" s="2" t="s">
        <v>6618</v>
      </c>
      <c r="S696" s="2" t="s">
        <v>3628</v>
      </c>
      <c r="T696" s="2" t="s">
        <v>3528</v>
      </c>
      <c r="AO696" s="2" t="s">
        <v>1368</v>
      </c>
    </row>
    <row r="697" ht="15.75" customHeight="1">
      <c r="A697" s="2" t="s">
        <v>6619</v>
      </c>
      <c r="B697" s="2" t="s">
        <v>1361</v>
      </c>
      <c r="C697" s="2">
        <v>2014.0</v>
      </c>
      <c r="D697" s="2" t="s">
        <v>6620</v>
      </c>
      <c r="E697" s="2" t="s">
        <v>6621</v>
      </c>
      <c r="J697" s="12" t="str">
        <f>VLOOKUP(I697,'Copy of Enriched Data - IPBES G'!$L$2:$L$229,1,false)</f>
        <v>#N/A</v>
      </c>
      <c r="M697" s="2" t="s">
        <v>1476</v>
      </c>
      <c r="N697" s="2" t="s">
        <v>6622</v>
      </c>
      <c r="O697" s="2" t="s">
        <v>6623</v>
      </c>
      <c r="AO697" s="2" t="s">
        <v>1368</v>
      </c>
    </row>
    <row r="698" ht="15.75" customHeight="1">
      <c r="A698" s="2" t="s">
        <v>6624</v>
      </c>
      <c r="B698" s="2" t="s">
        <v>1361</v>
      </c>
      <c r="C698" s="2">
        <v>1997.0</v>
      </c>
      <c r="D698" s="2" t="s">
        <v>6625</v>
      </c>
      <c r="E698" s="2" t="s">
        <v>6626</v>
      </c>
      <c r="F698" s="2" t="s">
        <v>1825</v>
      </c>
      <c r="I698" s="2" t="s">
        <v>6627</v>
      </c>
      <c r="J698" s="12" t="str">
        <f>VLOOKUP(I698,'Copy of Enriched Data - IPBES G'!$L$2:$L$229,1,false)</f>
        <v>#N/A</v>
      </c>
      <c r="M698" s="2" t="s">
        <v>1804</v>
      </c>
      <c r="N698" s="2" t="s">
        <v>6628</v>
      </c>
      <c r="O698" s="2" t="s">
        <v>6629</v>
      </c>
      <c r="Q698" s="2" t="s">
        <v>6630</v>
      </c>
      <c r="S698" s="2" t="s">
        <v>1462</v>
      </c>
      <c r="T698" s="2" t="s">
        <v>2144</v>
      </c>
      <c r="AO698" s="2" t="s">
        <v>1368</v>
      </c>
    </row>
    <row r="699" ht="15.75" customHeight="1">
      <c r="A699" s="2" t="s">
        <v>6631</v>
      </c>
      <c r="B699" s="2" t="s">
        <v>1361</v>
      </c>
      <c r="C699" s="2">
        <v>2003.0</v>
      </c>
      <c r="D699" s="2" t="s">
        <v>6632</v>
      </c>
      <c r="E699" s="2" t="s">
        <v>6633</v>
      </c>
      <c r="F699" s="2" t="s">
        <v>6634</v>
      </c>
      <c r="J699" s="12" t="str">
        <f>VLOOKUP(I699,'Copy of Enriched Data - IPBES G'!$L$2:$L$229,1,false)</f>
        <v>#N/A</v>
      </c>
      <c r="M699" s="2" t="s">
        <v>1606</v>
      </c>
      <c r="N699" s="2" t="s">
        <v>6635</v>
      </c>
      <c r="O699" s="2" t="s">
        <v>6636</v>
      </c>
      <c r="Q699" s="2" t="s">
        <v>6637</v>
      </c>
      <c r="S699" s="2" t="s">
        <v>1600</v>
      </c>
      <c r="T699" s="2" t="s">
        <v>1600</v>
      </c>
      <c r="AO699" s="2" t="s">
        <v>1368</v>
      </c>
    </row>
    <row r="700" ht="15.75" customHeight="1">
      <c r="A700" s="2" t="s">
        <v>6638</v>
      </c>
      <c r="B700" s="2" t="s">
        <v>1361</v>
      </c>
      <c r="C700" s="2">
        <v>1992.0</v>
      </c>
      <c r="D700" s="2" t="s">
        <v>6639</v>
      </c>
      <c r="E700" s="2" t="s">
        <v>6640</v>
      </c>
      <c r="F700" s="2" t="s">
        <v>6641</v>
      </c>
      <c r="I700" s="2" t="s">
        <v>6642</v>
      </c>
      <c r="J700" s="12" t="str">
        <f>VLOOKUP(I700,'Copy of Enriched Data - IPBES G'!$L$2:$L$229,1,false)</f>
        <v>#N/A</v>
      </c>
      <c r="M700" s="2" t="s">
        <v>3458</v>
      </c>
      <c r="N700" s="2" t="s">
        <v>6643</v>
      </c>
      <c r="O700" s="2" t="s">
        <v>6644</v>
      </c>
      <c r="Q700" s="2" t="s">
        <v>6645</v>
      </c>
      <c r="AO700" s="2" t="s">
        <v>1368</v>
      </c>
    </row>
    <row r="701" ht="15.75" customHeight="1">
      <c r="A701" s="2" t="s">
        <v>6646</v>
      </c>
      <c r="B701" s="2" t="s">
        <v>1361</v>
      </c>
      <c r="C701" s="2">
        <v>2013.0</v>
      </c>
      <c r="D701" s="2" t="s">
        <v>6647</v>
      </c>
      <c r="E701" s="2" t="s">
        <v>6648</v>
      </c>
      <c r="F701" s="2" t="s">
        <v>1760</v>
      </c>
      <c r="I701" s="2" t="s">
        <v>6649</v>
      </c>
      <c r="J701" s="12" t="str">
        <f>VLOOKUP(I701,'Copy of Enriched Data - IPBES G'!$L$2:$L$229,1,false)</f>
        <v>#N/A</v>
      </c>
      <c r="M701" s="2" t="s">
        <v>1429</v>
      </c>
      <c r="N701" s="2" t="s">
        <v>6650</v>
      </c>
      <c r="O701" s="2" t="s">
        <v>6651</v>
      </c>
      <c r="Q701" s="2" t="s">
        <v>6652</v>
      </c>
      <c r="T701" s="2" t="s">
        <v>6653</v>
      </c>
      <c r="AO701" s="2" t="s">
        <v>1621</v>
      </c>
    </row>
    <row r="702" ht="15.75" customHeight="1">
      <c r="A702" s="2" t="s">
        <v>6660</v>
      </c>
      <c r="B702" s="2" t="s">
        <v>1361</v>
      </c>
      <c r="C702" s="2">
        <v>2005.0</v>
      </c>
      <c r="D702" s="2" t="s">
        <v>6661</v>
      </c>
      <c r="E702" s="2" t="s">
        <v>6662</v>
      </c>
      <c r="F702" s="2" t="s">
        <v>2590</v>
      </c>
      <c r="I702" s="2" t="s">
        <v>6663</v>
      </c>
      <c r="J702" s="12" t="str">
        <f>VLOOKUP(I702,'Copy of Enriched Data - IPBES G'!$L$2:$L$229,1,false)</f>
        <v>#N/A</v>
      </c>
      <c r="M702" s="2" t="s">
        <v>1394</v>
      </c>
      <c r="N702" s="2" t="s">
        <v>6664</v>
      </c>
      <c r="O702" s="2" t="s">
        <v>6665</v>
      </c>
      <c r="Q702" s="2" t="s">
        <v>6666</v>
      </c>
      <c r="S702" s="2" t="s">
        <v>1620</v>
      </c>
      <c r="T702" s="2" t="s">
        <v>3417</v>
      </c>
      <c r="AO702" s="2" t="s">
        <v>1368</v>
      </c>
    </row>
    <row r="703" ht="15.75" customHeight="1">
      <c r="A703" s="2" t="s">
        <v>6667</v>
      </c>
      <c r="B703" s="2" t="s">
        <v>1361</v>
      </c>
      <c r="C703" s="2">
        <v>2007.0</v>
      </c>
      <c r="D703" s="2" t="s">
        <v>6668</v>
      </c>
      <c r="E703" s="2" t="s">
        <v>6669</v>
      </c>
      <c r="F703" s="2" t="s">
        <v>1876</v>
      </c>
      <c r="H703" s="2" t="s">
        <v>1877</v>
      </c>
      <c r="I703" s="2" t="s">
        <v>6670</v>
      </c>
      <c r="J703" s="12" t="str">
        <f>VLOOKUP(I703,'Copy of Enriched Data - IPBES G'!$L$2:$L$229,1,false)</f>
        <v>#N/A</v>
      </c>
      <c r="K703" s="2" t="s">
        <v>6671</v>
      </c>
      <c r="M703" s="2" t="s">
        <v>6672</v>
      </c>
      <c r="N703" s="2" t="s">
        <v>6673</v>
      </c>
      <c r="O703" s="2" t="s">
        <v>6674</v>
      </c>
      <c r="P703" s="2" t="s">
        <v>6675</v>
      </c>
      <c r="Q703" s="2" t="s">
        <v>6676</v>
      </c>
      <c r="S703" s="2" t="s">
        <v>1480</v>
      </c>
      <c r="T703" s="2" t="s">
        <v>1453</v>
      </c>
      <c r="V703" s="2" t="s">
        <v>1876</v>
      </c>
      <c r="AD703" s="2" t="s">
        <v>1540</v>
      </c>
      <c r="AI703" s="2" t="s">
        <v>1541</v>
      </c>
      <c r="AO703" s="2" t="s">
        <v>2159</v>
      </c>
      <c r="AQ703" s="2" t="s">
        <v>6677</v>
      </c>
    </row>
    <row r="704" ht="15.75" customHeight="1">
      <c r="A704" s="2" t="s">
        <v>6678</v>
      </c>
      <c r="B704" s="2" t="s">
        <v>1361</v>
      </c>
      <c r="C704" s="2">
        <v>2013.0</v>
      </c>
      <c r="D704" s="2" t="s">
        <v>6679</v>
      </c>
      <c r="E704" s="2" t="s">
        <v>6680</v>
      </c>
      <c r="F704" s="2" t="s">
        <v>1688</v>
      </c>
      <c r="H704" s="2" t="s">
        <v>2892</v>
      </c>
      <c r="I704" s="2" t="s">
        <v>6681</v>
      </c>
      <c r="J704" s="12" t="str">
        <f>VLOOKUP(I704,'Copy of Enriched Data - IPBES G'!$L$2:$L$229,1,false)</f>
        <v>#N/A</v>
      </c>
      <c r="K704" s="2" t="s">
        <v>6682</v>
      </c>
      <c r="L704" s="2" t="s">
        <v>6683</v>
      </c>
      <c r="M704" s="2" t="s">
        <v>6684</v>
      </c>
      <c r="N704" s="2" t="s">
        <v>6685</v>
      </c>
      <c r="O704" s="2" t="s">
        <v>6686</v>
      </c>
      <c r="P704" s="2" t="s">
        <v>2897</v>
      </c>
      <c r="Q704" s="2" t="s">
        <v>6687</v>
      </c>
      <c r="S704" s="2" t="s">
        <v>2042</v>
      </c>
      <c r="T704" s="2" t="s">
        <v>6688</v>
      </c>
      <c r="V704" s="2" t="s">
        <v>2901</v>
      </c>
      <c r="AD704" s="2" t="s">
        <v>1540</v>
      </c>
      <c r="AI704" s="2" t="s">
        <v>1541</v>
      </c>
      <c r="AO704" s="2" t="s">
        <v>1885</v>
      </c>
    </row>
    <row r="705" ht="15.75" customHeight="1">
      <c r="A705" s="2" t="s">
        <v>6706</v>
      </c>
      <c r="B705" s="2" t="s">
        <v>1361</v>
      </c>
      <c r="C705" s="2">
        <v>2011.0</v>
      </c>
      <c r="D705" s="2" t="s">
        <v>6707</v>
      </c>
      <c r="E705" s="2" t="s">
        <v>6708</v>
      </c>
      <c r="F705" s="2" t="s">
        <v>1876</v>
      </c>
      <c r="H705" s="2" t="s">
        <v>1877</v>
      </c>
      <c r="I705" s="2" t="s">
        <v>6709</v>
      </c>
      <c r="J705" s="12" t="str">
        <f>VLOOKUP(I705,'Copy of Enriched Data - IPBES G'!$L$2:$L$229,1,false)</f>
        <v>#N/A</v>
      </c>
      <c r="K705" s="2" t="s">
        <v>6710</v>
      </c>
      <c r="M705" s="2" t="s">
        <v>6711</v>
      </c>
      <c r="N705" s="2" t="s">
        <v>6712</v>
      </c>
      <c r="O705" s="2" t="s">
        <v>6713</v>
      </c>
      <c r="P705" s="2" t="s">
        <v>6714</v>
      </c>
      <c r="Q705" s="2" t="s">
        <v>6715</v>
      </c>
      <c r="S705" s="2" t="s">
        <v>2646</v>
      </c>
      <c r="T705" s="2" t="s">
        <v>1937</v>
      </c>
      <c r="V705" s="2" t="s">
        <v>1876</v>
      </c>
      <c r="W705" s="2" t="s">
        <v>6716</v>
      </c>
      <c r="AD705" s="2" t="s">
        <v>1540</v>
      </c>
      <c r="AI705" s="2" t="s">
        <v>1541</v>
      </c>
      <c r="AO705" s="2" t="s">
        <v>1885</v>
      </c>
      <c r="AQ705" s="2" t="s">
        <v>6717</v>
      </c>
    </row>
    <row r="706" ht="15.75" customHeight="1">
      <c r="A706" s="2" t="s">
        <v>6718</v>
      </c>
      <c r="B706" s="2" t="s">
        <v>1396</v>
      </c>
      <c r="C706" s="2">
        <v>2012.0</v>
      </c>
      <c r="D706" s="2" t="s">
        <v>6719</v>
      </c>
      <c r="E706" s="2" t="s">
        <v>6720</v>
      </c>
      <c r="J706" s="12" t="str">
        <f>VLOOKUP(I706,'Copy of Enriched Data - IPBES G'!$L$2:$L$229,1,false)</f>
        <v>#N/A</v>
      </c>
      <c r="K706" s="2" t="s">
        <v>6721</v>
      </c>
      <c r="M706" s="2" t="s">
        <v>1405</v>
      </c>
      <c r="N706" s="2" t="s">
        <v>6722</v>
      </c>
      <c r="O706" s="2" t="s">
        <v>6723</v>
      </c>
      <c r="AB706" s="2" t="s">
        <v>2409</v>
      </c>
      <c r="AC706" s="2" t="s">
        <v>6724</v>
      </c>
      <c r="AD706" s="2" t="s">
        <v>1540</v>
      </c>
      <c r="AO706" s="2" t="s">
        <v>3501</v>
      </c>
    </row>
    <row r="707" ht="15.75" customHeight="1">
      <c r="A707" s="2" t="s">
        <v>6725</v>
      </c>
      <c r="B707" s="2" t="s">
        <v>1361</v>
      </c>
      <c r="C707" s="2">
        <v>2007.0</v>
      </c>
      <c r="D707" s="2" t="s">
        <v>6726</v>
      </c>
      <c r="E707" s="2" t="s">
        <v>6727</v>
      </c>
      <c r="F707" s="2" t="s">
        <v>1688</v>
      </c>
      <c r="H707" s="2" t="s">
        <v>2892</v>
      </c>
      <c r="I707" s="2" t="s">
        <v>6728</v>
      </c>
      <c r="J707" s="12" t="str">
        <f>VLOOKUP(I707,'Copy of Enriched Data - IPBES G'!$L$2:$L$229,1,false)</f>
        <v>#N/A</v>
      </c>
      <c r="K707" s="2" t="s">
        <v>6729</v>
      </c>
      <c r="L707" s="2" t="s">
        <v>6730</v>
      </c>
      <c r="M707" s="2" t="s">
        <v>6731</v>
      </c>
      <c r="N707" s="2" t="s">
        <v>6732</v>
      </c>
      <c r="O707" s="2" t="s">
        <v>6733</v>
      </c>
      <c r="P707" s="2" t="s">
        <v>6734</v>
      </c>
      <c r="Q707" s="2" t="s">
        <v>6735</v>
      </c>
      <c r="S707" s="2" t="s">
        <v>4049</v>
      </c>
      <c r="T707" s="2" t="s">
        <v>6736</v>
      </c>
      <c r="V707" s="2" t="s">
        <v>2901</v>
      </c>
      <c r="AD707" s="2" t="s">
        <v>1540</v>
      </c>
      <c r="AI707" s="2" t="s">
        <v>1541</v>
      </c>
      <c r="AO707" s="2" t="s">
        <v>1885</v>
      </c>
    </row>
    <row r="708" ht="15.75" customHeight="1">
      <c r="A708" s="2" t="s">
        <v>6737</v>
      </c>
      <c r="B708" s="2" t="s">
        <v>1396</v>
      </c>
      <c r="C708" s="2">
        <v>2012.0</v>
      </c>
      <c r="D708" s="2" t="s">
        <v>6738</v>
      </c>
      <c r="E708" s="2" t="s">
        <v>6739</v>
      </c>
      <c r="G708" s="2" t="s">
        <v>6740</v>
      </c>
      <c r="J708" s="12" t="str">
        <f>VLOOKUP(I708,'Copy of Enriched Data - IPBES G'!$L$2:$L$229,1,false)</f>
        <v>#N/A</v>
      </c>
      <c r="M708" s="2" t="s">
        <v>1405</v>
      </c>
      <c r="N708" s="2" t="s">
        <v>1562</v>
      </c>
      <c r="O708" s="2" t="s">
        <v>1563</v>
      </c>
      <c r="R708" s="2">
        <v>175.0</v>
      </c>
      <c r="AB708" s="2" t="s">
        <v>6741</v>
      </c>
      <c r="AC708" s="2" t="s">
        <v>6742</v>
      </c>
      <c r="AO708" s="2" t="s">
        <v>6743</v>
      </c>
    </row>
    <row r="709" ht="15.75" customHeight="1">
      <c r="A709" s="2" t="s">
        <v>6744</v>
      </c>
      <c r="B709" s="2" t="s">
        <v>1361</v>
      </c>
      <c r="C709" s="2">
        <v>2016.0</v>
      </c>
      <c r="D709" s="2" t="s">
        <v>6745</v>
      </c>
      <c r="E709" s="2" t="s">
        <v>6746</v>
      </c>
      <c r="F709" s="2" t="s">
        <v>1363</v>
      </c>
      <c r="H709" s="2" t="s">
        <v>1775</v>
      </c>
      <c r="I709" s="2" t="s">
        <v>6747</v>
      </c>
      <c r="J709" s="12" t="str">
        <f>VLOOKUP(I709,'Copy of Enriched Data - IPBES G'!$L$2:$L$229,1,false)</f>
        <v>#N/A</v>
      </c>
      <c r="K709" s="2" t="s">
        <v>6748</v>
      </c>
      <c r="L709" s="2" t="s">
        <v>6749</v>
      </c>
      <c r="M709" s="2" t="s">
        <v>1502</v>
      </c>
      <c r="N709" s="2" t="s">
        <v>1385</v>
      </c>
      <c r="O709" s="2" t="s">
        <v>1386</v>
      </c>
      <c r="Q709" s="2" t="s">
        <v>6750</v>
      </c>
      <c r="S709" s="2" t="s">
        <v>6751</v>
      </c>
      <c r="T709" s="2" t="s">
        <v>6752</v>
      </c>
      <c r="AO709" s="2" t="s">
        <v>1368</v>
      </c>
    </row>
    <row r="710" ht="15.75" customHeight="1">
      <c r="A710" s="2" t="s">
        <v>6753</v>
      </c>
      <c r="B710" s="2" t="s">
        <v>1361</v>
      </c>
      <c r="C710" s="2">
        <v>2011.0</v>
      </c>
      <c r="D710" s="2" t="s">
        <v>6754</v>
      </c>
      <c r="E710" s="2" t="s">
        <v>6755</v>
      </c>
      <c r="F710" s="2" t="s">
        <v>4215</v>
      </c>
      <c r="H710" s="2" t="s">
        <v>4216</v>
      </c>
      <c r="I710" s="2" t="s">
        <v>6756</v>
      </c>
      <c r="J710" s="12" t="str">
        <f>VLOOKUP(I710,'Copy of Enriched Data - IPBES G'!$L$2:$L$229,1,false)</f>
        <v>#N/A</v>
      </c>
      <c r="K710" s="2" t="s">
        <v>6757</v>
      </c>
      <c r="M710" s="2" t="s">
        <v>6758</v>
      </c>
      <c r="N710" s="2" t="s">
        <v>1385</v>
      </c>
      <c r="O710" s="2" t="s">
        <v>1386</v>
      </c>
      <c r="Q710" s="2" t="s">
        <v>6759</v>
      </c>
      <c r="S710" s="2" t="s">
        <v>1462</v>
      </c>
      <c r="T710" s="2" t="s">
        <v>2714</v>
      </c>
      <c r="AO710" s="2" t="s">
        <v>2244</v>
      </c>
    </row>
    <row r="711" ht="15.75" customHeight="1">
      <c r="A711" s="2" t="s">
        <v>6760</v>
      </c>
      <c r="B711" s="2" t="s">
        <v>1361</v>
      </c>
      <c r="C711" s="2">
        <v>2018.0</v>
      </c>
      <c r="D711" s="2" t="s">
        <v>6761</v>
      </c>
      <c r="E711" s="2" t="s">
        <v>6762</v>
      </c>
      <c r="F711" s="2" t="s">
        <v>2905</v>
      </c>
      <c r="H711" s="2" t="s">
        <v>2906</v>
      </c>
      <c r="I711" s="2" t="s">
        <v>6763</v>
      </c>
      <c r="J711" s="12" t="str">
        <f>VLOOKUP(I711,'Copy of Enriched Data - IPBES G'!$L$2:$L$229,1,false)</f>
        <v>#N/A</v>
      </c>
      <c r="K711" s="2" t="s">
        <v>6764</v>
      </c>
      <c r="L711" s="2" t="s">
        <v>6765</v>
      </c>
      <c r="M711" s="2" t="s">
        <v>2909</v>
      </c>
      <c r="N711" s="2" t="s">
        <v>1385</v>
      </c>
      <c r="O711" s="2" t="s">
        <v>1386</v>
      </c>
      <c r="Q711" s="2" t="s">
        <v>6766</v>
      </c>
      <c r="S711" s="2" t="s">
        <v>1443</v>
      </c>
      <c r="T711" s="2" t="s">
        <v>1462</v>
      </c>
      <c r="AO711" s="2" t="s">
        <v>1621</v>
      </c>
    </row>
    <row r="712" ht="15.75" customHeight="1">
      <c r="A712" s="2" t="s">
        <v>6767</v>
      </c>
      <c r="B712" s="2" t="s">
        <v>1361</v>
      </c>
      <c r="C712" s="2">
        <v>2018.0</v>
      </c>
      <c r="D712" s="2" t="s">
        <v>6726</v>
      </c>
      <c r="E712" s="2" t="s">
        <v>6768</v>
      </c>
      <c r="F712" s="2" t="s">
        <v>1380</v>
      </c>
      <c r="H712" s="2" t="s">
        <v>1381</v>
      </c>
      <c r="I712" s="2" t="s">
        <v>6769</v>
      </c>
      <c r="J712" s="12" t="str">
        <f>VLOOKUP(I712,'Copy of Enriched Data - IPBES G'!$L$2:$L$229,1,false)</f>
        <v>#N/A</v>
      </c>
      <c r="K712" s="2" t="s">
        <v>6770</v>
      </c>
      <c r="L712" s="2" t="s">
        <v>6771</v>
      </c>
      <c r="M712" s="2" t="s">
        <v>6772</v>
      </c>
      <c r="N712" s="2" t="s">
        <v>1385</v>
      </c>
      <c r="O712" s="2" t="s">
        <v>1386</v>
      </c>
      <c r="Q712" s="2" t="s">
        <v>6773</v>
      </c>
      <c r="S712" s="2" t="s">
        <v>6774</v>
      </c>
      <c r="T712" s="2" t="s">
        <v>6775</v>
      </c>
      <c r="AO712" s="2" t="s">
        <v>1621</v>
      </c>
    </row>
    <row r="713" ht="15.75" customHeight="1">
      <c r="A713" s="2" t="s">
        <v>6776</v>
      </c>
      <c r="B713" s="2" t="s">
        <v>1361</v>
      </c>
      <c r="C713" s="2">
        <v>2008.0</v>
      </c>
      <c r="D713" s="2" t="s">
        <v>6777</v>
      </c>
      <c r="E713" s="2" t="s">
        <v>6778</v>
      </c>
      <c r="F713" s="2" t="s">
        <v>4252</v>
      </c>
      <c r="H713" s="2" t="s">
        <v>4253</v>
      </c>
      <c r="I713" s="2" t="s">
        <v>6779</v>
      </c>
      <c r="J713" s="12" t="str">
        <f>VLOOKUP(I713,'Copy of Enriched Data - IPBES G'!$L$2:$L$229,1,false)</f>
        <v>#N/A</v>
      </c>
      <c r="L713" s="2" t="s">
        <v>6780</v>
      </c>
      <c r="M713" s="2" t="s">
        <v>6781</v>
      </c>
      <c r="N713" s="2" t="s">
        <v>1385</v>
      </c>
      <c r="O713" s="2" t="s">
        <v>1386</v>
      </c>
      <c r="Q713" s="2" t="s">
        <v>6782</v>
      </c>
      <c r="S713" s="2" t="s">
        <v>1462</v>
      </c>
      <c r="T713" s="2" t="s">
        <v>2739</v>
      </c>
      <c r="AO713" s="2" t="s">
        <v>1621</v>
      </c>
    </row>
    <row r="714" ht="15.75" customHeight="1">
      <c r="A714" s="2" t="s">
        <v>6788</v>
      </c>
      <c r="B714" s="2" t="s">
        <v>1361</v>
      </c>
      <c r="C714" s="2">
        <v>2017.0</v>
      </c>
      <c r="D714" s="2" t="s">
        <v>6789</v>
      </c>
      <c r="E714" s="2" t="s">
        <v>6790</v>
      </c>
      <c r="F714" s="2" t="s">
        <v>1825</v>
      </c>
      <c r="H714" s="2" t="s">
        <v>6791</v>
      </c>
      <c r="I714" s="2" t="s">
        <v>6792</v>
      </c>
      <c r="J714" s="12" t="str">
        <f>VLOOKUP(I714,'Copy of Enriched Data - IPBES G'!$L$2:$L$229,1,false)</f>
        <v>#N/A</v>
      </c>
      <c r="K714" s="2" t="s">
        <v>6793</v>
      </c>
      <c r="L714" s="2" t="s">
        <v>6794</v>
      </c>
      <c r="M714" s="2" t="s">
        <v>6795</v>
      </c>
      <c r="N714" s="2" t="s">
        <v>1385</v>
      </c>
      <c r="O714" s="2" t="s">
        <v>1386</v>
      </c>
      <c r="P714" s="2" t="s">
        <v>6796</v>
      </c>
      <c r="Q714" s="2" t="s">
        <v>6797</v>
      </c>
      <c r="S714" s="2" t="s">
        <v>1506</v>
      </c>
      <c r="T714" s="2" t="s">
        <v>2063</v>
      </c>
      <c r="V714" s="2" t="s">
        <v>1825</v>
      </c>
      <c r="AO714" s="2" t="s">
        <v>1368</v>
      </c>
    </row>
    <row r="715" ht="15.75" customHeight="1">
      <c r="A715" s="2" t="s">
        <v>6798</v>
      </c>
      <c r="B715" s="2" t="s">
        <v>1361</v>
      </c>
      <c r="C715" s="2">
        <v>2010.0</v>
      </c>
      <c r="D715" s="2" t="s">
        <v>6799</v>
      </c>
      <c r="E715" s="2" t="s">
        <v>6800</v>
      </c>
      <c r="F715" s="2" t="s">
        <v>1688</v>
      </c>
      <c r="H715" s="2" t="s">
        <v>1689</v>
      </c>
      <c r="I715" s="2" t="s">
        <v>6801</v>
      </c>
      <c r="J715" s="12" t="str">
        <f>VLOOKUP(I715,'Copy of Enriched Data - IPBES G'!$L$2:$L$229,1,false)</f>
        <v>#N/A</v>
      </c>
      <c r="L715" s="2" t="s">
        <v>6802</v>
      </c>
      <c r="M715" s="2" t="s">
        <v>1449</v>
      </c>
      <c r="N715" s="2" t="s">
        <v>1385</v>
      </c>
      <c r="O715" s="2" t="s">
        <v>1386</v>
      </c>
      <c r="Q715" s="2" t="s">
        <v>6803</v>
      </c>
      <c r="S715" s="2" t="s">
        <v>3235</v>
      </c>
      <c r="T715" s="2" t="s">
        <v>2900</v>
      </c>
      <c r="AO715" s="2" t="s">
        <v>1368</v>
      </c>
    </row>
    <row r="716" ht="15.75" customHeight="1">
      <c r="A716" s="2" t="s">
        <v>6809</v>
      </c>
      <c r="B716" s="2" t="s">
        <v>1361</v>
      </c>
      <c r="C716" s="2">
        <v>2009.0</v>
      </c>
      <c r="D716" s="2" t="s">
        <v>6754</v>
      </c>
      <c r="E716" s="2" t="s">
        <v>6810</v>
      </c>
      <c r="F716" s="2" t="s">
        <v>1688</v>
      </c>
      <c r="H716" s="2" t="s">
        <v>2892</v>
      </c>
      <c r="I716" s="2" t="s">
        <v>6811</v>
      </c>
      <c r="J716" s="12" t="str">
        <f>VLOOKUP(I716,'Copy of Enriched Data - IPBES G'!$L$2:$L$229,1,false)</f>
        <v>#N/A</v>
      </c>
      <c r="L716" s="2" t="s">
        <v>6812</v>
      </c>
      <c r="M716" s="2" t="s">
        <v>1364</v>
      </c>
      <c r="N716" s="2" t="s">
        <v>1385</v>
      </c>
      <c r="O716" s="2" t="s">
        <v>1386</v>
      </c>
      <c r="AO716" s="2" t="s">
        <v>1368</v>
      </c>
    </row>
    <row r="717" ht="15.75" customHeight="1">
      <c r="A717" s="2" t="s">
        <v>6813</v>
      </c>
      <c r="B717" s="2" t="s">
        <v>1361</v>
      </c>
      <c r="C717" s="2">
        <v>2000.0</v>
      </c>
      <c r="D717" s="2" t="s">
        <v>6814</v>
      </c>
      <c r="E717" s="2" t="s">
        <v>6815</v>
      </c>
      <c r="F717" s="2" t="s">
        <v>1380</v>
      </c>
      <c r="H717" s="2" t="s">
        <v>2961</v>
      </c>
      <c r="I717" s="2" t="s">
        <v>6816</v>
      </c>
      <c r="J717" s="12" t="str">
        <f>VLOOKUP(I717,'Copy of Enriched Data - IPBES G'!$L$2:$L$229,1,false)</f>
        <v>#N/A</v>
      </c>
      <c r="L717" s="2" t="s">
        <v>6817</v>
      </c>
      <c r="M717" s="2" t="s">
        <v>6818</v>
      </c>
      <c r="N717" s="2" t="s">
        <v>1385</v>
      </c>
      <c r="O717" s="2" t="s">
        <v>1386</v>
      </c>
      <c r="Q717" s="2" t="s">
        <v>6819</v>
      </c>
      <c r="S717" s="2" t="s">
        <v>6820</v>
      </c>
      <c r="T717" s="2" t="s">
        <v>6821</v>
      </c>
      <c r="AO717" s="2" t="s">
        <v>1368</v>
      </c>
    </row>
    <row r="718" ht="15.75" customHeight="1">
      <c r="A718" s="2" t="s">
        <v>6822</v>
      </c>
      <c r="B718" s="2" t="s">
        <v>1361</v>
      </c>
      <c r="C718" s="2">
        <v>1998.0</v>
      </c>
      <c r="D718" s="2" t="s">
        <v>6823</v>
      </c>
      <c r="E718" s="2" t="s">
        <v>6824</v>
      </c>
      <c r="F718" s="2" t="s">
        <v>1510</v>
      </c>
      <c r="I718" s="2" t="s">
        <v>6825</v>
      </c>
      <c r="J718" s="12" t="str">
        <f>VLOOKUP(I718,'Copy of Enriched Data - IPBES G'!$L$2:$L$229,1,false)</f>
        <v>#N/A</v>
      </c>
      <c r="K718" s="2" t="s">
        <v>6826</v>
      </c>
      <c r="M718" s="2" t="s">
        <v>6827</v>
      </c>
      <c r="N718" s="2" t="s">
        <v>1385</v>
      </c>
      <c r="O718" s="2" t="s">
        <v>1386</v>
      </c>
      <c r="Q718" s="2" t="s">
        <v>6828</v>
      </c>
      <c r="S718" s="2" t="s">
        <v>6829</v>
      </c>
      <c r="T718" s="2" t="s">
        <v>6830</v>
      </c>
      <c r="AO718" s="2" t="s">
        <v>1368</v>
      </c>
    </row>
    <row r="719" ht="15.75" customHeight="1">
      <c r="A719" s="2" t="s">
        <v>6831</v>
      </c>
      <c r="B719" s="2" t="s">
        <v>1766</v>
      </c>
      <c r="C719" s="2">
        <v>1997.0</v>
      </c>
      <c r="D719" s="2" t="s">
        <v>6832</v>
      </c>
      <c r="E719" s="2" t="s">
        <v>6833</v>
      </c>
      <c r="F719" s="2" t="s">
        <v>6834</v>
      </c>
      <c r="J719" s="12" t="str">
        <f>VLOOKUP(I719,'Copy of Enriched Data - IPBES G'!$L$2:$L$229,1,false)</f>
        <v>#N/A</v>
      </c>
      <c r="M719" s="2" t="s">
        <v>1804</v>
      </c>
      <c r="N719" s="2" t="s">
        <v>1385</v>
      </c>
      <c r="O719" s="2" t="s">
        <v>1386</v>
      </c>
      <c r="Q719" s="2" t="s">
        <v>6835</v>
      </c>
      <c r="AB719" s="2" t="s">
        <v>6836</v>
      </c>
      <c r="AC719" s="2" t="s">
        <v>6837</v>
      </c>
      <c r="AO719" s="2" t="s">
        <v>1368</v>
      </c>
      <c r="AQ719" s="2" t="s">
        <v>6838</v>
      </c>
    </row>
    <row r="720" ht="15.75" customHeight="1">
      <c r="A720" s="2" t="s">
        <v>6839</v>
      </c>
      <c r="B720" s="2" t="s">
        <v>1396</v>
      </c>
      <c r="C720" s="2">
        <v>2010.0</v>
      </c>
      <c r="D720" s="2" t="s">
        <v>6840</v>
      </c>
      <c r="E720" s="2" t="s">
        <v>6841</v>
      </c>
      <c r="G720" s="2" t="s">
        <v>6842</v>
      </c>
      <c r="J720" s="12" t="str">
        <f>VLOOKUP(I720,'Copy of Enriched Data - IPBES G'!$L$2:$L$229,1,false)</f>
        <v>#N/A</v>
      </c>
      <c r="K720" s="2" t="s">
        <v>6843</v>
      </c>
      <c r="L720" s="2" t="s">
        <v>6844</v>
      </c>
      <c r="M720" s="2" t="s">
        <v>1449</v>
      </c>
      <c r="N720" s="2" t="s">
        <v>1385</v>
      </c>
      <c r="O720" s="2" t="s">
        <v>1386</v>
      </c>
      <c r="AB720" s="2" t="s">
        <v>6845</v>
      </c>
      <c r="AC720" s="2" t="s">
        <v>4398</v>
      </c>
      <c r="AK720" s="2" t="s">
        <v>6846</v>
      </c>
      <c r="AO720" s="2" t="s">
        <v>1368</v>
      </c>
    </row>
    <row r="721" ht="15.75" customHeight="1">
      <c r="A721" s="2" t="s">
        <v>6847</v>
      </c>
      <c r="B721" s="2" t="s">
        <v>1396</v>
      </c>
      <c r="C721" s="2">
        <v>2016.0</v>
      </c>
      <c r="D721" s="2" t="s">
        <v>6840</v>
      </c>
      <c r="E721" s="2" t="s">
        <v>6848</v>
      </c>
      <c r="G721" s="2" t="s">
        <v>6849</v>
      </c>
      <c r="J721" s="12" t="str">
        <f>VLOOKUP(I721,'Copy of Enriched Data - IPBES G'!$L$2:$L$229,1,false)</f>
        <v>#N/A</v>
      </c>
      <c r="M721" s="2" t="s">
        <v>1502</v>
      </c>
      <c r="N721" s="2" t="s">
        <v>1385</v>
      </c>
      <c r="O721" s="2" t="s">
        <v>1386</v>
      </c>
      <c r="AB721" s="2" t="s">
        <v>6850</v>
      </c>
      <c r="AC721" s="2" t="s">
        <v>1629</v>
      </c>
      <c r="AO721" s="2" t="s">
        <v>1368</v>
      </c>
    </row>
    <row r="722" ht="15.75" customHeight="1">
      <c r="A722" s="2" t="s">
        <v>6851</v>
      </c>
      <c r="B722" s="2" t="s">
        <v>1396</v>
      </c>
      <c r="C722" s="2">
        <v>2000.0</v>
      </c>
      <c r="D722" s="2" t="s">
        <v>6840</v>
      </c>
      <c r="E722" s="2" t="s">
        <v>6852</v>
      </c>
      <c r="G722" s="2" t="s">
        <v>6853</v>
      </c>
      <c r="J722" s="12" t="str">
        <f>VLOOKUP(I722,'Copy of Enriched Data - IPBES G'!$L$2:$L$229,1,false)</f>
        <v>#N/A</v>
      </c>
      <c r="M722" s="2" t="s">
        <v>2429</v>
      </c>
      <c r="N722" s="2" t="s">
        <v>1385</v>
      </c>
      <c r="O722" s="2" t="s">
        <v>1386</v>
      </c>
      <c r="AB722" s="2" t="s">
        <v>6850</v>
      </c>
      <c r="AC722" s="2" t="s">
        <v>1629</v>
      </c>
      <c r="AO722" s="2" t="s">
        <v>1368</v>
      </c>
    </row>
    <row r="723" ht="15.75" customHeight="1">
      <c r="A723" s="2" t="s">
        <v>6854</v>
      </c>
      <c r="B723" s="2" t="s">
        <v>1396</v>
      </c>
      <c r="C723" s="2">
        <v>2000.0</v>
      </c>
      <c r="D723" s="2" t="s">
        <v>6840</v>
      </c>
      <c r="E723" s="2" t="s">
        <v>6855</v>
      </c>
      <c r="G723" s="2" t="s">
        <v>6856</v>
      </c>
      <c r="J723" s="12" t="str">
        <f>VLOOKUP(I723,'Copy of Enriched Data - IPBES G'!$L$2:$L$229,1,false)</f>
        <v>#N/A</v>
      </c>
      <c r="M723" s="2" t="s">
        <v>2429</v>
      </c>
      <c r="N723" s="2" t="s">
        <v>1385</v>
      </c>
      <c r="O723" s="2" t="s">
        <v>1386</v>
      </c>
      <c r="AB723" s="2" t="s">
        <v>6850</v>
      </c>
      <c r="AC723" s="2" t="s">
        <v>1629</v>
      </c>
      <c r="AO723" s="2" t="s">
        <v>1368</v>
      </c>
    </row>
    <row r="724" ht="15.75" customHeight="1">
      <c r="A724" s="2" t="s">
        <v>6857</v>
      </c>
      <c r="B724" s="2" t="s">
        <v>3012</v>
      </c>
      <c r="C724" s="2">
        <v>2018.0</v>
      </c>
      <c r="D724" s="2" t="s">
        <v>6858</v>
      </c>
      <c r="E724" s="2" t="s">
        <v>6859</v>
      </c>
      <c r="J724" s="12" t="str">
        <f>VLOOKUP(I724,'Copy of Enriched Data - IPBES G'!$L$2:$L$229,1,false)</f>
        <v>#N/A</v>
      </c>
      <c r="K724" s="2" t="s">
        <v>6860</v>
      </c>
      <c r="M724" s="2" t="s">
        <v>1420</v>
      </c>
      <c r="N724" s="2" t="s">
        <v>1385</v>
      </c>
      <c r="O724" s="2" t="s">
        <v>1386</v>
      </c>
      <c r="P724" s="2" t="s">
        <v>3018</v>
      </c>
      <c r="AO724" s="2" t="s">
        <v>1368</v>
      </c>
    </row>
    <row r="725" ht="15.75" customHeight="1">
      <c r="A725" s="2" t="s">
        <v>6861</v>
      </c>
      <c r="B725" s="2" t="s">
        <v>1361</v>
      </c>
      <c r="C725" s="2">
        <v>2006.0</v>
      </c>
      <c r="D725" s="2" t="s">
        <v>6862</v>
      </c>
      <c r="E725" s="2" t="s">
        <v>6863</v>
      </c>
      <c r="F725" s="2" t="s">
        <v>6864</v>
      </c>
      <c r="H725" s="2" t="s">
        <v>2509</v>
      </c>
      <c r="I725" s="2" t="s">
        <v>6865</v>
      </c>
      <c r="J725" s="12" t="str">
        <f>VLOOKUP(I725,'Copy of Enriched Data - IPBES G'!$L$2:$L$229,1,false)</f>
        <v>#N/A</v>
      </c>
      <c r="L725" s="2" t="s">
        <v>6866</v>
      </c>
      <c r="M725" s="2" t="s">
        <v>1727</v>
      </c>
      <c r="N725" s="2" t="s">
        <v>1385</v>
      </c>
      <c r="O725" s="2" t="s">
        <v>1386</v>
      </c>
      <c r="Q725" s="2" t="s">
        <v>6867</v>
      </c>
      <c r="S725" s="2" t="s">
        <v>2271</v>
      </c>
      <c r="T725" s="2" t="s">
        <v>2840</v>
      </c>
      <c r="AO725" s="2" t="s">
        <v>1368</v>
      </c>
    </row>
    <row r="726" ht="15.75" customHeight="1">
      <c r="A726" s="2" t="s">
        <v>6868</v>
      </c>
      <c r="B726" s="2" t="s">
        <v>1623</v>
      </c>
      <c r="C726" s="2">
        <v>2015.0</v>
      </c>
      <c r="D726" s="2" t="s">
        <v>6869</v>
      </c>
      <c r="E726" s="2" t="s">
        <v>6870</v>
      </c>
      <c r="J726" s="12" t="str">
        <f>VLOOKUP(I726,'Copy of Enriched Data - IPBES G'!$L$2:$L$229,1,false)</f>
        <v>#N/A</v>
      </c>
      <c r="M726" s="2" t="s">
        <v>1373</v>
      </c>
      <c r="N726" s="2" t="s">
        <v>1385</v>
      </c>
      <c r="O726" s="2" t="s">
        <v>1386</v>
      </c>
      <c r="AO726" s="2" t="s">
        <v>1368</v>
      </c>
    </row>
    <row r="727" ht="15.75" customHeight="1">
      <c r="A727" s="2" t="s">
        <v>6871</v>
      </c>
      <c r="B727" s="2" t="s">
        <v>1361</v>
      </c>
      <c r="C727" s="2">
        <v>2010.0</v>
      </c>
      <c r="D727" s="2" t="s">
        <v>6872</v>
      </c>
      <c r="E727" s="2" t="s">
        <v>6873</v>
      </c>
      <c r="F727" s="2" t="s">
        <v>1760</v>
      </c>
      <c r="H727" s="2" t="s">
        <v>1761</v>
      </c>
      <c r="I727" s="2" t="s">
        <v>6874</v>
      </c>
      <c r="J727" s="12" t="str">
        <f>VLOOKUP(I727,'Copy of Enriched Data - IPBES G'!$L$2:$L$229,1,false)</f>
        <v>#N/A</v>
      </c>
      <c r="L727" s="2" t="s">
        <v>6875</v>
      </c>
      <c r="M727" s="2" t="s">
        <v>1449</v>
      </c>
      <c r="N727" s="2" t="s">
        <v>1385</v>
      </c>
      <c r="O727" s="2" t="s">
        <v>1386</v>
      </c>
      <c r="Q727" s="2" t="s">
        <v>6876</v>
      </c>
      <c r="S727" s="2" t="s">
        <v>1937</v>
      </c>
      <c r="T727" s="2" t="s">
        <v>3136</v>
      </c>
      <c r="AO727" s="2" t="s">
        <v>1368</v>
      </c>
    </row>
    <row r="728" ht="15.75" customHeight="1">
      <c r="A728" s="2" t="s">
        <v>6877</v>
      </c>
      <c r="B728" s="2" t="s">
        <v>1361</v>
      </c>
      <c r="C728" s="2">
        <v>2013.0</v>
      </c>
      <c r="D728" s="2" t="s">
        <v>6878</v>
      </c>
      <c r="E728" s="2" t="s">
        <v>6879</v>
      </c>
      <c r="F728" s="2" t="s">
        <v>5909</v>
      </c>
      <c r="I728" s="2" t="s">
        <v>6880</v>
      </c>
      <c r="J728" s="12" t="str">
        <f>VLOOKUP(I728,'Copy of Enriched Data - IPBES G'!$L$2:$L$229,1,false)</f>
        <v>#N/A</v>
      </c>
      <c r="M728" s="2" t="s">
        <v>1429</v>
      </c>
      <c r="N728" s="2" t="s">
        <v>1385</v>
      </c>
      <c r="O728" s="2" t="s">
        <v>1386</v>
      </c>
      <c r="Q728" s="2" t="s">
        <v>6881</v>
      </c>
      <c r="S728" s="2" t="s">
        <v>1537</v>
      </c>
      <c r="T728" s="2" t="s">
        <v>5657</v>
      </c>
      <c r="AO728" s="2" t="s">
        <v>1368</v>
      </c>
    </row>
    <row r="729" ht="15.75" customHeight="1">
      <c r="A729" s="2" t="s">
        <v>6887</v>
      </c>
      <c r="B729" s="2" t="s">
        <v>1361</v>
      </c>
      <c r="C729" s="2">
        <v>1999.0</v>
      </c>
      <c r="D729" s="2" t="s">
        <v>6888</v>
      </c>
      <c r="E729" s="2" t="s">
        <v>6889</v>
      </c>
      <c r="F729" s="2" t="s">
        <v>1760</v>
      </c>
      <c r="H729" s="2" t="s">
        <v>1761</v>
      </c>
      <c r="I729" s="2" t="s">
        <v>6890</v>
      </c>
      <c r="J729" s="12" t="str">
        <f>VLOOKUP(I729,'Copy of Enriched Data - IPBES G'!$L$2:$L$229,1,false)</f>
        <v>#N/A</v>
      </c>
      <c r="L729" s="2" t="s">
        <v>6891</v>
      </c>
      <c r="M729" s="2" t="s">
        <v>1434</v>
      </c>
      <c r="N729" s="2" t="s">
        <v>1385</v>
      </c>
      <c r="O729" s="2" t="s">
        <v>1386</v>
      </c>
      <c r="AO729" s="2" t="s">
        <v>1368</v>
      </c>
    </row>
    <row r="730" ht="15.75" customHeight="1">
      <c r="A730" s="2" t="s">
        <v>6897</v>
      </c>
      <c r="B730" s="2" t="s">
        <v>1396</v>
      </c>
      <c r="C730" s="2">
        <v>1989.0</v>
      </c>
      <c r="D730" s="2" t="s">
        <v>6898</v>
      </c>
      <c r="E730" s="2" t="s">
        <v>6899</v>
      </c>
      <c r="J730" s="12" t="str">
        <f>VLOOKUP(I730,'Copy of Enriched Data - IPBES G'!$L$2:$L$229,1,false)</f>
        <v>#N/A</v>
      </c>
      <c r="M730" s="2" t="s">
        <v>2701</v>
      </c>
      <c r="N730" s="2" t="s">
        <v>1385</v>
      </c>
      <c r="O730" s="2" t="s">
        <v>1386</v>
      </c>
      <c r="AB730" s="2" t="s">
        <v>6900</v>
      </c>
      <c r="AO730" s="2" t="s">
        <v>1368</v>
      </c>
    </row>
    <row r="731" ht="15.75" customHeight="1">
      <c r="A731" s="2" t="s">
        <v>6901</v>
      </c>
      <c r="B731" s="2" t="s">
        <v>1361</v>
      </c>
      <c r="C731" s="2">
        <v>2014.0</v>
      </c>
      <c r="D731" s="2" t="s">
        <v>6902</v>
      </c>
      <c r="E731" s="2" t="s">
        <v>6903</v>
      </c>
      <c r="F731" s="2" t="s">
        <v>1380</v>
      </c>
      <c r="H731" s="2" t="s">
        <v>1381</v>
      </c>
      <c r="I731" s="2" t="s">
        <v>6904</v>
      </c>
      <c r="J731" s="12" t="str">
        <f>VLOOKUP(I731,'Copy of Enriched Data - IPBES G'!$L$2:$L$229,1,false)</f>
        <v>#N/A</v>
      </c>
      <c r="L731" s="2" t="s">
        <v>6905</v>
      </c>
      <c r="M731" s="2" t="s">
        <v>6906</v>
      </c>
      <c r="N731" s="2" t="s">
        <v>1385</v>
      </c>
      <c r="O731" s="2" t="s">
        <v>1386</v>
      </c>
      <c r="Q731" s="2" t="s">
        <v>6907</v>
      </c>
      <c r="S731" s="2" t="s">
        <v>6908</v>
      </c>
      <c r="T731" s="2" t="s">
        <v>6909</v>
      </c>
      <c r="AO731" s="2" t="s">
        <v>1368</v>
      </c>
    </row>
    <row r="732" ht="15.75" customHeight="1">
      <c r="A732" s="2" t="s">
        <v>6910</v>
      </c>
      <c r="B732" s="2" t="s">
        <v>1361</v>
      </c>
      <c r="C732" s="2">
        <v>2008.0</v>
      </c>
      <c r="D732" s="2" t="s">
        <v>6911</v>
      </c>
      <c r="E732" s="2" t="s">
        <v>6912</v>
      </c>
      <c r="F732" s="2" t="s">
        <v>6913</v>
      </c>
      <c r="H732" s="2" t="s">
        <v>6914</v>
      </c>
      <c r="I732" s="2" t="s">
        <v>6915</v>
      </c>
      <c r="J732" s="12" t="str">
        <f>VLOOKUP(I732,'Copy of Enriched Data - IPBES G'!$L$2:$L$229,1,false)</f>
        <v>#N/A</v>
      </c>
      <c r="L732" s="2" t="s">
        <v>6916</v>
      </c>
      <c r="M732" s="2" t="s">
        <v>1458</v>
      </c>
      <c r="N732" s="2" t="s">
        <v>1385</v>
      </c>
      <c r="O732" s="2" t="s">
        <v>1386</v>
      </c>
      <c r="AO732" s="2" t="s">
        <v>1368</v>
      </c>
    </row>
    <row r="733" ht="15.75" customHeight="1">
      <c r="A733" s="2" t="s">
        <v>6917</v>
      </c>
      <c r="B733" s="2" t="s">
        <v>1361</v>
      </c>
      <c r="C733" s="2">
        <v>2001.0</v>
      </c>
      <c r="D733" s="2" t="s">
        <v>6918</v>
      </c>
      <c r="E733" s="2" t="s">
        <v>6919</v>
      </c>
      <c r="F733" s="2" t="s">
        <v>6920</v>
      </c>
      <c r="H733" s="2" t="s">
        <v>6921</v>
      </c>
      <c r="I733" s="2" t="s">
        <v>6922</v>
      </c>
      <c r="J733" s="12" t="str">
        <f>VLOOKUP(I733,'Copy of Enriched Data - IPBES G'!$L$2:$L$229,1,false)</f>
        <v>#N/A</v>
      </c>
      <c r="L733" s="2" t="s">
        <v>6923</v>
      </c>
      <c r="M733" s="2" t="s">
        <v>1414</v>
      </c>
      <c r="N733" s="2" t="s">
        <v>1385</v>
      </c>
      <c r="O733" s="2" t="s">
        <v>1386</v>
      </c>
      <c r="AO733" s="2" t="s">
        <v>1368</v>
      </c>
    </row>
    <row r="734" ht="15.75" customHeight="1">
      <c r="A734" s="2" t="s">
        <v>6924</v>
      </c>
      <c r="B734" s="2" t="s">
        <v>1361</v>
      </c>
      <c r="C734" s="2">
        <v>2012.0</v>
      </c>
      <c r="D734" s="2" t="s">
        <v>6925</v>
      </c>
      <c r="E734" s="2" t="s">
        <v>6926</v>
      </c>
      <c r="F734" s="2" t="s">
        <v>1789</v>
      </c>
      <c r="H734" s="2" t="s">
        <v>1790</v>
      </c>
      <c r="I734" s="2" t="s">
        <v>6927</v>
      </c>
      <c r="J734" s="12" t="str">
        <f>VLOOKUP(I734,'Copy of Enriched Data - IPBES G'!$L$2:$L$229,1,false)</f>
        <v>#N/A</v>
      </c>
      <c r="L734" s="2" t="s">
        <v>6928</v>
      </c>
      <c r="M734" s="2" t="s">
        <v>1405</v>
      </c>
      <c r="N734" s="2" t="s">
        <v>1385</v>
      </c>
      <c r="O734" s="2" t="s">
        <v>1386</v>
      </c>
      <c r="AO734" s="2" t="s">
        <v>1368</v>
      </c>
    </row>
    <row r="735" ht="15.75" customHeight="1">
      <c r="A735" s="2" t="s">
        <v>6938</v>
      </c>
      <c r="B735" s="2" t="s">
        <v>1361</v>
      </c>
      <c r="C735" s="2">
        <v>2014.0</v>
      </c>
      <c r="D735" s="2" t="s">
        <v>6939</v>
      </c>
      <c r="E735" s="2" t="s">
        <v>6940</v>
      </c>
      <c r="F735" s="2" t="s">
        <v>6941</v>
      </c>
      <c r="H735" s="2" t="s">
        <v>6942</v>
      </c>
      <c r="I735" s="2" t="s">
        <v>6943</v>
      </c>
      <c r="J735" s="12" t="str">
        <f>VLOOKUP(I735,'Copy of Enriched Data - IPBES G'!$L$2:$L$229,1,false)</f>
        <v>#N/A</v>
      </c>
      <c r="L735" s="2" t="s">
        <v>6944</v>
      </c>
      <c r="M735" s="2" t="s">
        <v>1476</v>
      </c>
      <c r="N735" s="2" t="s">
        <v>1385</v>
      </c>
      <c r="O735" s="2" t="s">
        <v>1386</v>
      </c>
      <c r="AO735" s="2" t="s">
        <v>1368</v>
      </c>
    </row>
    <row r="736" ht="15.75" customHeight="1">
      <c r="A736" s="2" t="s">
        <v>6945</v>
      </c>
      <c r="B736" s="2" t="s">
        <v>1396</v>
      </c>
      <c r="C736" s="2">
        <v>2016.0</v>
      </c>
      <c r="D736" s="2" t="s">
        <v>6946</v>
      </c>
      <c r="E736" s="2" t="s">
        <v>6947</v>
      </c>
      <c r="J736" s="12" t="str">
        <f>VLOOKUP(I736,'Copy of Enriched Data - IPBES G'!$L$2:$L$229,1,false)</f>
        <v>#N/A</v>
      </c>
      <c r="K736" s="2" t="s">
        <v>6948</v>
      </c>
      <c r="M736" s="2" t="s">
        <v>1502</v>
      </c>
      <c r="N736" s="2" t="s">
        <v>1385</v>
      </c>
      <c r="O736" s="2" t="s">
        <v>1386</v>
      </c>
      <c r="AO736" s="2" t="s">
        <v>1368</v>
      </c>
    </row>
    <row r="737" ht="15.75" customHeight="1">
      <c r="A737" s="2" t="s">
        <v>6949</v>
      </c>
      <c r="B737" s="2" t="s">
        <v>1361</v>
      </c>
      <c r="C737" s="2">
        <v>2007.0</v>
      </c>
      <c r="D737" s="2" t="s">
        <v>6950</v>
      </c>
      <c r="E737" s="2" t="s">
        <v>6951</v>
      </c>
      <c r="F737" s="2" t="s">
        <v>1484</v>
      </c>
      <c r="H737" s="2" t="s">
        <v>6122</v>
      </c>
      <c r="I737" s="2" t="s">
        <v>6952</v>
      </c>
      <c r="J737" s="12" t="str">
        <f>VLOOKUP(I737,'Copy of Enriched Data - IPBES G'!$L$2:$L$229,1,false)</f>
        <v>#N/A</v>
      </c>
      <c r="L737" s="2" t="s">
        <v>6953</v>
      </c>
      <c r="M737" s="2" t="s">
        <v>2380</v>
      </c>
      <c r="N737" s="2" t="s">
        <v>1385</v>
      </c>
      <c r="O737" s="2" t="s">
        <v>1386</v>
      </c>
      <c r="Q737" s="2" t="s">
        <v>6954</v>
      </c>
      <c r="S737" s="2" t="s">
        <v>1453</v>
      </c>
      <c r="T737" s="2" t="s">
        <v>6955</v>
      </c>
      <c r="AO737" s="2" t="s">
        <v>1368</v>
      </c>
    </row>
    <row r="738" ht="15.75" customHeight="1">
      <c r="A738" s="2" t="s">
        <v>6956</v>
      </c>
      <c r="B738" s="2" t="s">
        <v>1361</v>
      </c>
      <c r="C738" s="2">
        <v>2006.0</v>
      </c>
      <c r="D738" s="2" t="s">
        <v>6957</v>
      </c>
      <c r="E738" s="2" t="s">
        <v>6958</v>
      </c>
      <c r="F738" s="2" t="s">
        <v>2458</v>
      </c>
      <c r="H738" s="2" t="s">
        <v>2459</v>
      </c>
      <c r="I738" s="2" t="s">
        <v>6959</v>
      </c>
      <c r="J738" s="12" t="str">
        <f>VLOOKUP(I738,'Copy of Enriched Data - IPBES G'!$L$2:$L$229,1,false)</f>
        <v>#N/A</v>
      </c>
      <c r="L738" s="2" t="s">
        <v>6960</v>
      </c>
      <c r="M738" s="2" t="s">
        <v>1727</v>
      </c>
      <c r="N738" s="2" t="s">
        <v>1385</v>
      </c>
      <c r="O738" s="2" t="s">
        <v>1386</v>
      </c>
      <c r="Q738" s="2" t="s">
        <v>6961</v>
      </c>
      <c r="S738" s="2" t="s">
        <v>1462</v>
      </c>
      <c r="T738" s="2" t="s">
        <v>2629</v>
      </c>
      <c r="AO738" s="2" t="s">
        <v>1368</v>
      </c>
    </row>
    <row r="739" ht="15.75" customHeight="1">
      <c r="A739" s="2" t="s">
        <v>6962</v>
      </c>
      <c r="B739" s="2" t="s">
        <v>1766</v>
      </c>
      <c r="C739" s="2">
        <v>2005.0</v>
      </c>
      <c r="D739" s="2" t="s">
        <v>6963</v>
      </c>
      <c r="E739" s="2" t="s">
        <v>6964</v>
      </c>
      <c r="F739" s="2" t="s">
        <v>6965</v>
      </c>
      <c r="J739" s="12" t="str">
        <f>VLOOKUP(I739,'Copy of Enriched Data - IPBES G'!$L$2:$L$229,1,false)</f>
        <v>#N/A</v>
      </c>
      <c r="L739" s="2" t="s">
        <v>6966</v>
      </c>
      <c r="M739" s="2" t="s">
        <v>1394</v>
      </c>
      <c r="N739" s="2" t="s">
        <v>1385</v>
      </c>
      <c r="O739" s="2" t="s">
        <v>1386</v>
      </c>
      <c r="AB739" s="2" t="s">
        <v>6967</v>
      </c>
      <c r="AC739" s="2" t="s">
        <v>2146</v>
      </c>
      <c r="AO739" s="2" t="s">
        <v>1368</v>
      </c>
      <c r="AQ739" s="2" t="s">
        <v>6968</v>
      </c>
    </row>
    <row r="740" ht="15.75" customHeight="1">
      <c r="A740" s="2" t="s">
        <v>6969</v>
      </c>
      <c r="B740" s="2" t="s">
        <v>1396</v>
      </c>
      <c r="C740" s="2">
        <v>2000.0</v>
      </c>
      <c r="D740" s="2" t="s">
        <v>6970</v>
      </c>
      <c r="E740" s="2" t="s">
        <v>6971</v>
      </c>
      <c r="G740" s="2" t="s">
        <v>6972</v>
      </c>
      <c r="J740" s="12" t="str">
        <f>VLOOKUP(I740,'Copy of Enriched Data - IPBES G'!$L$2:$L$229,1,false)</f>
        <v>#N/A</v>
      </c>
      <c r="M740" s="2" t="s">
        <v>2429</v>
      </c>
      <c r="N740" s="2" t="s">
        <v>1385</v>
      </c>
      <c r="O740" s="2" t="s">
        <v>1386</v>
      </c>
      <c r="AB740" s="2" t="s">
        <v>2993</v>
      </c>
      <c r="AC740" s="2" t="s">
        <v>2146</v>
      </c>
      <c r="AO740" s="2" t="s">
        <v>1368</v>
      </c>
    </row>
    <row r="741" ht="15.75" customHeight="1">
      <c r="A741" s="2" t="s">
        <v>6973</v>
      </c>
      <c r="B741" s="2" t="s">
        <v>1361</v>
      </c>
      <c r="C741" s="2">
        <v>2015.0</v>
      </c>
      <c r="D741" s="2" t="s">
        <v>6974</v>
      </c>
      <c r="E741" s="2" t="s">
        <v>6975</v>
      </c>
      <c r="F741" s="2" t="s">
        <v>6976</v>
      </c>
      <c r="H741" s="2" t="s">
        <v>6977</v>
      </c>
      <c r="I741" s="2" t="s">
        <v>6978</v>
      </c>
      <c r="J741" s="12" t="str">
        <f>VLOOKUP(I741,'Copy of Enriched Data - IPBES G'!$L$2:$L$229,1,false)</f>
        <v>#N/A</v>
      </c>
      <c r="L741" s="2" t="s">
        <v>6979</v>
      </c>
      <c r="M741" s="2" t="s">
        <v>1373</v>
      </c>
      <c r="N741" s="2" t="s">
        <v>1385</v>
      </c>
      <c r="O741" s="2" t="s">
        <v>1386</v>
      </c>
      <c r="AO741" s="2" t="s">
        <v>1368</v>
      </c>
    </row>
    <row r="742" ht="15.75" customHeight="1">
      <c r="A742" s="2" t="s">
        <v>6980</v>
      </c>
      <c r="B742" s="2" t="s">
        <v>1396</v>
      </c>
      <c r="C742" s="2">
        <v>2016.0</v>
      </c>
      <c r="D742" s="2" t="s">
        <v>6981</v>
      </c>
      <c r="E742" s="2" t="s">
        <v>6982</v>
      </c>
      <c r="J742" s="12" t="str">
        <f>VLOOKUP(I742,'Copy of Enriched Data - IPBES G'!$L$2:$L$229,1,false)</f>
        <v>#N/A</v>
      </c>
      <c r="M742" s="2" t="s">
        <v>1502</v>
      </c>
      <c r="N742" s="2" t="s">
        <v>1385</v>
      </c>
      <c r="O742" s="2" t="s">
        <v>1386</v>
      </c>
      <c r="AB742" s="2" t="s">
        <v>6983</v>
      </c>
      <c r="AO742" s="2" t="s">
        <v>1368</v>
      </c>
    </row>
    <row r="743" ht="15.75" customHeight="1">
      <c r="A743" s="2" t="s">
        <v>6984</v>
      </c>
      <c r="B743" s="2" t="s">
        <v>1361</v>
      </c>
      <c r="C743" s="2">
        <v>2006.0</v>
      </c>
      <c r="D743" s="2" t="s">
        <v>6985</v>
      </c>
      <c r="E743" s="2" t="s">
        <v>6986</v>
      </c>
      <c r="F743" s="2" t="s">
        <v>5024</v>
      </c>
      <c r="H743" s="2" t="s">
        <v>6987</v>
      </c>
      <c r="I743" s="2" t="s">
        <v>6988</v>
      </c>
      <c r="J743" s="12" t="str">
        <f>VLOOKUP(I743,'Copy of Enriched Data - IPBES G'!$L$2:$L$229,1,false)</f>
        <v>#N/A</v>
      </c>
      <c r="L743" s="2" t="s">
        <v>6989</v>
      </c>
      <c r="M743" s="2" t="s">
        <v>1727</v>
      </c>
      <c r="N743" s="2" t="s">
        <v>1385</v>
      </c>
      <c r="O743" s="2" t="s">
        <v>1386</v>
      </c>
      <c r="AO743" s="2" t="s">
        <v>1368</v>
      </c>
    </row>
    <row r="744" ht="15.75" customHeight="1">
      <c r="A744" s="2" t="s">
        <v>6990</v>
      </c>
      <c r="B744" s="2" t="s">
        <v>1766</v>
      </c>
      <c r="C744" s="2">
        <v>2003.0</v>
      </c>
      <c r="D744" s="2" t="s">
        <v>6991</v>
      </c>
      <c r="E744" s="2" t="s">
        <v>6992</v>
      </c>
      <c r="F744" s="2" t="s">
        <v>6993</v>
      </c>
      <c r="J744" s="12" t="str">
        <f>VLOOKUP(I744,'Copy of Enriched Data - IPBES G'!$L$2:$L$229,1,false)</f>
        <v>#N/A</v>
      </c>
      <c r="M744" s="2" t="s">
        <v>1606</v>
      </c>
      <c r="N744" s="2" t="s">
        <v>1385</v>
      </c>
      <c r="O744" s="2" t="s">
        <v>1386</v>
      </c>
      <c r="Q744" s="2" t="s">
        <v>6994</v>
      </c>
      <c r="T744" s="2" t="s">
        <v>1462</v>
      </c>
      <c r="AB744" s="2" t="s">
        <v>5287</v>
      </c>
      <c r="AO744" s="2" t="s">
        <v>1368</v>
      </c>
    </row>
    <row r="745" ht="15.75" customHeight="1">
      <c r="A745" s="2" t="s">
        <v>6995</v>
      </c>
      <c r="B745" s="2" t="s">
        <v>1361</v>
      </c>
      <c r="C745" s="2">
        <v>2014.0</v>
      </c>
      <c r="D745" s="2" t="s">
        <v>6996</v>
      </c>
      <c r="E745" s="2" t="s">
        <v>6997</v>
      </c>
      <c r="F745" s="2" t="s">
        <v>1466</v>
      </c>
      <c r="H745" s="2" t="s">
        <v>6232</v>
      </c>
      <c r="I745" s="2" t="s">
        <v>6998</v>
      </c>
      <c r="J745" s="12" t="str">
        <f>VLOOKUP(I745,'Copy of Enriched Data - IPBES G'!$L$2:$L$229,1,false)</f>
        <v>#N/A</v>
      </c>
      <c r="L745" s="2" t="s">
        <v>6999</v>
      </c>
      <c r="M745" s="2" t="s">
        <v>1476</v>
      </c>
      <c r="N745" s="2" t="s">
        <v>1385</v>
      </c>
      <c r="O745" s="2" t="s">
        <v>1386</v>
      </c>
      <c r="AO745" s="2" t="s">
        <v>1368</v>
      </c>
    </row>
    <row r="746" ht="15.75" customHeight="1">
      <c r="A746" s="2" t="s">
        <v>7000</v>
      </c>
      <c r="B746" s="2" t="s">
        <v>1361</v>
      </c>
      <c r="C746" s="2">
        <v>1997.0</v>
      </c>
      <c r="D746" s="2" t="s">
        <v>7001</v>
      </c>
      <c r="E746" s="2" t="s">
        <v>7002</v>
      </c>
      <c r="F746" s="2" t="s">
        <v>2665</v>
      </c>
      <c r="H746" s="2" t="s">
        <v>6160</v>
      </c>
      <c r="I746" s="2" t="s">
        <v>7003</v>
      </c>
      <c r="J746" s="12" t="str">
        <f>VLOOKUP(I746,'Copy of Enriched Data - IPBES G'!$L$2:$L$229,1,false)</f>
        <v>#N/A</v>
      </c>
      <c r="L746" s="2" t="s">
        <v>7004</v>
      </c>
      <c r="M746" s="2" t="s">
        <v>1804</v>
      </c>
      <c r="N746" s="2" t="s">
        <v>1385</v>
      </c>
      <c r="O746" s="2" t="s">
        <v>1386</v>
      </c>
      <c r="AO746" s="2" t="s">
        <v>1368</v>
      </c>
    </row>
    <row r="747" ht="15.75" customHeight="1">
      <c r="A747" s="2" t="s">
        <v>7005</v>
      </c>
      <c r="B747" s="2" t="s">
        <v>1361</v>
      </c>
      <c r="C747" s="2">
        <v>2008.0</v>
      </c>
      <c r="D747" s="2" t="s">
        <v>7006</v>
      </c>
      <c r="E747" s="2" t="s">
        <v>7007</v>
      </c>
      <c r="F747" s="2" t="s">
        <v>7008</v>
      </c>
      <c r="H747" s="2" t="s">
        <v>7009</v>
      </c>
      <c r="I747" s="2" t="s">
        <v>7010</v>
      </c>
      <c r="J747" s="12" t="str">
        <f>VLOOKUP(I747,'Copy of Enriched Data - IPBES G'!$L$2:$L$229,1,false)</f>
        <v>#N/A</v>
      </c>
      <c r="M747" s="2" t="s">
        <v>1458</v>
      </c>
      <c r="N747" s="2" t="s">
        <v>1385</v>
      </c>
      <c r="O747" s="2" t="s">
        <v>1386</v>
      </c>
      <c r="Q747" s="2" t="s">
        <v>7011</v>
      </c>
      <c r="S747" s="2" t="s">
        <v>1506</v>
      </c>
      <c r="T747" s="2" t="s">
        <v>2799</v>
      </c>
      <c r="AO747" s="2" t="s">
        <v>1368</v>
      </c>
    </row>
    <row r="748" ht="15.75" customHeight="1">
      <c r="A748" s="2" t="s">
        <v>7012</v>
      </c>
      <c r="B748" s="2" t="s">
        <v>1361</v>
      </c>
      <c r="C748" s="2">
        <v>2006.0</v>
      </c>
      <c r="D748" s="2" t="s">
        <v>7006</v>
      </c>
      <c r="E748" s="2" t="s">
        <v>7013</v>
      </c>
      <c r="F748" s="2" t="s">
        <v>7014</v>
      </c>
      <c r="H748" s="2" t="s">
        <v>7015</v>
      </c>
      <c r="I748" s="2" t="s">
        <v>7016</v>
      </c>
      <c r="J748" s="12" t="str">
        <f>VLOOKUP(I748,'Copy of Enriched Data - IPBES G'!$L$2:$L$229,1,false)</f>
        <v>#N/A</v>
      </c>
      <c r="M748" s="2" t="s">
        <v>2300</v>
      </c>
      <c r="N748" s="2" t="s">
        <v>1385</v>
      </c>
      <c r="O748" s="2" t="s">
        <v>1386</v>
      </c>
      <c r="Q748" s="2" t="s">
        <v>7017</v>
      </c>
      <c r="S748" s="2" t="s">
        <v>1506</v>
      </c>
      <c r="T748" s="2" t="s">
        <v>3628</v>
      </c>
      <c r="AO748" s="2" t="s">
        <v>1368</v>
      </c>
    </row>
    <row r="749" ht="15.75" customHeight="1">
      <c r="A749" s="2" t="s">
        <v>7018</v>
      </c>
      <c r="B749" s="2" t="s">
        <v>1396</v>
      </c>
      <c r="C749" s="2">
        <v>1992.0</v>
      </c>
      <c r="D749" s="2" t="s">
        <v>7019</v>
      </c>
      <c r="E749" s="2" t="s">
        <v>7020</v>
      </c>
      <c r="J749" s="12" t="str">
        <f>VLOOKUP(I749,'Copy of Enriched Data - IPBES G'!$L$2:$L$229,1,false)</f>
        <v>#N/A</v>
      </c>
      <c r="M749" s="2" t="s">
        <v>3458</v>
      </c>
      <c r="N749" s="2" t="s">
        <v>1385</v>
      </c>
      <c r="O749" s="2" t="s">
        <v>1386</v>
      </c>
      <c r="AB749" s="2" t="s">
        <v>7021</v>
      </c>
      <c r="AO749" s="2" t="s">
        <v>1368</v>
      </c>
    </row>
    <row r="750" ht="15.75" customHeight="1">
      <c r="A750" s="2" t="s">
        <v>7022</v>
      </c>
      <c r="B750" s="2" t="s">
        <v>1396</v>
      </c>
      <c r="C750" s="2">
        <v>2004.0</v>
      </c>
      <c r="D750" s="2" t="s">
        <v>7023</v>
      </c>
      <c r="E750" s="2" t="s">
        <v>7024</v>
      </c>
      <c r="J750" s="12" t="str">
        <f>VLOOKUP(I750,'Copy of Enriched Data - IPBES G'!$L$2:$L$229,1,false)</f>
        <v>#N/A</v>
      </c>
      <c r="M750" s="2" t="s">
        <v>2373</v>
      </c>
      <c r="N750" s="2" t="s">
        <v>1385</v>
      </c>
      <c r="O750" s="2" t="s">
        <v>1386</v>
      </c>
      <c r="AB750" s="2" t="s">
        <v>2993</v>
      </c>
      <c r="AO750" s="2" t="s">
        <v>1368</v>
      </c>
    </row>
    <row r="751" ht="15.75" customHeight="1">
      <c r="A751" s="2" t="s">
        <v>7025</v>
      </c>
      <c r="B751" s="2" t="s">
        <v>1361</v>
      </c>
      <c r="C751" s="2">
        <v>2018.0</v>
      </c>
      <c r="D751" s="2" t="s">
        <v>7026</v>
      </c>
      <c r="E751" s="2" t="s">
        <v>7027</v>
      </c>
      <c r="F751" s="2" t="s">
        <v>7028</v>
      </c>
      <c r="H751" s="2" t="s">
        <v>7029</v>
      </c>
      <c r="I751" s="2" t="s">
        <v>7030</v>
      </c>
      <c r="J751" s="12" t="str">
        <f>VLOOKUP(I751,'Copy of Enriched Data - IPBES G'!$L$2:$L$229,1,false)</f>
        <v>#N/A</v>
      </c>
      <c r="M751" s="2" t="s">
        <v>1420</v>
      </c>
      <c r="N751" s="2" t="s">
        <v>1385</v>
      </c>
      <c r="O751" s="2" t="s">
        <v>1386</v>
      </c>
      <c r="Q751" s="2" t="s">
        <v>7031</v>
      </c>
      <c r="T751" s="2" t="s">
        <v>3382</v>
      </c>
      <c r="AO751" s="2" t="s">
        <v>1368</v>
      </c>
    </row>
    <row r="752" ht="15.75" customHeight="1">
      <c r="A752" s="2" t="s">
        <v>7032</v>
      </c>
      <c r="B752" s="2" t="s">
        <v>1361</v>
      </c>
      <c r="C752" s="2">
        <v>2004.0</v>
      </c>
      <c r="D752" s="2" t="s">
        <v>7033</v>
      </c>
      <c r="E752" s="2" t="s">
        <v>7034</v>
      </c>
      <c r="F752" s="2" t="s">
        <v>7035</v>
      </c>
      <c r="H752" s="2" t="s">
        <v>7036</v>
      </c>
      <c r="I752" s="2" t="s">
        <v>7037</v>
      </c>
      <c r="J752" s="12" t="str">
        <f>VLOOKUP(I752,'Copy of Enriched Data - IPBES G'!$L$2:$L$229,1,false)</f>
        <v>#N/A</v>
      </c>
      <c r="L752" s="2" t="s">
        <v>7038</v>
      </c>
      <c r="M752" s="2" t="s">
        <v>7039</v>
      </c>
      <c r="N752" s="2" t="s">
        <v>1385</v>
      </c>
      <c r="O752" s="2" t="s">
        <v>1386</v>
      </c>
      <c r="Q752" s="2" t="s">
        <v>7040</v>
      </c>
      <c r="S752" s="2" t="s">
        <v>5423</v>
      </c>
      <c r="T752" s="2" t="s">
        <v>2952</v>
      </c>
      <c r="AO752" s="2" t="s">
        <v>1368</v>
      </c>
    </row>
    <row r="753" ht="15.75" customHeight="1">
      <c r="A753" s="2" t="s">
        <v>7041</v>
      </c>
      <c r="B753" s="2" t="s">
        <v>1361</v>
      </c>
      <c r="C753" s="2">
        <v>2008.0</v>
      </c>
      <c r="D753" s="2" t="s">
        <v>7042</v>
      </c>
      <c r="E753" s="2" t="s">
        <v>7043</v>
      </c>
      <c r="F753" s="2" t="s">
        <v>2028</v>
      </c>
      <c r="H753" s="2" t="s">
        <v>7044</v>
      </c>
      <c r="I753" s="2" t="s">
        <v>7045</v>
      </c>
      <c r="J753" s="12" t="str">
        <f>VLOOKUP(I753,'Copy of Enriched Data - IPBES G'!$L$2:$L$229,1,false)</f>
        <v>#N/A</v>
      </c>
      <c r="L753" s="2" t="s">
        <v>7046</v>
      </c>
      <c r="M753" s="2" t="s">
        <v>1458</v>
      </c>
      <c r="N753" s="2" t="s">
        <v>1385</v>
      </c>
      <c r="O753" s="2" t="s">
        <v>1386</v>
      </c>
      <c r="Q753" s="2" t="s">
        <v>7047</v>
      </c>
      <c r="S753" s="2" t="s">
        <v>1506</v>
      </c>
      <c r="T753" s="2" t="s">
        <v>3434</v>
      </c>
      <c r="AO753" s="2" t="s">
        <v>1368</v>
      </c>
    </row>
    <row r="754" ht="15.75" customHeight="1">
      <c r="A754" s="2" t="s">
        <v>7048</v>
      </c>
      <c r="B754" s="2" t="s">
        <v>1766</v>
      </c>
      <c r="C754" s="2">
        <v>2018.0</v>
      </c>
      <c r="D754" s="2" t="s">
        <v>7049</v>
      </c>
      <c r="E754" s="2" t="s">
        <v>7050</v>
      </c>
      <c r="F754" s="2" t="s">
        <v>7051</v>
      </c>
      <c r="J754" s="12" t="str">
        <f>VLOOKUP(I754,'Copy of Enriched Data - IPBES G'!$L$2:$L$229,1,false)</f>
        <v>#N/A</v>
      </c>
      <c r="M754" s="2" t="s">
        <v>1420</v>
      </c>
      <c r="N754" s="2" t="s">
        <v>1385</v>
      </c>
      <c r="O754" s="2" t="s">
        <v>1386</v>
      </c>
      <c r="AB754" s="2" t="s">
        <v>2993</v>
      </c>
      <c r="AC754" s="2" t="s">
        <v>2291</v>
      </c>
      <c r="AO754" s="2" t="s">
        <v>1368</v>
      </c>
      <c r="AQ754" s="2" t="s">
        <v>7052</v>
      </c>
    </row>
    <row r="755" ht="15.75" customHeight="1">
      <c r="A755" s="2" t="s">
        <v>7053</v>
      </c>
      <c r="B755" s="2" t="s">
        <v>1396</v>
      </c>
      <c r="C755" s="2">
        <v>1997.0</v>
      </c>
      <c r="D755" s="2" t="s">
        <v>7054</v>
      </c>
      <c r="E755" s="2" t="s">
        <v>7055</v>
      </c>
      <c r="G755" s="2" t="s">
        <v>7056</v>
      </c>
      <c r="J755" s="12" t="str">
        <f>VLOOKUP(I755,'Copy of Enriched Data - IPBES G'!$L$2:$L$229,1,false)</f>
        <v>#N/A</v>
      </c>
      <c r="M755" s="2" t="s">
        <v>1804</v>
      </c>
      <c r="N755" s="2" t="s">
        <v>1385</v>
      </c>
      <c r="O755" s="2" t="s">
        <v>1386</v>
      </c>
      <c r="AB755" s="2" t="s">
        <v>7057</v>
      </c>
      <c r="AO755" s="2" t="s">
        <v>1368</v>
      </c>
    </row>
    <row r="756" ht="15.75" customHeight="1">
      <c r="A756" s="2" t="s">
        <v>7058</v>
      </c>
      <c r="B756" s="2" t="s">
        <v>1361</v>
      </c>
      <c r="C756" s="2">
        <v>2011.0</v>
      </c>
      <c r="D756" s="2" t="s">
        <v>7059</v>
      </c>
      <c r="E756" s="2" t="s">
        <v>7060</v>
      </c>
      <c r="F756" s="2" t="s">
        <v>7061</v>
      </c>
      <c r="H756" s="2" t="s">
        <v>7062</v>
      </c>
      <c r="I756" s="2" t="s">
        <v>7063</v>
      </c>
      <c r="J756" s="12" t="str">
        <f>VLOOKUP(I756,'Copy of Enriched Data - IPBES G'!$L$2:$L$229,1,false)</f>
        <v>#N/A</v>
      </c>
      <c r="L756" s="2" t="s">
        <v>7064</v>
      </c>
      <c r="M756" s="2" t="s">
        <v>1627</v>
      </c>
      <c r="N756" s="2" t="s">
        <v>1385</v>
      </c>
      <c r="O756" s="2" t="s">
        <v>1386</v>
      </c>
      <c r="AO756" s="2" t="s">
        <v>1368</v>
      </c>
    </row>
    <row r="757" ht="15.75" customHeight="1">
      <c r="A757" s="2" t="s">
        <v>7065</v>
      </c>
      <c r="B757" s="2" t="s">
        <v>1361</v>
      </c>
      <c r="C757" s="2">
        <v>2006.0</v>
      </c>
      <c r="D757" s="2" t="s">
        <v>7066</v>
      </c>
      <c r="E757" s="2" t="s">
        <v>7067</v>
      </c>
      <c r="F757" s="2" t="s">
        <v>7068</v>
      </c>
      <c r="H757" s="2" t="s">
        <v>7069</v>
      </c>
      <c r="I757" s="2" t="s">
        <v>7070</v>
      </c>
      <c r="J757" s="12" t="str">
        <f>VLOOKUP(I757,'Copy of Enriched Data - IPBES G'!$L$2:$L$229,1,false)</f>
        <v>#N/A</v>
      </c>
      <c r="L757" s="2" t="s">
        <v>7071</v>
      </c>
      <c r="M757" s="2" t="s">
        <v>1727</v>
      </c>
      <c r="N757" s="2" t="s">
        <v>1385</v>
      </c>
      <c r="O757" s="2" t="s">
        <v>1386</v>
      </c>
      <c r="AO757" s="2" t="s">
        <v>1368</v>
      </c>
    </row>
    <row r="758" ht="15.75" customHeight="1">
      <c r="A758" s="2" t="s">
        <v>7072</v>
      </c>
      <c r="B758" s="2" t="s">
        <v>1361</v>
      </c>
      <c r="C758" s="2">
        <v>2005.0</v>
      </c>
      <c r="D758" s="2" t="s">
        <v>7073</v>
      </c>
      <c r="E758" s="2" t="s">
        <v>7074</v>
      </c>
      <c r="F758" s="2" t="s">
        <v>7075</v>
      </c>
      <c r="H758" s="2" t="s">
        <v>7076</v>
      </c>
      <c r="I758" s="2" t="s">
        <v>7077</v>
      </c>
      <c r="J758" s="12" t="str">
        <f>VLOOKUP(I758,'Copy of Enriched Data - IPBES G'!$L$2:$L$229,1,false)</f>
        <v>#N/A</v>
      </c>
      <c r="L758" s="2" t="s">
        <v>7078</v>
      </c>
      <c r="M758" s="2" t="s">
        <v>1394</v>
      </c>
      <c r="N758" s="2" t="s">
        <v>1385</v>
      </c>
      <c r="O758" s="2" t="s">
        <v>1386</v>
      </c>
      <c r="Q758" s="2" t="s">
        <v>7079</v>
      </c>
      <c r="S758" s="2" t="s">
        <v>1462</v>
      </c>
      <c r="T758" s="2" t="s">
        <v>1443</v>
      </c>
      <c r="AO758" s="2" t="s">
        <v>1368</v>
      </c>
    </row>
    <row r="759" ht="15.75" customHeight="1">
      <c r="A759" s="2" t="s">
        <v>7080</v>
      </c>
      <c r="B759" s="2" t="s">
        <v>1781</v>
      </c>
      <c r="C759" s="2">
        <v>2011.0</v>
      </c>
      <c r="D759" s="2" t="s">
        <v>7081</v>
      </c>
      <c r="E759" s="2" t="s">
        <v>7082</v>
      </c>
      <c r="J759" s="12" t="str">
        <f>VLOOKUP(I759,'Copy of Enriched Data - IPBES G'!$L$2:$L$229,1,false)</f>
        <v>#N/A</v>
      </c>
      <c r="M759" s="2" t="s">
        <v>1627</v>
      </c>
      <c r="N759" s="2" t="s">
        <v>1385</v>
      </c>
      <c r="O759" s="2" t="s">
        <v>1386</v>
      </c>
      <c r="AC759" s="2" t="s">
        <v>1629</v>
      </c>
      <c r="AO759" s="2" t="s">
        <v>1368</v>
      </c>
    </row>
    <row r="760" ht="15.75" customHeight="1">
      <c r="A760" s="2" t="s">
        <v>7083</v>
      </c>
      <c r="B760" s="2" t="s">
        <v>1361</v>
      </c>
      <c r="C760" s="2">
        <v>2009.0</v>
      </c>
      <c r="D760" s="2" t="s">
        <v>7084</v>
      </c>
      <c r="E760" s="2" t="s">
        <v>7085</v>
      </c>
      <c r="F760" s="2" t="s">
        <v>7086</v>
      </c>
      <c r="H760" s="2" t="s">
        <v>7087</v>
      </c>
      <c r="I760" s="2" t="s">
        <v>7088</v>
      </c>
      <c r="J760" s="12" t="str">
        <f>VLOOKUP(I760,'Copy of Enriched Data - IPBES G'!$L$2:$L$229,1,false)</f>
        <v>#N/A</v>
      </c>
      <c r="L760" s="2" t="s">
        <v>7089</v>
      </c>
      <c r="M760" s="2" t="s">
        <v>1364</v>
      </c>
      <c r="N760" s="2" t="s">
        <v>1385</v>
      </c>
      <c r="O760" s="2" t="s">
        <v>1386</v>
      </c>
      <c r="AO760" s="2" t="s">
        <v>1368</v>
      </c>
    </row>
    <row r="761" ht="15.75" customHeight="1">
      <c r="A761" s="2" t="s">
        <v>7090</v>
      </c>
      <c r="B761" s="2" t="s">
        <v>1396</v>
      </c>
      <c r="C761" s="2">
        <v>2015.0</v>
      </c>
      <c r="D761" s="2" t="s">
        <v>7091</v>
      </c>
      <c r="E761" s="2" t="s">
        <v>7092</v>
      </c>
      <c r="J761" s="12" t="str">
        <f>VLOOKUP(I761,'Copy of Enriched Data - IPBES G'!$L$2:$L$229,1,false)</f>
        <v>#N/A</v>
      </c>
      <c r="M761" s="2" t="s">
        <v>1373</v>
      </c>
      <c r="N761" s="2" t="s">
        <v>1385</v>
      </c>
      <c r="O761" s="2" t="s">
        <v>1386</v>
      </c>
      <c r="AB761" s="2" t="s">
        <v>7093</v>
      </c>
      <c r="AO761" s="2" t="s">
        <v>1368</v>
      </c>
    </row>
    <row r="762" ht="15.75" customHeight="1">
      <c r="A762" s="2" t="s">
        <v>7094</v>
      </c>
      <c r="B762" s="2" t="s">
        <v>1361</v>
      </c>
      <c r="C762" s="2">
        <v>2011.0</v>
      </c>
      <c r="D762" s="2" t="s">
        <v>7095</v>
      </c>
      <c r="E762" s="2" t="s">
        <v>7096</v>
      </c>
      <c r="F762" s="2" t="s">
        <v>7097</v>
      </c>
      <c r="I762" s="2" t="s">
        <v>7098</v>
      </c>
      <c r="J762" s="12" t="str">
        <f>VLOOKUP(I762,'Copy of Enriched Data - IPBES G'!$L$2:$L$229,1,false)</f>
        <v>#N/A</v>
      </c>
      <c r="L762" s="2" t="s">
        <v>7099</v>
      </c>
      <c r="M762" s="2" t="s">
        <v>1627</v>
      </c>
      <c r="N762" s="2" t="s">
        <v>1385</v>
      </c>
      <c r="O762" s="2" t="s">
        <v>1386</v>
      </c>
      <c r="AO762" s="2" t="s">
        <v>1368</v>
      </c>
    </row>
    <row r="763" ht="15.75" customHeight="1">
      <c r="A763" s="2" t="s">
        <v>7100</v>
      </c>
      <c r="B763" s="2" t="s">
        <v>1361</v>
      </c>
      <c r="C763" s="2">
        <v>2013.0</v>
      </c>
      <c r="D763" s="2" t="s">
        <v>7101</v>
      </c>
      <c r="E763" s="2" t="s">
        <v>7102</v>
      </c>
      <c r="F763" s="2" t="s">
        <v>2665</v>
      </c>
      <c r="H763" s="2" t="s">
        <v>7103</v>
      </c>
      <c r="I763" s="2" t="s">
        <v>7104</v>
      </c>
      <c r="J763" s="12" t="str">
        <f>VLOOKUP(I763,'Copy of Enriched Data - IPBES G'!$L$2:$L$229,1,false)</f>
        <v>#N/A</v>
      </c>
      <c r="L763" s="2" t="s">
        <v>7105</v>
      </c>
      <c r="M763" s="2" t="s">
        <v>1429</v>
      </c>
      <c r="N763" s="2" t="s">
        <v>1385</v>
      </c>
      <c r="O763" s="2" t="s">
        <v>1386</v>
      </c>
      <c r="Q763" s="2" t="s">
        <v>7106</v>
      </c>
      <c r="S763" s="2" t="s">
        <v>1600</v>
      </c>
      <c r="T763" s="2" t="s">
        <v>3211</v>
      </c>
      <c r="AO763" s="2" t="s">
        <v>1368</v>
      </c>
    </row>
    <row r="764" ht="15.75" customHeight="1">
      <c r="A764" s="2" t="s">
        <v>7107</v>
      </c>
      <c r="B764" s="2" t="s">
        <v>1396</v>
      </c>
      <c r="C764" s="2">
        <v>2006.0</v>
      </c>
      <c r="D764" s="2" t="s">
        <v>7108</v>
      </c>
      <c r="E764" s="2" t="s">
        <v>7109</v>
      </c>
      <c r="G764" s="2" t="s">
        <v>7110</v>
      </c>
      <c r="J764" s="12" t="str">
        <f>VLOOKUP(I764,'Copy of Enriched Data - IPBES G'!$L$2:$L$229,1,false)</f>
        <v>#N/A</v>
      </c>
      <c r="L764" s="2" t="s">
        <v>7111</v>
      </c>
      <c r="M764" s="2" t="s">
        <v>1727</v>
      </c>
      <c r="N764" s="2" t="s">
        <v>1385</v>
      </c>
      <c r="O764" s="2" t="s">
        <v>1386</v>
      </c>
      <c r="AO764" s="2" t="s">
        <v>1368</v>
      </c>
    </row>
    <row r="765" ht="15.75" customHeight="1">
      <c r="A765" s="2" t="s">
        <v>7112</v>
      </c>
      <c r="B765" s="2" t="s">
        <v>1396</v>
      </c>
      <c r="C765" s="2">
        <v>2016.0</v>
      </c>
      <c r="D765" s="2" t="s">
        <v>6869</v>
      </c>
      <c r="E765" s="2" t="s">
        <v>7113</v>
      </c>
      <c r="G765" s="2" t="s">
        <v>7114</v>
      </c>
      <c r="J765" s="12" t="str">
        <f>VLOOKUP(I765,'Copy of Enriched Data - IPBES G'!$L$2:$L$229,1,false)</f>
        <v>#N/A</v>
      </c>
      <c r="M765" s="2" t="s">
        <v>7115</v>
      </c>
      <c r="N765" s="2" t="s">
        <v>1385</v>
      </c>
      <c r="O765" s="2" t="s">
        <v>1386</v>
      </c>
      <c r="X765" s="2" t="s">
        <v>7116</v>
      </c>
      <c r="AB765" s="2" t="s">
        <v>7117</v>
      </c>
      <c r="AO765" s="2" t="s">
        <v>1368</v>
      </c>
    </row>
    <row r="766" ht="15.75" customHeight="1">
      <c r="A766" s="2" t="s">
        <v>7118</v>
      </c>
      <c r="B766" s="2" t="s">
        <v>1396</v>
      </c>
      <c r="C766" s="2">
        <v>2006.0</v>
      </c>
      <c r="D766" s="2" t="s">
        <v>6869</v>
      </c>
      <c r="E766" s="2" t="s">
        <v>7119</v>
      </c>
      <c r="J766" s="12" t="str">
        <f>VLOOKUP(I766,'Copy of Enriched Data - IPBES G'!$L$2:$L$229,1,false)</f>
        <v>#N/A</v>
      </c>
      <c r="M766" s="2" t="s">
        <v>1727</v>
      </c>
      <c r="N766" s="2" t="s">
        <v>1385</v>
      </c>
      <c r="O766" s="2" t="s">
        <v>1386</v>
      </c>
      <c r="R766" s="2">
        <v>336.0</v>
      </c>
      <c r="AB766" s="2" t="s">
        <v>7120</v>
      </c>
      <c r="AC766" s="2" t="s">
        <v>7121</v>
      </c>
      <c r="AO766" s="2" t="s">
        <v>1368</v>
      </c>
      <c r="AQ766" s="2" t="s">
        <v>7122</v>
      </c>
      <c r="AR766" s="2" t="s">
        <v>7123</v>
      </c>
    </row>
    <row r="767" ht="15.75" customHeight="1">
      <c r="A767" s="2" t="s">
        <v>7124</v>
      </c>
      <c r="B767" s="2" t="s">
        <v>1396</v>
      </c>
      <c r="C767" s="2">
        <v>2018.0</v>
      </c>
      <c r="D767" s="2" t="s">
        <v>6869</v>
      </c>
      <c r="E767" s="2" t="s">
        <v>7125</v>
      </c>
      <c r="J767" s="12" t="str">
        <f>VLOOKUP(I767,'Copy of Enriched Data - IPBES G'!$L$2:$L$229,1,false)</f>
        <v>#N/A</v>
      </c>
      <c r="K767" s="2" t="s">
        <v>7126</v>
      </c>
      <c r="M767" s="2" t="s">
        <v>1420</v>
      </c>
      <c r="N767" s="2" t="s">
        <v>1385</v>
      </c>
      <c r="O767" s="2" t="s">
        <v>1386</v>
      </c>
      <c r="P767" s="2" t="s">
        <v>4906</v>
      </c>
      <c r="AO767" s="2" t="s">
        <v>1368</v>
      </c>
    </row>
    <row r="768" ht="15.75" customHeight="1">
      <c r="A768" s="2" t="s">
        <v>7127</v>
      </c>
      <c r="B768" s="2" t="s">
        <v>1396</v>
      </c>
      <c r="C768" s="2">
        <v>2018.0</v>
      </c>
      <c r="D768" s="2" t="s">
        <v>6869</v>
      </c>
      <c r="E768" s="2" t="s">
        <v>7128</v>
      </c>
      <c r="J768" s="12" t="str">
        <f>VLOOKUP(I768,'Copy of Enriched Data - IPBES G'!$L$2:$L$229,1,false)</f>
        <v>#N/A</v>
      </c>
      <c r="K768" s="2" t="s">
        <v>7129</v>
      </c>
      <c r="M768" s="2" t="s">
        <v>1420</v>
      </c>
      <c r="N768" s="2" t="s">
        <v>1385</v>
      </c>
      <c r="O768" s="2" t="s">
        <v>1386</v>
      </c>
      <c r="P768" s="2" t="s">
        <v>4906</v>
      </c>
      <c r="AO768" s="2" t="s">
        <v>1368</v>
      </c>
    </row>
    <row r="769" ht="15.75" customHeight="1">
      <c r="A769" s="2" t="s">
        <v>7130</v>
      </c>
      <c r="B769" s="2" t="s">
        <v>1361</v>
      </c>
      <c r="C769" s="2">
        <v>2007.0</v>
      </c>
      <c r="D769" s="2" t="s">
        <v>7131</v>
      </c>
      <c r="E769" s="2" t="s">
        <v>7132</v>
      </c>
      <c r="F769" s="2" t="s">
        <v>2601</v>
      </c>
      <c r="I769" s="2" t="s">
        <v>7133</v>
      </c>
      <c r="J769" s="12" t="str">
        <f>VLOOKUP(I769,'Copy of Enriched Data - IPBES G'!$L$2:$L$229,1,false)</f>
        <v>#N/A</v>
      </c>
      <c r="M769" s="2" t="s">
        <v>2380</v>
      </c>
      <c r="N769" s="2" t="s">
        <v>7134</v>
      </c>
      <c r="O769" s="2" t="s">
        <v>7135</v>
      </c>
      <c r="Q769" s="2" t="s">
        <v>7136</v>
      </c>
      <c r="S769" s="2">
        <v>1.0</v>
      </c>
      <c r="T769" s="2">
        <v>27.0</v>
      </c>
      <c r="AO769" s="2" t="s">
        <v>1368</v>
      </c>
    </row>
    <row r="770" ht="15.75" customHeight="1">
      <c r="A770" s="2" t="s">
        <v>7137</v>
      </c>
      <c r="B770" s="2" t="s">
        <v>1361</v>
      </c>
      <c r="C770" s="2">
        <v>2010.0</v>
      </c>
      <c r="D770" s="2" t="s">
        <v>7138</v>
      </c>
      <c r="E770" s="2" t="s">
        <v>7139</v>
      </c>
      <c r="F770" s="2" t="s">
        <v>1688</v>
      </c>
      <c r="I770" s="2" t="s">
        <v>7140</v>
      </c>
      <c r="J770" s="12" t="str">
        <f>VLOOKUP(I770,'Copy of Enriched Data - IPBES G'!$L$2:$L$229,1,false)</f>
        <v>#N/A</v>
      </c>
      <c r="M770" s="2" t="s">
        <v>1449</v>
      </c>
      <c r="N770" s="2" t="s">
        <v>7141</v>
      </c>
      <c r="O770" s="2" t="s">
        <v>7142</v>
      </c>
      <c r="Q770" s="2" t="s">
        <v>7143</v>
      </c>
      <c r="S770" s="2">
        <v>22.0</v>
      </c>
      <c r="T770" s="2">
        <v>107.0</v>
      </c>
      <c r="AO770" s="2" t="s">
        <v>1368</v>
      </c>
    </row>
    <row r="771" ht="15.75" customHeight="1">
      <c r="A771" s="2" t="s">
        <v>7151</v>
      </c>
      <c r="B771" s="2" t="s">
        <v>1361</v>
      </c>
      <c r="C771" s="2">
        <v>1999.0</v>
      </c>
      <c r="D771" s="2" t="s">
        <v>7152</v>
      </c>
      <c r="E771" s="2" t="s">
        <v>7153</v>
      </c>
      <c r="F771" s="2" t="s">
        <v>7154</v>
      </c>
      <c r="H771" s="2" t="s">
        <v>7155</v>
      </c>
      <c r="I771" s="2" t="s">
        <v>7156</v>
      </c>
      <c r="J771" s="12" t="str">
        <f>VLOOKUP(I771,'Copy of Enriched Data - IPBES G'!$L$2:$L$229,1,false)</f>
        <v>#N/A</v>
      </c>
      <c r="L771" s="2" t="s">
        <v>7157</v>
      </c>
      <c r="M771" s="2" t="s">
        <v>7158</v>
      </c>
      <c r="N771" s="2" t="s">
        <v>7159</v>
      </c>
      <c r="O771" s="2" t="s">
        <v>7160</v>
      </c>
      <c r="Q771" s="2" t="s">
        <v>7161</v>
      </c>
      <c r="S771" s="2">
        <v>1.0</v>
      </c>
      <c r="T771" s="2">
        <v>14.0</v>
      </c>
      <c r="AO771" s="2" t="s">
        <v>1368</v>
      </c>
    </row>
    <row r="772" ht="15.75" customHeight="1">
      <c r="A772" s="2" t="s">
        <v>7162</v>
      </c>
      <c r="B772" s="2" t="s">
        <v>1396</v>
      </c>
      <c r="C772" s="2">
        <v>2000.0</v>
      </c>
      <c r="D772" s="2" t="s">
        <v>7163</v>
      </c>
      <c r="E772" s="2" t="s">
        <v>7164</v>
      </c>
      <c r="J772" s="12" t="str">
        <f>VLOOKUP(I772,'Copy of Enriched Data - IPBES G'!$L$2:$L$229,1,false)</f>
        <v>#N/A</v>
      </c>
      <c r="K772" s="2" t="s">
        <v>7165</v>
      </c>
      <c r="M772" s="2" t="s">
        <v>2429</v>
      </c>
      <c r="N772" s="2" t="s">
        <v>1385</v>
      </c>
      <c r="O772" s="2" t="s">
        <v>1386</v>
      </c>
      <c r="AB772" s="2" t="s">
        <v>7166</v>
      </c>
      <c r="AO772" s="2" t="s">
        <v>1368</v>
      </c>
    </row>
    <row r="773" ht="15.75" customHeight="1">
      <c r="A773" s="2" t="s">
        <v>7167</v>
      </c>
      <c r="B773" s="2" t="s">
        <v>1396</v>
      </c>
      <c r="C773" s="2">
        <v>2007.0</v>
      </c>
      <c r="D773" s="2" t="s">
        <v>7168</v>
      </c>
      <c r="E773" s="2" t="s">
        <v>7169</v>
      </c>
      <c r="J773" s="12" t="str">
        <f>VLOOKUP(I773,'Copy of Enriched Data - IPBES G'!$L$2:$L$229,1,false)</f>
        <v>#N/A</v>
      </c>
      <c r="M773" s="2" t="s">
        <v>2380</v>
      </c>
      <c r="N773" s="2" t="s">
        <v>1385</v>
      </c>
      <c r="O773" s="2" t="s">
        <v>1386</v>
      </c>
      <c r="T773" s="2">
        <v>4117.0</v>
      </c>
      <c r="AB773" s="2" t="s">
        <v>1406</v>
      </c>
      <c r="AO773" s="2" t="s">
        <v>1368</v>
      </c>
    </row>
    <row r="774" ht="15.75" customHeight="1">
      <c r="A774" s="2" t="s">
        <v>7170</v>
      </c>
      <c r="B774" s="2" t="s">
        <v>1361</v>
      </c>
      <c r="C774" s="2">
        <v>2011.0</v>
      </c>
      <c r="D774" s="2" t="s">
        <v>7171</v>
      </c>
      <c r="E774" s="2" t="s">
        <v>7172</v>
      </c>
      <c r="F774" s="2" t="s">
        <v>1789</v>
      </c>
      <c r="H774" s="2" t="s">
        <v>7029</v>
      </c>
      <c r="I774" s="2" t="s">
        <v>7173</v>
      </c>
      <c r="J774" s="12" t="str">
        <f>VLOOKUP(I774,'Copy of Enriched Data - IPBES G'!$L$2:$L$229,1,false)</f>
        <v>#N/A</v>
      </c>
      <c r="M774" s="2" t="s">
        <v>1627</v>
      </c>
      <c r="N774" s="2" t="s">
        <v>1385</v>
      </c>
      <c r="O774" s="2" t="s">
        <v>1386</v>
      </c>
      <c r="Q774" s="2" t="s">
        <v>7174</v>
      </c>
      <c r="S774" s="2">
        <v>3.0</v>
      </c>
      <c r="T774" s="2">
        <v>21.0</v>
      </c>
      <c r="AO774" s="2" t="s">
        <v>1368</v>
      </c>
    </row>
    <row r="775" ht="15.75" customHeight="1">
      <c r="A775" s="2" t="s">
        <v>7175</v>
      </c>
      <c r="B775" s="2" t="s">
        <v>1361</v>
      </c>
      <c r="C775" s="2">
        <v>2011.0</v>
      </c>
      <c r="D775" s="2" t="s">
        <v>7176</v>
      </c>
      <c r="E775" s="2" t="s">
        <v>7177</v>
      </c>
      <c r="F775" s="2" t="s">
        <v>3689</v>
      </c>
      <c r="H775" s="2" t="s">
        <v>3690</v>
      </c>
      <c r="I775" s="2" t="s">
        <v>7178</v>
      </c>
      <c r="J775" s="12" t="str">
        <f>VLOOKUP(I775,'Copy of Enriched Data - IPBES G'!$L$2:$L$229,1,false)</f>
        <v>#N/A</v>
      </c>
      <c r="L775" s="2" t="s">
        <v>7179</v>
      </c>
      <c r="M775" s="2" t="s">
        <v>1627</v>
      </c>
      <c r="N775" s="2" t="s">
        <v>1385</v>
      </c>
      <c r="O775" s="2" t="s">
        <v>1386</v>
      </c>
      <c r="Q775" s="2" t="s">
        <v>7180</v>
      </c>
      <c r="S775" s="2">
        <v>1.0</v>
      </c>
      <c r="T775" s="2">
        <v>3.0</v>
      </c>
      <c r="AO775" s="2" t="s">
        <v>1368</v>
      </c>
    </row>
    <row r="776" ht="15.75" customHeight="1">
      <c r="A776" s="2" t="s">
        <v>7181</v>
      </c>
      <c r="B776" s="2" t="s">
        <v>1396</v>
      </c>
      <c r="C776" s="2">
        <v>2002.0</v>
      </c>
      <c r="D776" s="2" t="s">
        <v>7182</v>
      </c>
      <c r="E776" s="2" t="s">
        <v>7183</v>
      </c>
      <c r="J776" s="12" t="str">
        <f>VLOOKUP(I776,'Copy of Enriched Data - IPBES G'!$L$2:$L$229,1,false)</f>
        <v>#N/A</v>
      </c>
      <c r="M776" s="2" t="s">
        <v>1493</v>
      </c>
      <c r="N776" s="2" t="s">
        <v>1385</v>
      </c>
      <c r="O776" s="2" t="s">
        <v>1386</v>
      </c>
      <c r="AB776" s="2" t="s">
        <v>2187</v>
      </c>
      <c r="AC776" s="2" t="s">
        <v>7184</v>
      </c>
      <c r="AO776" s="2" t="s">
        <v>1368</v>
      </c>
    </row>
    <row r="777" ht="15.75" customHeight="1">
      <c r="A777" s="2" t="s">
        <v>7185</v>
      </c>
      <c r="B777" s="2" t="s">
        <v>1781</v>
      </c>
      <c r="C777" s="2">
        <v>2011.0</v>
      </c>
      <c r="D777" s="2" t="s">
        <v>7186</v>
      </c>
      <c r="E777" s="2" t="s">
        <v>7187</v>
      </c>
      <c r="J777" s="12" t="str">
        <f>VLOOKUP(I777,'Copy of Enriched Data - IPBES G'!$L$2:$L$229,1,false)</f>
        <v>#N/A</v>
      </c>
      <c r="L777" s="2" t="s">
        <v>7188</v>
      </c>
      <c r="M777" s="2" t="s">
        <v>1627</v>
      </c>
      <c r="N777" s="2" t="s">
        <v>1385</v>
      </c>
      <c r="O777" s="2" t="s">
        <v>1386</v>
      </c>
      <c r="AO777" s="2" t="s">
        <v>1368</v>
      </c>
    </row>
    <row r="778" ht="15.75" customHeight="1">
      <c r="A778" s="2" t="s">
        <v>7189</v>
      </c>
      <c r="B778" s="2" t="s">
        <v>1361</v>
      </c>
      <c r="C778" s="2">
        <v>2013.0</v>
      </c>
      <c r="D778" s="2" t="s">
        <v>7190</v>
      </c>
      <c r="E778" s="2" t="s">
        <v>7191</v>
      </c>
      <c r="F778" s="2" t="s">
        <v>2205</v>
      </c>
      <c r="I778" s="2" t="s">
        <v>7192</v>
      </c>
      <c r="J778" s="12" t="str">
        <f>VLOOKUP(I778,'Copy of Enriched Data - IPBES G'!$L$2:$L$229,1,false)</f>
        <v>#N/A</v>
      </c>
      <c r="M778" s="2" t="s">
        <v>1429</v>
      </c>
      <c r="N778" s="2" t="s">
        <v>7193</v>
      </c>
      <c r="O778" s="2" t="s">
        <v>7194</v>
      </c>
      <c r="Q778" s="2" t="s">
        <v>7195</v>
      </c>
      <c r="T778" s="2">
        <v>37.0</v>
      </c>
      <c r="AO778" s="2" t="s">
        <v>1368</v>
      </c>
    </row>
    <row r="779" ht="15.75" customHeight="1">
      <c r="A779" s="2" t="s">
        <v>7196</v>
      </c>
      <c r="B779" s="2" t="s">
        <v>1361</v>
      </c>
      <c r="C779" s="2">
        <v>2015.0</v>
      </c>
      <c r="D779" s="2" t="s">
        <v>7197</v>
      </c>
      <c r="E779" s="2" t="s">
        <v>274</v>
      </c>
      <c r="F779" s="2" t="s">
        <v>1380</v>
      </c>
      <c r="J779" s="12" t="str">
        <f>VLOOKUP(I779,'Copy of Enriched Data - IPBES G'!$L$2:$L$229,1,false)</f>
        <v>#N/A</v>
      </c>
      <c r="K779" s="2" t="s">
        <v>7198</v>
      </c>
      <c r="M779" s="2" t="s">
        <v>5149</v>
      </c>
      <c r="N779" s="2" t="s">
        <v>7199</v>
      </c>
      <c r="O779" s="2" t="s">
        <v>7200</v>
      </c>
      <c r="Q779" s="2" t="s">
        <v>7201</v>
      </c>
      <c r="T779" s="2">
        <v>527.0</v>
      </c>
      <c r="AO779" s="2" t="s">
        <v>1368</v>
      </c>
    </row>
    <row r="780" ht="15.75" customHeight="1">
      <c r="A780" s="2" t="s">
        <v>7206</v>
      </c>
      <c r="B780" s="2" t="s">
        <v>1361</v>
      </c>
      <c r="C780" s="2">
        <v>2002.0</v>
      </c>
      <c r="D780" s="2" t="s">
        <v>7207</v>
      </c>
      <c r="E780" s="2" t="s">
        <v>7208</v>
      </c>
      <c r="F780" s="2" t="s">
        <v>5024</v>
      </c>
      <c r="H780" s="2" t="s">
        <v>6987</v>
      </c>
      <c r="I780" s="2" t="s">
        <v>7209</v>
      </c>
      <c r="J780" s="12" t="str">
        <f>VLOOKUP(I780,'Copy of Enriched Data - IPBES G'!$L$2:$L$229,1,false)</f>
        <v>#N/A</v>
      </c>
      <c r="K780" s="2" t="s">
        <v>7210</v>
      </c>
      <c r="L780" s="2" t="s">
        <v>7211</v>
      </c>
      <c r="M780" s="2" t="s">
        <v>7212</v>
      </c>
      <c r="N780" s="2" t="s">
        <v>7213</v>
      </c>
      <c r="O780" s="2" t="s">
        <v>7214</v>
      </c>
      <c r="Q780" s="2" t="s">
        <v>7215</v>
      </c>
      <c r="S780" s="2">
        <v>4.0</v>
      </c>
      <c r="T780" s="2">
        <v>30.0</v>
      </c>
      <c r="AO780" s="2" t="s">
        <v>1621</v>
      </c>
    </row>
    <row r="781" ht="15.75" customHeight="1">
      <c r="A781" s="2" t="s">
        <v>7216</v>
      </c>
      <c r="B781" s="2" t="s">
        <v>1361</v>
      </c>
      <c r="C781" s="2">
        <v>2017.0</v>
      </c>
      <c r="D781" s="2" t="s">
        <v>7217</v>
      </c>
      <c r="E781" s="2" t="s">
        <v>7218</v>
      </c>
      <c r="F781" s="2" t="s">
        <v>3295</v>
      </c>
      <c r="H781" s="2" t="s">
        <v>3296</v>
      </c>
      <c r="I781" s="2" t="s">
        <v>7219</v>
      </c>
      <c r="J781" s="12" t="str">
        <f>VLOOKUP(I781,'Copy of Enriched Data - IPBES G'!$L$2:$L$229,1,false)</f>
        <v>#N/A</v>
      </c>
      <c r="L781" s="2" t="s">
        <v>7220</v>
      </c>
      <c r="M781" s="2" t="s">
        <v>1658</v>
      </c>
      <c r="N781" s="2" t="s">
        <v>1385</v>
      </c>
      <c r="O781" s="2" t="s">
        <v>1386</v>
      </c>
      <c r="Q781" s="2" t="s">
        <v>7221</v>
      </c>
      <c r="S781" s="2">
        <v>1.0</v>
      </c>
      <c r="T781" s="2">
        <v>10.0</v>
      </c>
      <c r="AK781" s="2" t="s">
        <v>7222</v>
      </c>
      <c r="AO781" s="2" t="s">
        <v>1368</v>
      </c>
    </row>
    <row r="782" ht="15.75" customHeight="1">
      <c r="A782" s="2" t="s">
        <v>7223</v>
      </c>
      <c r="B782" s="2" t="s">
        <v>1361</v>
      </c>
      <c r="C782" s="2">
        <v>2010.0</v>
      </c>
      <c r="D782" s="2" t="s">
        <v>7224</v>
      </c>
      <c r="E782" s="2" t="s">
        <v>7225</v>
      </c>
      <c r="F782" s="2" t="s">
        <v>2709</v>
      </c>
      <c r="H782" s="2" t="s">
        <v>7226</v>
      </c>
      <c r="I782" s="2" t="s">
        <v>7227</v>
      </c>
      <c r="J782" s="12" t="str">
        <f>VLOOKUP(I782,'Copy of Enriched Data - IPBES G'!$L$2:$L$229,1,false)</f>
        <v>#N/A</v>
      </c>
      <c r="K782" s="2" t="s">
        <v>7228</v>
      </c>
      <c r="L782" s="2" t="s">
        <v>7229</v>
      </c>
      <c r="M782" s="2" t="s">
        <v>1835</v>
      </c>
      <c r="N782" s="2" t="s">
        <v>1385</v>
      </c>
      <c r="O782" s="2" t="s">
        <v>1386</v>
      </c>
      <c r="Q782" s="2" t="s">
        <v>7230</v>
      </c>
      <c r="S782" s="2">
        <v>3.0</v>
      </c>
      <c r="T782" s="2">
        <v>32.0</v>
      </c>
      <c r="AO782" s="2" t="s">
        <v>1368</v>
      </c>
    </row>
    <row r="783" ht="15.75" customHeight="1">
      <c r="A783" s="2" t="s">
        <v>7231</v>
      </c>
      <c r="B783" s="2" t="s">
        <v>2986</v>
      </c>
      <c r="C783" s="2">
        <v>2016.0</v>
      </c>
      <c r="D783" s="2" t="s">
        <v>7232</v>
      </c>
      <c r="E783" s="2" t="s">
        <v>7233</v>
      </c>
      <c r="J783" s="12" t="str">
        <f>VLOOKUP(I783,'Copy of Enriched Data - IPBES G'!$L$2:$L$229,1,false)</f>
        <v>#N/A</v>
      </c>
      <c r="K783" s="2" t="s">
        <v>7234</v>
      </c>
      <c r="M783" s="2" t="s">
        <v>7235</v>
      </c>
      <c r="N783" s="2" t="s">
        <v>1385</v>
      </c>
      <c r="O783" s="2" t="s">
        <v>1386</v>
      </c>
      <c r="P783" s="2" t="s">
        <v>7236</v>
      </c>
      <c r="AO783" s="2" t="s">
        <v>1368</v>
      </c>
    </row>
    <row r="784" ht="15.75" customHeight="1">
      <c r="A784" s="2" t="s">
        <v>7237</v>
      </c>
      <c r="B784" s="2" t="s">
        <v>1361</v>
      </c>
      <c r="C784" s="2">
        <v>2007.0</v>
      </c>
      <c r="D784" s="2" t="s">
        <v>7238</v>
      </c>
      <c r="E784" s="2" t="s">
        <v>7239</v>
      </c>
      <c r="F784" s="2" t="s">
        <v>7240</v>
      </c>
      <c r="H784" s="2" t="s">
        <v>7241</v>
      </c>
      <c r="I784" s="2" t="s">
        <v>7242</v>
      </c>
      <c r="J784" s="12" t="str">
        <f>VLOOKUP(I784,'Copy of Enriched Data - IPBES G'!$L$2:$L$229,1,false)</f>
        <v>#N/A</v>
      </c>
      <c r="L784" s="2" t="s">
        <v>7243</v>
      </c>
      <c r="M784" s="2" t="s">
        <v>2380</v>
      </c>
      <c r="N784" s="2" t="s">
        <v>1385</v>
      </c>
      <c r="O784" s="2" t="s">
        <v>1386</v>
      </c>
      <c r="AO784" s="2" t="s">
        <v>1368</v>
      </c>
    </row>
    <row r="785" ht="15.75" customHeight="1">
      <c r="A785" s="2" t="s">
        <v>7244</v>
      </c>
      <c r="B785" s="2" t="s">
        <v>1396</v>
      </c>
      <c r="C785" s="2">
        <v>2000.0</v>
      </c>
      <c r="D785" s="2" t="s">
        <v>7245</v>
      </c>
      <c r="E785" s="2" t="s">
        <v>7246</v>
      </c>
      <c r="G785" s="2" t="s">
        <v>7247</v>
      </c>
      <c r="J785" s="12" t="str">
        <f>VLOOKUP(I785,'Copy of Enriched Data - IPBES G'!$L$2:$L$229,1,false)</f>
        <v>#N/A</v>
      </c>
      <c r="L785" s="2" t="s">
        <v>7248</v>
      </c>
      <c r="M785" s="2" t="s">
        <v>2429</v>
      </c>
      <c r="N785" s="2" t="s">
        <v>1385</v>
      </c>
      <c r="O785" s="2" t="s">
        <v>1386</v>
      </c>
      <c r="R785" s="2">
        <v>234.0</v>
      </c>
      <c r="AB785" s="2" t="s">
        <v>7249</v>
      </c>
      <c r="AO785" s="2" t="s">
        <v>1368</v>
      </c>
    </row>
    <row r="786" ht="15.75" customHeight="1">
      <c r="A786" s="2" t="s">
        <v>7250</v>
      </c>
      <c r="B786" s="2" t="s">
        <v>1361</v>
      </c>
      <c r="C786" s="2">
        <v>2010.0</v>
      </c>
      <c r="D786" s="2" t="s">
        <v>7251</v>
      </c>
      <c r="E786" s="2" t="s">
        <v>7252</v>
      </c>
      <c r="F786" s="2" t="s">
        <v>7253</v>
      </c>
      <c r="H786" s="2" t="s">
        <v>3248</v>
      </c>
      <c r="I786" s="2" t="s">
        <v>7254</v>
      </c>
      <c r="J786" s="12" t="str">
        <f>VLOOKUP(I786,'Copy of Enriched Data - IPBES G'!$L$2:$L$229,1,false)</f>
        <v>#N/A</v>
      </c>
      <c r="K786" s="2" t="s">
        <v>7255</v>
      </c>
      <c r="L786" s="2" t="s">
        <v>7256</v>
      </c>
      <c r="M786" s="2" t="s">
        <v>1449</v>
      </c>
      <c r="N786" s="2" t="s">
        <v>1385</v>
      </c>
      <c r="O786" s="2" t="s">
        <v>1386</v>
      </c>
      <c r="Q786" s="2" t="s">
        <v>7257</v>
      </c>
      <c r="S786" s="2">
        <v>26.0</v>
      </c>
      <c r="T786" s="2">
        <v>107.0</v>
      </c>
      <c r="AO786" s="2" t="s">
        <v>1368</v>
      </c>
    </row>
    <row r="787" ht="15.75" customHeight="1">
      <c r="A787" s="2" t="s">
        <v>7258</v>
      </c>
      <c r="B787" s="2" t="s">
        <v>1361</v>
      </c>
      <c r="C787" s="2">
        <v>2013.0</v>
      </c>
      <c r="D787" s="2" t="s">
        <v>7259</v>
      </c>
      <c r="E787" s="2" t="s">
        <v>7260</v>
      </c>
      <c r="F787" s="2" t="s">
        <v>2350</v>
      </c>
      <c r="I787" s="2" t="s">
        <v>7261</v>
      </c>
      <c r="J787" s="12" t="str">
        <f>VLOOKUP(I787,'Copy of Enriched Data - IPBES G'!$L$2:$L$229,1,false)</f>
        <v>#N/A</v>
      </c>
      <c r="M787" s="2" t="s">
        <v>1429</v>
      </c>
      <c r="N787" s="2" t="s">
        <v>7262</v>
      </c>
      <c r="O787" s="2" t="s">
        <v>7263</v>
      </c>
      <c r="Q787" s="2" t="s">
        <v>7264</v>
      </c>
      <c r="T787" s="2">
        <v>24.0</v>
      </c>
      <c r="AO787" s="2" t="s">
        <v>1368</v>
      </c>
    </row>
    <row r="788" ht="15.75" customHeight="1">
      <c r="A788" s="2" t="s">
        <v>7265</v>
      </c>
      <c r="B788" s="2" t="s">
        <v>1361</v>
      </c>
      <c r="C788" s="2">
        <v>2016.0</v>
      </c>
      <c r="D788" s="2" t="s">
        <v>7266</v>
      </c>
      <c r="E788" s="2" t="s">
        <v>7267</v>
      </c>
      <c r="F788" s="2" t="s">
        <v>1438</v>
      </c>
      <c r="I788" s="2" t="s">
        <v>7268</v>
      </c>
      <c r="J788" s="12" t="str">
        <f>VLOOKUP(I788,'Copy of Enriched Data - IPBES G'!$L$2:$L$229,1,false)</f>
        <v>#N/A</v>
      </c>
      <c r="M788" s="2" t="s">
        <v>1502</v>
      </c>
      <c r="N788" s="2" t="s">
        <v>5857</v>
      </c>
      <c r="O788" s="2" t="s">
        <v>5858</v>
      </c>
      <c r="Q788" s="2" t="s">
        <v>7269</v>
      </c>
      <c r="S788" s="2">
        <v>11.0</v>
      </c>
      <c r="T788" s="2">
        <v>11.0</v>
      </c>
      <c r="AO788" s="2" t="s">
        <v>1368</v>
      </c>
    </row>
    <row r="789" ht="15.75" customHeight="1">
      <c r="A789" s="2" t="s">
        <v>7270</v>
      </c>
      <c r="B789" s="2" t="s">
        <v>1361</v>
      </c>
      <c r="C789" s="2">
        <v>2016.0</v>
      </c>
      <c r="D789" s="2" t="s">
        <v>7271</v>
      </c>
      <c r="E789" s="2" t="s">
        <v>7272</v>
      </c>
      <c r="F789" s="2" t="s">
        <v>1789</v>
      </c>
      <c r="H789" s="2" t="s">
        <v>1790</v>
      </c>
      <c r="I789" s="2" t="s">
        <v>7273</v>
      </c>
      <c r="J789" s="12" t="str">
        <f>VLOOKUP(I789,'Copy of Enriched Data - IPBES G'!$L$2:$L$229,1,false)</f>
        <v>#N/A</v>
      </c>
      <c r="K789" s="2" t="s">
        <v>7274</v>
      </c>
      <c r="M789" s="2" t="s">
        <v>7275</v>
      </c>
      <c r="N789" s="2" t="s">
        <v>7276</v>
      </c>
      <c r="O789" s="2" t="s">
        <v>7277</v>
      </c>
      <c r="P789" s="2" t="s">
        <v>7278</v>
      </c>
      <c r="Q789" s="2" t="s">
        <v>7279</v>
      </c>
      <c r="T789" s="2">
        <v>39.0</v>
      </c>
      <c r="V789" s="2" t="s">
        <v>1789</v>
      </c>
      <c r="AD789" s="2" t="s">
        <v>1540</v>
      </c>
      <c r="AI789" s="2" t="s">
        <v>1541</v>
      </c>
      <c r="AO789" s="2" t="s">
        <v>1885</v>
      </c>
    </row>
    <row r="790" ht="15.75" customHeight="1">
      <c r="A790" s="2" t="s">
        <v>7280</v>
      </c>
      <c r="B790" s="2" t="s">
        <v>1361</v>
      </c>
      <c r="C790" s="2">
        <v>2011.0</v>
      </c>
      <c r="D790" s="2" t="s">
        <v>7281</v>
      </c>
      <c r="E790" s="2" t="s">
        <v>7282</v>
      </c>
      <c r="F790" s="2" t="s">
        <v>7283</v>
      </c>
      <c r="I790" s="2" t="s">
        <v>7284</v>
      </c>
      <c r="J790" s="12" t="str">
        <f>VLOOKUP(I790,'Copy of Enriched Data - IPBES G'!$L$2:$L$229,1,false)</f>
        <v>#N/A</v>
      </c>
      <c r="L790" s="2" t="s">
        <v>7285</v>
      </c>
      <c r="M790" s="2" t="s">
        <v>1627</v>
      </c>
      <c r="N790" s="2" t="s">
        <v>1385</v>
      </c>
      <c r="O790" s="2" t="s">
        <v>1386</v>
      </c>
      <c r="AO790" s="2" t="s">
        <v>2244</v>
      </c>
    </row>
    <row r="791" ht="15.75" customHeight="1">
      <c r="A791" s="2" t="s">
        <v>7286</v>
      </c>
      <c r="B791" s="2" t="s">
        <v>1361</v>
      </c>
      <c r="C791" s="2">
        <v>2010.0</v>
      </c>
      <c r="D791" s="2" t="s">
        <v>7287</v>
      </c>
      <c r="E791" s="2" t="s">
        <v>7288</v>
      </c>
      <c r="F791" s="2" t="s">
        <v>1363</v>
      </c>
      <c r="H791" s="2" t="s">
        <v>1775</v>
      </c>
      <c r="I791" s="2" t="s">
        <v>7289</v>
      </c>
      <c r="J791" s="12" t="str">
        <f>VLOOKUP(I791,'Copy of Enriched Data - IPBES G'!$L$2:$L$229,1,false)</f>
        <v>#N/A</v>
      </c>
      <c r="K791" s="2" t="s">
        <v>7290</v>
      </c>
      <c r="M791" s="2" t="s">
        <v>7291</v>
      </c>
      <c r="N791" s="2" t="s">
        <v>1385</v>
      </c>
      <c r="O791" s="2" t="s">
        <v>1386</v>
      </c>
      <c r="Q791" s="2" t="s">
        <v>7292</v>
      </c>
      <c r="S791" s="2">
        <v>1554.0</v>
      </c>
      <c r="T791" s="2">
        <v>365.0</v>
      </c>
      <c r="AO791" s="2" t="s">
        <v>2244</v>
      </c>
    </row>
    <row r="792" ht="15.75" customHeight="1">
      <c r="A792" s="2" t="s">
        <v>7293</v>
      </c>
      <c r="B792" s="2" t="s">
        <v>1361</v>
      </c>
      <c r="C792" s="2">
        <v>2016.0</v>
      </c>
      <c r="D792" s="2" t="s">
        <v>7294</v>
      </c>
      <c r="E792" s="2" t="s">
        <v>7295</v>
      </c>
      <c r="F792" s="2" t="s">
        <v>7296</v>
      </c>
      <c r="H792" s="2" t="s">
        <v>7297</v>
      </c>
      <c r="I792" s="2" t="s">
        <v>7298</v>
      </c>
      <c r="J792" s="12" t="str">
        <f>VLOOKUP(I792,'Copy of Enriched Data - IPBES G'!$L$2:$L$229,1,false)</f>
        <v>#N/A</v>
      </c>
      <c r="L792" s="2" t="s">
        <v>7299</v>
      </c>
      <c r="M792" s="2" t="s">
        <v>1502</v>
      </c>
      <c r="N792" s="2" t="s">
        <v>1385</v>
      </c>
      <c r="O792" s="2" t="s">
        <v>1386</v>
      </c>
      <c r="AO792" s="2" t="s">
        <v>1368</v>
      </c>
    </row>
    <row r="793" ht="15.75" customHeight="1">
      <c r="A793" s="2" t="s">
        <v>7300</v>
      </c>
      <c r="B793" s="2" t="s">
        <v>1361</v>
      </c>
      <c r="C793" s="2">
        <v>2012.0</v>
      </c>
      <c r="D793" s="2" t="s">
        <v>7301</v>
      </c>
      <c r="E793" s="2" t="s">
        <v>7302</v>
      </c>
      <c r="F793" s="2" t="s">
        <v>7303</v>
      </c>
      <c r="H793" s="2" t="s">
        <v>7304</v>
      </c>
      <c r="I793" s="2" t="s">
        <v>7305</v>
      </c>
      <c r="J793" s="12" t="str">
        <f>VLOOKUP(I793,'Copy of Enriched Data - IPBES G'!$L$2:$L$229,1,false)</f>
        <v>#N/A</v>
      </c>
      <c r="K793" s="2" t="s">
        <v>7306</v>
      </c>
      <c r="L793" s="2" t="s">
        <v>7307</v>
      </c>
      <c r="M793" s="2" t="s">
        <v>7308</v>
      </c>
      <c r="N793" s="2" t="s">
        <v>1385</v>
      </c>
      <c r="O793" s="2" t="s">
        <v>1386</v>
      </c>
      <c r="Q793" s="2" t="s">
        <v>7309</v>
      </c>
      <c r="S793" s="2">
        <v>1.0</v>
      </c>
      <c r="T793" s="2">
        <v>12.0</v>
      </c>
      <c r="AO793" s="2" t="s">
        <v>1368</v>
      </c>
    </row>
    <row r="794" ht="15.75" customHeight="1">
      <c r="A794" s="2" t="s">
        <v>7310</v>
      </c>
      <c r="B794" s="2" t="s">
        <v>1361</v>
      </c>
      <c r="C794" s="2">
        <v>2009.0</v>
      </c>
      <c r="D794" s="2" t="s">
        <v>7311</v>
      </c>
      <c r="E794" s="2" t="s">
        <v>7312</v>
      </c>
      <c r="F794" s="2" t="s">
        <v>4086</v>
      </c>
      <c r="H794" s="2" t="s">
        <v>7313</v>
      </c>
      <c r="I794" s="2" t="s">
        <v>7314</v>
      </c>
      <c r="J794" s="12" t="str">
        <f>VLOOKUP(I794,'Copy of Enriched Data - IPBES G'!$L$2:$L$229,1,false)</f>
        <v>#N/A</v>
      </c>
      <c r="L794" s="2" t="s">
        <v>7315</v>
      </c>
      <c r="M794" s="2" t="s">
        <v>1364</v>
      </c>
      <c r="N794" s="2" t="s">
        <v>1385</v>
      </c>
      <c r="O794" s="2" t="s">
        <v>1386</v>
      </c>
      <c r="AO794" s="2" t="s">
        <v>1368</v>
      </c>
    </row>
    <row r="795" ht="15.75" customHeight="1">
      <c r="A795" s="2" t="s">
        <v>7316</v>
      </c>
      <c r="B795" s="2" t="s">
        <v>1396</v>
      </c>
      <c r="C795" s="2">
        <v>1995.0</v>
      </c>
      <c r="D795" s="2" t="s">
        <v>7317</v>
      </c>
      <c r="E795" s="2" t="s">
        <v>7318</v>
      </c>
      <c r="J795" s="12" t="str">
        <f>VLOOKUP(I795,'Copy of Enriched Data - IPBES G'!$L$2:$L$229,1,false)</f>
        <v>#N/A</v>
      </c>
      <c r="M795" s="2" t="s">
        <v>2089</v>
      </c>
      <c r="N795" s="2" t="s">
        <v>1385</v>
      </c>
      <c r="O795" s="2" t="s">
        <v>1386</v>
      </c>
      <c r="R795" s="2" t="s">
        <v>7319</v>
      </c>
      <c r="T795" s="2">
        <v>85.0</v>
      </c>
      <c r="Y795" s="2">
        <v>4.0</v>
      </c>
      <c r="AB795" s="2" t="s">
        <v>7320</v>
      </c>
      <c r="AC795" s="2" t="s">
        <v>7321</v>
      </c>
      <c r="AO795" s="2" t="s">
        <v>1368</v>
      </c>
    </row>
    <row r="796" ht="15.75" customHeight="1">
      <c r="A796" s="2" t="s">
        <v>7322</v>
      </c>
      <c r="B796" s="2" t="s">
        <v>1361</v>
      </c>
      <c r="C796" s="2">
        <v>2002.0</v>
      </c>
      <c r="D796" s="2" t="s">
        <v>7323</v>
      </c>
      <c r="E796" s="2" t="s">
        <v>7324</v>
      </c>
      <c r="F796" s="2" t="s">
        <v>1474</v>
      </c>
      <c r="H796" s="2" t="s">
        <v>6401</v>
      </c>
      <c r="I796" s="2" t="s">
        <v>7325</v>
      </c>
      <c r="J796" s="12" t="str">
        <f>VLOOKUP(I796,'Copy of Enriched Data - IPBES G'!$L$2:$L$229,1,false)</f>
        <v>#N/A</v>
      </c>
      <c r="K796" s="2" t="s">
        <v>7326</v>
      </c>
      <c r="L796" s="2" t="s">
        <v>7327</v>
      </c>
      <c r="M796" s="2" t="s">
        <v>7328</v>
      </c>
      <c r="N796" s="2" t="s">
        <v>1385</v>
      </c>
      <c r="O796" s="2" t="s">
        <v>1386</v>
      </c>
      <c r="Q796" s="2" t="s">
        <v>7329</v>
      </c>
      <c r="S796" s="2">
        <v>4.0</v>
      </c>
      <c r="T796" s="2">
        <v>92.0</v>
      </c>
      <c r="AO796" s="2" t="s">
        <v>1368</v>
      </c>
    </row>
    <row r="797" ht="15.75" customHeight="1">
      <c r="A797" s="2" t="s">
        <v>7330</v>
      </c>
      <c r="B797" s="2" t="s">
        <v>1361</v>
      </c>
      <c r="C797" s="2">
        <v>2015.0</v>
      </c>
      <c r="D797" s="2" t="s">
        <v>7331</v>
      </c>
      <c r="E797" s="2" t="s">
        <v>7332</v>
      </c>
      <c r="F797" s="2" t="s">
        <v>3295</v>
      </c>
      <c r="H797" s="2" t="s">
        <v>3296</v>
      </c>
      <c r="I797" s="2" t="s">
        <v>7333</v>
      </c>
      <c r="J797" s="12" t="str">
        <f>VLOOKUP(I797,'Copy of Enriched Data - IPBES G'!$L$2:$L$229,1,false)</f>
        <v>#N/A</v>
      </c>
      <c r="K797" s="2" t="s">
        <v>7334</v>
      </c>
      <c r="M797" s="2" t="s">
        <v>5974</v>
      </c>
      <c r="N797" s="2" t="s">
        <v>7335</v>
      </c>
      <c r="O797" s="2" t="s">
        <v>7336</v>
      </c>
      <c r="P797" s="2" t="s">
        <v>7337</v>
      </c>
      <c r="Q797" s="2" t="s">
        <v>7338</v>
      </c>
      <c r="S797" s="2" t="s">
        <v>1462</v>
      </c>
      <c r="T797" s="2">
        <v>8.0</v>
      </c>
      <c r="V797" s="2" t="s">
        <v>3295</v>
      </c>
      <c r="W797" s="2" t="s">
        <v>7339</v>
      </c>
      <c r="AD797" s="2" t="s">
        <v>1540</v>
      </c>
      <c r="AI797" s="2" t="s">
        <v>1541</v>
      </c>
      <c r="AO797" s="2" t="s">
        <v>1872</v>
      </c>
    </row>
    <row r="798" ht="15.75" customHeight="1">
      <c r="A798" s="2" t="s">
        <v>7340</v>
      </c>
      <c r="B798" s="2" t="s">
        <v>1361</v>
      </c>
      <c r="C798" s="2">
        <v>2007.0</v>
      </c>
      <c r="D798" s="2" t="s">
        <v>7341</v>
      </c>
      <c r="E798" s="2" t="s">
        <v>7342</v>
      </c>
      <c r="F798" s="2" t="s">
        <v>7343</v>
      </c>
      <c r="I798" s="2" t="s">
        <v>7344</v>
      </c>
      <c r="J798" s="12" t="str">
        <f>VLOOKUP(I798,'Copy of Enriched Data - IPBES G'!$L$2:$L$229,1,false)</f>
        <v>#N/A</v>
      </c>
      <c r="M798" s="2" t="s">
        <v>2380</v>
      </c>
      <c r="N798" s="2" t="s">
        <v>7345</v>
      </c>
      <c r="O798" s="2" t="s">
        <v>7346</v>
      </c>
      <c r="Q798" s="2" t="s">
        <v>7347</v>
      </c>
      <c r="S798" s="2" t="s">
        <v>1506</v>
      </c>
      <c r="T798" s="2">
        <v>12.0</v>
      </c>
      <c r="AO798" s="2" t="s">
        <v>1368</v>
      </c>
    </row>
    <row r="799" ht="15.75" customHeight="1">
      <c r="A799" s="2" t="s">
        <v>7348</v>
      </c>
      <c r="B799" s="2" t="s">
        <v>1361</v>
      </c>
      <c r="C799" s="2">
        <v>2014.0</v>
      </c>
      <c r="D799" s="2" t="s">
        <v>7349</v>
      </c>
      <c r="E799" s="2" t="s">
        <v>7350</v>
      </c>
      <c r="F799" s="2" t="s">
        <v>7351</v>
      </c>
      <c r="J799" s="12" t="str">
        <f>VLOOKUP(I799,'Copy of Enriched Data - IPBES G'!$L$2:$L$229,1,false)</f>
        <v>#N/A</v>
      </c>
      <c r="M799" s="2" t="s">
        <v>1476</v>
      </c>
      <c r="N799" s="2" t="s">
        <v>7352</v>
      </c>
      <c r="O799" s="2" t="s">
        <v>7353</v>
      </c>
      <c r="Q799" s="2" t="s">
        <v>7354</v>
      </c>
      <c r="T799" s="2">
        <v>38.0</v>
      </c>
      <c r="AO799" s="2" t="s">
        <v>1368</v>
      </c>
    </row>
    <row r="800" ht="15.75" customHeight="1">
      <c r="A800" s="2" t="s">
        <v>7355</v>
      </c>
      <c r="B800" s="2" t="s">
        <v>1361</v>
      </c>
      <c r="C800" s="2">
        <v>2012.0</v>
      </c>
      <c r="D800" s="2" t="s">
        <v>7356</v>
      </c>
      <c r="E800" s="2" t="s">
        <v>7357</v>
      </c>
      <c r="F800" s="2" t="s">
        <v>1760</v>
      </c>
      <c r="I800" s="2" t="s">
        <v>7358</v>
      </c>
      <c r="J800" s="12" t="str">
        <f>VLOOKUP(I800,'Copy of Enriched Data - IPBES G'!$L$2:$L$229,1,false)</f>
        <v>#N/A</v>
      </c>
      <c r="M800" s="2" t="s">
        <v>1405</v>
      </c>
      <c r="N800" s="2" t="s">
        <v>7359</v>
      </c>
      <c r="O800" s="2" t="s">
        <v>7360</v>
      </c>
      <c r="Q800" s="2" t="s">
        <v>7361</v>
      </c>
      <c r="T800" s="2">
        <v>73.0</v>
      </c>
      <c r="AO800" s="2" t="s">
        <v>1368</v>
      </c>
    </row>
    <row r="801" ht="15.75" customHeight="1">
      <c r="A801" s="2" t="s">
        <v>7362</v>
      </c>
      <c r="B801" s="2" t="s">
        <v>1361</v>
      </c>
      <c r="C801" s="2">
        <v>2008.0</v>
      </c>
      <c r="D801" s="2" t="s">
        <v>7363</v>
      </c>
      <c r="E801" s="2" t="s">
        <v>7364</v>
      </c>
      <c r="F801" s="2" t="s">
        <v>2549</v>
      </c>
      <c r="H801" s="2" t="s">
        <v>2925</v>
      </c>
      <c r="I801" s="2" t="s">
        <v>7365</v>
      </c>
      <c r="J801" s="12" t="str">
        <f>VLOOKUP(I801,'Copy of Enriched Data - IPBES G'!$L$2:$L$229,1,false)</f>
        <v>#N/A</v>
      </c>
      <c r="L801" s="2" t="s">
        <v>7366</v>
      </c>
      <c r="M801" s="2" t="s">
        <v>1458</v>
      </c>
      <c r="N801" s="2" t="s">
        <v>7367</v>
      </c>
      <c r="O801" s="2" t="s">
        <v>7368</v>
      </c>
      <c r="S801" s="2" t="s">
        <v>1453</v>
      </c>
      <c r="T801" s="2">
        <v>13.0</v>
      </c>
      <c r="AO801" s="2" t="s">
        <v>1368</v>
      </c>
    </row>
    <row r="802" ht="15.75" customHeight="1">
      <c r="A802" s="2" t="s">
        <v>7369</v>
      </c>
      <c r="B802" s="2" t="s">
        <v>1361</v>
      </c>
      <c r="C802" s="2">
        <v>2014.0</v>
      </c>
      <c r="D802" s="2" t="s">
        <v>7370</v>
      </c>
      <c r="E802" s="2" t="s">
        <v>7371</v>
      </c>
      <c r="F802" s="2" t="s">
        <v>7372</v>
      </c>
      <c r="I802" s="2" t="s">
        <v>7373</v>
      </c>
      <c r="J802" s="12" t="str">
        <f>VLOOKUP(I802,'Copy of Enriched Data - IPBES G'!$L$2:$L$229,1,false)</f>
        <v>#N/A</v>
      </c>
      <c r="M802" s="2" t="s">
        <v>1476</v>
      </c>
      <c r="N802" s="2" t="s">
        <v>7374</v>
      </c>
      <c r="O802" s="2" t="s">
        <v>7375</v>
      </c>
      <c r="Q802" s="2" t="s">
        <v>7376</v>
      </c>
      <c r="S802" s="2" t="s">
        <v>1600</v>
      </c>
      <c r="T802" s="2">
        <v>20.0</v>
      </c>
      <c r="AO802" s="2" t="s">
        <v>1368</v>
      </c>
    </row>
    <row r="803" ht="15.75" customHeight="1">
      <c r="A803" s="2" t="s">
        <v>7377</v>
      </c>
      <c r="B803" s="2" t="s">
        <v>1361</v>
      </c>
      <c r="C803" s="2">
        <v>1995.0</v>
      </c>
      <c r="D803" s="2" t="s">
        <v>7378</v>
      </c>
      <c r="E803" s="2" t="s">
        <v>7379</v>
      </c>
      <c r="F803" s="2" t="s">
        <v>5909</v>
      </c>
      <c r="I803" s="2" t="s">
        <v>7380</v>
      </c>
      <c r="J803" s="12" t="str">
        <f>VLOOKUP(I803,'Copy of Enriched Data - IPBES G'!$L$2:$L$229,1,false)</f>
        <v>#N/A</v>
      </c>
      <c r="L803" s="2" t="s">
        <v>7381</v>
      </c>
      <c r="M803" s="2" t="s">
        <v>2089</v>
      </c>
      <c r="N803" s="2" t="s">
        <v>7382</v>
      </c>
      <c r="O803" s="2" t="s">
        <v>7383</v>
      </c>
      <c r="AO803" s="2" t="s">
        <v>1368</v>
      </c>
    </row>
    <row r="804" ht="15.75" customHeight="1">
      <c r="A804" s="2" t="s">
        <v>7384</v>
      </c>
      <c r="B804" s="2" t="s">
        <v>1361</v>
      </c>
      <c r="C804" s="2">
        <v>2002.0</v>
      </c>
      <c r="D804" s="2" t="s">
        <v>7385</v>
      </c>
      <c r="E804" s="2" t="s">
        <v>7386</v>
      </c>
      <c r="F804" s="2" t="s">
        <v>1500</v>
      </c>
      <c r="J804" s="12" t="str">
        <f>VLOOKUP(I804,'Copy of Enriched Data - IPBES G'!$L$2:$L$229,1,false)</f>
        <v>#N/A</v>
      </c>
      <c r="L804" s="2" t="s">
        <v>7387</v>
      </c>
      <c r="M804" s="2" t="s">
        <v>1493</v>
      </c>
      <c r="N804" s="2" t="s">
        <v>7388</v>
      </c>
      <c r="O804" s="2" t="s">
        <v>7389</v>
      </c>
      <c r="Q804" s="2" t="s">
        <v>7390</v>
      </c>
      <c r="T804" s="2">
        <v>21.0</v>
      </c>
      <c r="AO804" s="2" t="s">
        <v>1368</v>
      </c>
    </row>
    <row r="805" ht="15.75" customHeight="1">
      <c r="A805" s="2" t="s">
        <v>7391</v>
      </c>
      <c r="B805" s="2" t="s">
        <v>1361</v>
      </c>
      <c r="C805" s="2">
        <v>2017.0</v>
      </c>
      <c r="D805" s="2" t="s">
        <v>7392</v>
      </c>
      <c r="E805" s="2" t="s">
        <v>7393</v>
      </c>
      <c r="F805" s="2" t="s">
        <v>7394</v>
      </c>
      <c r="J805" s="12" t="str">
        <f>VLOOKUP(I805,'Copy of Enriched Data - IPBES G'!$L$2:$L$229,1,false)</f>
        <v>#N/A</v>
      </c>
      <c r="M805" s="2" t="s">
        <v>1658</v>
      </c>
      <c r="N805" s="2" t="s">
        <v>7395</v>
      </c>
      <c r="O805" s="2" t="s">
        <v>7396</v>
      </c>
      <c r="Q805" s="2" t="s">
        <v>7397</v>
      </c>
      <c r="S805" s="2" t="s">
        <v>1506</v>
      </c>
      <c r="T805" s="2">
        <v>24.0</v>
      </c>
      <c r="AO805" s="2" t="s">
        <v>1368</v>
      </c>
    </row>
    <row r="806" ht="15.75" customHeight="1">
      <c r="A806" s="2" t="s">
        <v>7398</v>
      </c>
      <c r="B806" s="2" t="s">
        <v>1361</v>
      </c>
      <c r="C806" s="2">
        <v>2016.0</v>
      </c>
      <c r="D806" s="2" t="s">
        <v>7399</v>
      </c>
      <c r="E806" s="2" t="s">
        <v>7400</v>
      </c>
      <c r="F806" s="2" t="s">
        <v>1587</v>
      </c>
      <c r="I806" s="2" t="s">
        <v>7401</v>
      </c>
      <c r="J806" s="12" t="str">
        <f>VLOOKUP(I806,'Copy of Enriched Data - IPBES G'!$L$2:$L$229,1,false)</f>
        <v>#N/A</v>
      </c>
      <c r="M806" s="2" t="s">
        <v>1502</v>
      </c>
      <c r="N806" s="2" t="s">
        <v>7402</v>
      </c>
      <c r="O806" s="2" t="s">
        <v>7403</v>
      </c>
      <c r="Q806" s="2" t="s">
        <v>7404</v>
      </c>
      <c r="S806" s="2" t="s">
        <v>1506</v>
      </c>
      <c r="T806" s="2">
        <v>30.0</v>
      </c>
      <c r="AO806" s="2" t="s">
        <v>1368</v>
      </c>
    </row>
    <row r="807" ht="15.75" customHeight="1">
      <c r="A807" s="2" t="s">
        <v>7405</v>
      </c>
      <c r="B807" s="2" t="s">
        <v>1361</v>
      </c>
      <c r="C807" s="2">
        <v>1998.0</v>
      </c>
      <c r="D807" s="2" t="s">
        <v>7406</v>
      </c>
      <c r="E807" s="2" t="s">
        <v>7407</v>
      </c>
      <c r="F807" s="2" t="s">
        <v>1447</v>
      </c>
      <c r="I807" s="2" t="s">
        <v>7408</v>
      </c>
      <c r="J807" s="12" t="str">
        <f>VLOOKUP(I807,'Copy of Enriched Data - IPBES G'!$L$2:$L$229,1,false)</f>
        <v>#N/A</v>
      </c>
      <c r="M807" s="2" t="s">
        <v>1958</v>
      </c>
      <c r="N807" s="2" t="s">
        <v>7409</v>
      </c>
      <c r="O807" s="2" t="s">
        <v>7410</v>
      </c>
      <c r="Q807" s="2" t="s">
        <v>7411</v>
      </c>
      <c r="S807" s="2" t="s">
        <v>1453</v>
      </c>
      <c r="T807" s="2">
        <v>25.0</v>
      </c>
      <c r="AO807" s="2" t="s">
        <v>1368</v>
      </c>
    </row>
    <row r="808" ht="15.75" customHeight="1">
      <c r="A808" s="2" t="s">
        <v>7412</v>
      </c>
      <c r="B808" s="2" t="s">
        <v>1361</v>
      </c>
      <c r="C808" s="2">
        <v>1994.0</v>
      </c>
      <c r="D808" s="2" t="s">
        <v>7413</v>
      </c>
      <c r="E808" s="2" t="s">
        <v>7414</v>
      </c>
      <c r="F808" s="2" t="s">
        <v>7415</v>
      </c>
      <c r="I808" s="2" t="s">
        <v>7416</v>
      </c>
      <c r="J808" s="12" t="str">
        <f>VLOOKUP(I808,'Copy of Enriched Data - IPBES G'!$L$2:$L$229,1,false)</f>
        <v>#N/A</v>
      </c>
      <c r="M808" s="2" t="s">
        <v>2327</v>
      </c>
      <c r="N808" s="2" t="s">
        <v>7417</v>
      </c>
      <c r="O808" s="2" t="s">
        <v>7418</v>
      </c>
      <c r="Q808" s="2" t="s">
        <v>7419</v>
      </c>
      <c r="S808" s="2" t="s">
        <v>1600</v>
      </c>
      <c r="T808" s="2">
        <v>13.0</v>
      </c>
      <c r="AO808" s="2" t="s">
        <v>1368</v>
      </c>
    </row>
    <row r="809" ht="15.75" customHeight="1">
      <c r="A809" s="2" t="s">
        <v>7420</v>
      </c>
      <c r="B809" s="2" t="s">
        <v>1361</v>
      </c>
      <c r="C809" s="2">
        <v>2012.0</v>
      </c>
      <c r="D809" s="2" t="s">
        <v>7421</v>
      </c>
      <c r="E809" s="2" t="s">
        <v>7422</v>
      </c>
      <c r="F809" s="2" t="s">
        <v>1438</v>
      </c>
      <c r="I809" s="2" t="s">
        <v>7423</v>
      </c>
      <c r="J809" s="12" t="str">
        <f>VLOOKUP(I809,'Copy of Enriched Data - IPBES G'!$L$2:$L$229,1,false)</f>
        <v>#N/A</v>
      </c>
      <c r="M809" s="2" t="s">
        <v>1405</v>
      </c>
      <c r="N809" s="2" t="s">
        <v>5450</v>
      </c>
      <c r="O809" s="2" t="s">
        <v>5451</v>
      </c>
      <c r="Q809" s="2" t="s">
        <v>7424</v>
      </c>
      <c r="S809" s="2" t="s">
        <v>1443</v>
      </c>
      <c r="T809" s="2">
        <v>7.0</v>
      </c>
      <c r="AO809" s="2" t="s">
        <v>1368</v>
      </c>
    </row>
    <row r="810" ht="15.75" customHeight="1">
      <c r="A810" s="2" t="s">
        <v>7425</v>
      </c>
      <c r="B810" s="2" t="s">
        <v>1361</v>
      </c>
      <c r="C810" s="2">
        <v>1997.0</v>
      </c>
      <c r="D810" s="2" t="s">
        <v>7426</v>
      </c>
      <c r="E810" s="2" t="s">
        <v>7427</v>
      </c>
      <c r="F810" s="2" t="s">
        <v>4225</v>
      </c>
      <c r="I810" s="2" t="s">
        <v>7428</v>
      </c>
      <c r="J810" s="12" t="str">
        <f>VLOOKUP(I810,'Copy of Enriched Data - IPBES G'!$L$2:$L$229,1,false)</f>
        <v>#N/A</v>
      </c>
      <c r="M810" s="2" t="s">
        <v>1804</v>
      </c>
      <c r="N810" s="2" t="s">
        <v>7429</v>
      </c>
      <c r="O810" s="2" t="s">
        <v>7430</v>
      </c>
      <c r="Q810" s="2" t="s">
        <v>7431</v>
      </c>
      <c r="S810" s="2" t="s">
        <v>1600</v>
      </c>
      <c r="T810" s="2">
        <v>56.0</v>
      </c>
      <c r="AO810" s="2" t="s">
        <v>1368</v>
      </c>
    </row>
    <row r="811" ht="15.75" customHeight="1">
      <c r="A811" s="2" t="s">
        <v>7432</v>
      </c>
      <c r="B811" s="2" t="s">
        <v>1361</v>
      </c>
      <c r="C811" s="2">
        <v>2016.0</v>
      </c>
      <c r="D811" s="2" t="s">
        <v>7433</v>
      </c>
      <c r="E811" s="2" t="s">
        <v>7434</v>
      </c>
      <c r="F811" s="2" t="s">
        <v>7435</v>
      </c>
      <c r="J811" s="12" t="str">
        <f>VLOOKUP(I811,'Copy of Enriched Data - IPBES G'!$L$2:$L$229,1,false)</f>
        <v>#N/A</v>
      </c>
      <c r="M811" s="2" t="s">
        <v>1502</v>
      </c>
      <c r="N811" s="2" t="s">
        <v>7436</v>
      </c>
      <c r="O811" s="2" t="s">
        <v>7437</v>
      </c>
      <c r="AO811" s="2" t="s">
        <v>1368</v>
      </c>
    </row>
    <row r="812" ht="15.75" customHeight="1">
      <c r="A812" s="2" t="s">
        <v>7438</v>
      </c>
      <c r="B812" s="2" t="s">
        <v>1361</v>
      </c>
      <c r="C812" s="2">
        <v>2008.0</v>
      </c>
      <c r="D812" s="2" t="s">
        <v>7439</v>
      </c>
      <c r="E812" s="2" t="s">
        <v>7440</v>
      </c>
      <c r="F812" s="2" t="s">
        <v>7441</v>
      </c>
      <c r="I812" s="2" t="s">
        <v>7442</v>
      </c>
      <c r="J812" s="12" t="str">
        <f>VLOOKUP(I812,'Copy of Enriched Data - IPBES G'!$L$2:$L$229,1,false)</f>
        <v>#N/A</v>
      </c>
      <c r="M812" s="2" t="s">
        <v>1458</v>
      </c>
      <c r="N812" s="2" t="s">
        <v>7443</v>
      </c>
      <c r="O812" s="2" t="s">
        <v>7444</v>
      </c>
      <c r="Q812" s="2" t="s">
        <v>7445</v>
      </c>
      <c r="S812" s="2" t="s">
        <v>1453</v>
      </c>
      <c r="T812" s="2">
        <v>51.0</v>
      </c>
      <c r="AO812" s="2" t="s">
        <v>1368</v>
      </c>
    </row>
    <row r="813" ht="15.75" customHeight="1">
      <c r="A813" s="2" t="s">
        <v>7446</v>
      </c>
      <c r="B813" s="2" t="s">
        <v>1361</v>
      </c>
      <c r="C813" s="2">
        <v>2016.0</v>
      </c>
      <c r="D813" s="2" t="s">
        <v>7447</v>
      </c>
      <c r="E813" s="2" t="s">
        <v>7448</v>
      </c>
      <c r="F813" s="2" t="s">
        <v>7449</v>
      </c>
      <c r="J813" s="12" t="str">
        <f>VLOOKUP(I813,'Copy of Enriched Data - IPBES G'!$L$2:$L$229,1,false)</f>
        <v>#N/A</v>
      </c>
      <c r="L813" s="2" t="s">
        <v>7450</v>
      </c>
      <c r="M813" s="2" t="s">
        <v>1502</v>
      </c>
      <c r="N813" s="2" t="s">
        <v>7451</v>
      </c>
      <c r="O813" s="2" t="s">
        <v>7452</v>
      </c>
      <c r="Q813" s="2" t="s">
        <v>7453</v>
      </c>
      <c r="AO813" s="2" t="s">
        <v>1368</v>
      </c>
    </row>
    <row r="814" ht="15.75" customHeight="1">
      <c r="A814" s="2" t="s">
        <v>7454</v>
      </c>
      <c r="B814" s="2" t="s">
        <v>1361</v>
      </c>
      <c r="C814" s="2">
        <v>2017.0</v>
      </c>
      <c r="D814" s="2" t="s">
        <v>7455</v>
      </c>
      <c r="E814" s="2" t="s">
        <v>7456</v>
      </c>
      <c r="F814" s="2" t="s">
        <v>2665</v>
      </c>
      <c r="I814" s="2" t="s">
        <v>7457</v>
      </c>
      <c r="J814" s="12" t="str">
        <f>VLOOKUP(I814,'Copy of Enriched Data - IPBES G'!$L$2:$L$229,1,false)</f>
        <v>#N/A</v>
      </c>
      <c r="M814" s="2" t="s">
        <v>1658</v>
      </c>
      <c r="N814" s="2" t="s">
        <v>4125</v>
      </c>
      <c r="O814" s="2" t="s">
        <v>4126</v>
      </c>
      <c r="Q814" s="2" t="s">
        <v>7458</v>
      </c>
      <c r="S814" s="2" t="s">
        <v>1453</v>
      </c>
      <c r="T814" s="2">
        <v>45.0</v>
      </c>
      <c r="AO814" s="2" t="s">
        <v>1368</v>
      </c>
    </row>
    <row r="815" ht="15.75" customHeight="1">
      <c r="A815" s="2" t="s">
        <v>7459</v>
      </c>
      <c r="B815" s="2" t="s">
        <v>1361</v>
      </c>
      <c r="C815" s="2">
        <v>2017.0</v>
      </c>
      <c r="D815" s="2" t="s">
        <v>7460</v>
      </c>
      <c r="E815" s="2" t="s">
        <v>7461</v>
      </c>
      <c r="F815" s="2" t="s">
        <v>7462</v>
      </c>
      <c r="I815" s="2" t="s">
        <v>7463</v>
      </c>
      <c r="J815" s="12" t="str">
        <f>VLOOKUP(I815,'Copy of Enriched Data - IPBES G'!$L$2:$L$229,1,false)</f>
        <v>#N/A</v>
      </c>
      <c r="M815" s="2" t="s">
        <v>1658</v>
      </c>
      <c r="N815" s="2" t="s">
        <v>7464</v>
      </c>
      <c r="O815" s="2" t="s">
        <v>7465</v>
      </c>
      <c r="Q815" s="2" t="s">
        <v>7466</v>
      </c>
      <c r="S815" s="2" t="s">
        <v>1453</v>
      </c>
      <c r="T815" s="2">
        <v>16.0</v>
      </c>
      <c r="AO815" s="2" t="s">
        <v>2188</v>
      </c>
    </row>
    <row r="816" ht="15.75" customHeight="1">
      <c r="A816" s="2" t="s">
        <v>7467</v>
      </c>
      <c r="B816" s="2" t="s">
        <v>1361</v>
      </c>
      <c r="C816" s="2">
        <v>1961.0</v>
      </c>
      <c r="D816" s="2" t="s">
        <v>7468</v>
      </c>
      <c r="E816" s="2" t="s">
        <v>7469</v>
      </c>
      <c r="F816" s="2" t="s">
        <v>7470</v>
      </c>
      <c r="I816" s="2" t="s">
        <v>7471</v>
      </c>
      <c r="J816" s="12" t="str">
        <f>VLOOKUP(I816,'Copy of Enriched Data - IPBES G'!$L$2:$L$229,1,false)</f>
        <v>#N/A</v>
      </c>
      <c r="M816" s="2" t="s">
        <v>7472</v>
      </c>
      <c r="N816" s="2" t="s">
        <v>7473</v>
      </c>
      <c r="O816" s="2" t="s">
        <v>7474</v>
      </c>
      <c r="Q816" s="2" t="s">
        <v>7475</v>
      </c>
      <c r="S816" s="2" t="s">
        <v>1600</v>
      </c>
      <c r="T816" s="2">
        <v>3.0</v>
      </c>
      <c r="AO816" s="2" t="s">
        <v>1368</v>
      </c>
    </row>
    <row r="817" ht="15.75" customHeight="1">
      <c r="A817" s="2" t="s">
        <v>7476</v>
      </c>
      <c r="B817" s="2" t="s">
        <v>1361</v>
      </c>
      <c r="C817" s="2">
        <v>2015.0</v>
      </c>
      <c r="D817" s="2" t="s">
        <v>7477</v>
      </c>
      <c r="E817" s="2" t="s">
        <v>7478</v>
      </c>
      <c r="F817" s="2" t="s">
        <v>7479</v>
      </c>
      <c r="H817" s="2" t="s">
        <v>7480</v>
      </c>
      <c r="I817" s="2" t="s">
        <v>7481</v>
      </c>
      <c r="J817" s="12" t="str">
        <f>VLOOKUP(I817,'Copy of Enriched Data - IPBES G'!$L$2:$L$229,1,false)</f>
        <v>#N/A</v>
      </c>
      <c r="K817" s="2" t="s">
        <v>7482</v>
      </c>
      <c r="M817" s="2" t="s">
        <v>7483</v>
      </c>
      <c r="N817" s="2" t="s">
        <v>7484</v>
      </c>
      <c r="O817" s="2" t="s">
        <v>7485</v>
      </c>
      <c r="P817" s="2" t="s">
        <v>7486</v>
      </c>
      <c r="S817" s="2" t="s">
        <v>1462</v>
      </c>
      <c r="T817" s="2">
        <v>22.0</v>
      </c>
      <c r="W817" s="2" t="s">
        <v>7487</v>
      </c>
      <c r="AI817" s="2" t="s">
        <v>1541</v>
      </c>
      <c r="AO817" s="2" t="s">
        <v>1885</v>
      </c>
    </row>
    <row r="818" ht="15.75" customHeight="1">
      <c r="A818" s="2" t="s">
        <v>7488</v>
      </c>
      <c r="B818" s="2" t="s">
        <v>1361</v>
      </c>
      <c r="C818" s="2">
        <v>2014.0</v>
      </c>
      <c r="D818" s="2" t="s">
        <v>7489</v>
      </c>
      <c r="E818" s="2" t="s">
        <v>7490</v>
      </c>
      <c r="F818" s="2" t="s">
        <v>1380</v>
      </c>
      <c r="H818" s="2" t="s">
        <v>2856</v>
      </c>
      <c r="I818" s="2" t="s">
        <v>7491</v>
      </c>
      <c r="J818" s="12" t="str">
        <f>VLOOKUP(I818,'Copy of Enriched Data - IPBES G'!$L$2:$L$229,1,false)</f>
        <v>#N/A</v>
      </c>
      <c r="K818" s="2" t="s">
        <v>7492</v>
      </c>
      <c r="M818" s="2" t="s">
        <v>7493</v>
      </c>
      <c r="N818" s="2" t="s">
        <v>7494</v>
      </c>
      <c r="O818" s="2" t="s">
        <v>7495</v>
      </c>
      <c r="P818" s="2" t="s">
        <v>7496</v>
      </c>
      <c r="Q818" s="2" t="s">
        <v>7497</v>
      </c>
      <c r="S818" s="2" t="s">
        <v>7498</v>
      </c>
      <c r="T818" s="2">
        <v>515.0</v>
      </c>
      <c r="V818" s="2" t="s">
        <v>1380</v>
      </c>
      <c r="AD818" s="2" t="s">
        <v>1540</v>
      </c>
      <c r="AI818" s="2" t="s">
        <v>1541</v>
      </c>
      <c r="AO818" s="2" t="s">
        <v>7499</v>
      </c>
    </row>
    <row r="819" ht="15.75" customHeight="1">
      <c r="A819" s="2" t="s">
        <v>7500</v>
      </c>
      <c r="B819" s="2" t="s">
        <v>1361</v>
      </c>
      <c r="C819" s="2">
        <v>2007.0</v>
      </c>
      <c r="D819" s="2" t="s">
        <v>7356</v>
      </c>
      <c r="E819" s="2" t="s">
        <v>7501</v>
      </c>
      <c r="F819" s="2" t="s">
        <v>1789</v>
      </c>
      <c r="H819" s="2" t="s">
        <v>1790</v>
      </c>
      <c r="I819" s="2" t="s">
        <v>7502</v>
      </c>
      <c r="J819" s="12" t="str">
        <f>VLOOKUP(I819,'Copy of Enriched Data - IPBES G'!$L$2:$L$229,1,false)</f>
        <v>#N/A</v>
      </c>
      <c r="L819" s="2" t="s">
        <v>7503</v>
      </c>
      <c r="M819" s="2" t="s">
        <v>2380</v>
      </c>
      <c r="N819" s="2" t="s">
        <v>1385</v>
      </c>
      <c r="O819" s="2" t="s">
        <v>1386</v>
      </c>
      <c r="Q819" s="2" t="s">
        <v>7504</v>
      </c>
      <c r="S819" s="2" t="s">
        <v>5460</v>
      </c>
      <c r="T819" s="2">
        <v>17.0</v>
      </c>
      <c r="AO819" s="2" t="s">
        <v>1368</v>
      </c>
    </row>
    <row r="820" ht="15.75" customHeight="1">
      <c r="A820" s="2" t="s">
        <v>7505</v>
      </c>
      <c r="B820" s="2" t="s">
        <v>1361</v>
      </c>
      <c r="C820" s="2">
        <v>2015.0</v>
      </c>
      <c r="D820" s="2" t="s">
        <v>7506</v>
      </c>
      <c r="E820" s="2" t="s">
        <v>7507</v>
      </c>
      <c r="F820" s="2" t="s">
        <v>7508</v>
      </c>
      <c r="J820" s="12" t="str">
        <f>VLOOKUP(I820,'Copy of Enriched Data - IPBES G'!$L$2:$L$229,1,false)</f>
        <v>#N/A</v>
      </c>
      <c r="L820" s="2" t="s">
        <v>7509</v>
      </c>
      <c r="M820" s="2" t="s">
        <v>1373</v>
      </c>
      <c r="N820" s="2" t="s">
        <v>1385</v>
      </c>
      <c r="O820" s="2" t="s">
        <v>1386</v>
      </c>
      <c r="Q820" s="2" t="s">
        <v>2953</v>
      </c>
      <c r="AO820" s="2" t="s">
        <v>1368</v>
      </c>
    </row>
    <row r="821" ht="15.75" customHeight="1">
      <c r="A821" s="2" t="s">
        <v>7510</v>
      </c>
      <c r="B821" s="2" t="s">
        <v>1361</v>
      </c>
      <c r="C821" s="2">
        <v>2005.0</v>
      </c>
      <c r="D821" s="2" t="s">
        <v>7511</v>
      </c>
      <c r="E821" s="2" t="s">
        <v>7512</v>
      </c>
      <c r="F821" s="2" t="s">
        <v>1863</v>
      </c>
      <c r="H821" s="2" t="s">
        <v>1864</v>
      </c>
      <c r="I821" s="2" t="s">
        <v>7513</v>
      </c>
      <c r="J821" s="12" t="str">
        <f>VLOOKUP(I821,'Copy of Enriched Data - IPBES G'!$L$2:$L$229,1,false)</f>
        <v>#N/A</v>
      </c>
      <c r="L821" s="2" t="s">
        <v>7514</v>
      </c>
      <c r="M821" s="2" t="s">
        <v>1394</v>
      </c>
      <c r="N821" s="2" t="s">
        <v>1385</v>
      </c>
      <c r="O821" s="2" t="s">
        <v>1386</v>
      </c>
      <c r="Q821" s="2" t="s">
        <v>7515</v>
      </c>
      <c r="S821" s="2" t="s">
        <v>1462</v>
      </c>
      <c r="T821" s="2">
        <v>33.0</v>
      </c>
      <c r="AO821" s="2" t="s">
        <v>1368</v>
      </c>
    </row>
    <row r="822" ht="15.75" customHeight="1">
      <c r="A822" s="2" t="s">
        <v>7516</v>
      </c>
      <c r="B822" s="2" t="s">
        <v>3012</v>
      </c>
      <c r="C822" s="2">
        <v>2018.0</v>
      </c>
      <c r="D822" s="2" t="s">
        <v>7517</v>
      </c>
      <c r="E822" s="2" t="s">
        <v>7518</v>
      </c>
      <c r="J822" s="12" t="str">
        <f>VLOOKUP(I822,'Copy of Enriched Data - IPBES G'!$L$2:$L$229,1,false)</f>
        <v>#N/A</v>
      </c>
      <c r="K822" s="2" t="s">
        <v>7519</v>
      </c>
      <c r="L822" s="2" t="s">
        <v>7520</v>
      </c>
      <c r="M822" s="2" t="s">
        <v>1420</v>
      </c>
      <c r="N822" s="2" t="s">
        <v>1385</v>
      </c>
      <c r="O822" s="2" t="s">
        <v>1386</v>
      </c>
      <c r="AO822" s="2" t="s">
        <v>1609</v>
      </c>
    </row>
    <row r="823" ht="15.75" customHeight="1">
      <c r="A823" s="2" t="s">
        <v>7521</v>
      </c>
      <c r="B823" s="2" t="s">
        <v>1396</v>
      </c>
      <c r="C823" s="2">
        <v>2017.0</v>
      </c>
      <c r="D823" s="2" t="s">
        <v>7447</v>
      </c>
      <c r="E823" s="2" t="s">
        <v>7522</v>
      </c>
      <c r="G823" s="2" t="s">
        <v>7523</v>
      </c>
      <c r="J823" s="12" t="str">
        <f>VLOOKUP(I823,'Copy of Enriched Data - IPBES G'!$L$2:$L$229,1,false)</f>
        <v>#N/A</v>
      </c>
      <c r="K823" s="2" t="s">
        <v>7524</v>
      </c>
      <c r="L823" s="2" t="s">
        <v>7525</v>
      </c>
      <c r="M823" s="2" t="s">
        <v>1658</v>
      </c>
      <c r="N823" s="2" t="s">
        <v>1385</v>
      </c>
      <c r="O823" s="2" t="s">
        <v>1386</v>
      </c>
      <c r="AB823" s="2" t="s">
        <v>2187</v>
      </c>
      <c r="AO823" s="2" t="s">
        <v>3748</v>
      </c>
    </row>
    <row r="824" ht="15.75" customHeight="1">
      <c r="A824" s="2" t="s">
        <v>7526</v>
      </c>
      <c r="B824" s="2" t="s">
        <v>1623</v>
      </c>
      <c r="C824" s="2">
        <v>2012.0</v>
      </c>
      <c r="D824" s="2" t="s">
        <v>7506</v>
      </c>
      <c r="E824" s="2" t="s">
        <v>7527</v>
      </c>
      <c r="J824" s="12" t="str">
        <f>VLOOKUP(I824,'Copy of Enriched Data - IPBES G'!$L$2:$L$229,1,false)</f>
        <v>#N/A</v>
      </c>
      <c r="K824" s="2" t="s">
        <v>7528</v>
      </c>
      <c r="M824" s="2" t="s">
        <v>1405</v>
      </c>
      <c r="N824" s="2" t="s">
        <v>1385</v>
      </c>
      <c r="O824" s="2" t="s">
        <v>1386</v>
      </c>
      <c r="AB824" s="2" t="s">
        <v>7529</v>
      </c>
      <c r="AC824" s="2" t="s">
        <v>7530</v>
      </c>
      <c r="AO824" s="2" t="s">
        <v>7531</v>
      </c>
    </row>
    <row r="825" ht="15.75" customHeight="1">
      <c r="A825" s="2" t="s">
        <v>7532</v>
      </c>
      <c r="B825" s="2" t="s">
        <v>1623</v>
      </c>
      <c r="C825" s="2">
        <v>2016.0</v>
      </c>
      <c r="D825" s="2" t="s">
        <v>7506</v>
      </c>
      <c r="E825" s="2" t="s">
        <v>7533</v>
      </c>
      <c r="J825" s="12" t="str">
        <f>VLOOKUP(I825,'Copy of Enriched Data - IPBES G'!$L$2:$L$229,1,false)</f>
        <v>#N/A</v>
      </c>
      <c r="K825" s="2" t="s">
        <v>7534</v>
      </c>
      <c r="L825" s="2" t="s">
        <v>7535</v>
      </c>
      <c r="M825" s="2" t="s">
        <v>1502</v>
      </c>
      <c r="N825" s="2" t="s">
        <v>1385</v>
      </c>
      <c r="O825" s="2" t="s">
        <v>1386</v>
      </c>
      <c r="Q825" s="2" t="s">
        <v>7536</v>
      </c>
      <c r="AB825" s="2" t="s">
        <v>7529</v>
      </c>
      <c r="AC825" s="2" t="s">
        <v>7537</v>
      </c>
      <c r="AO825" s="2" t="s">
        <v>2238</v>
      </c>
    </row>
    <row r="826" ht="15.75" customHeight="1">
      <c r="A826" s="2" t="s">
        <v>7538</v>
      </c>
      <c r="B826" s="2" t="s">
        <v>1396</v>
      </c>
      <c r="C826" s="2">
        <v>2018.0</v>
      </c>
      <c r="D826" s="2" t="s">
        <v>7539</v>
      </c>
      <c r="E826" s="2" t="s">
        <v>7540</v>
      </c>
      <c r="J826" s="12" t="str">
        <f>VLOOKUP(I826,'Copy of Enriched Data - IPBES G'!$L$2:$L$229,1,false)</f>
        <v>#N/A</v>
      </c>
      <c r="K826" s="2" t="s">
        <v>7541</v>
      </c>
      <c r="M826" s="2" t="s">
        <v>1420</v>
      </c>
      <c r="N826" s="2" t="s">
        <v>1385</v>
      </c>
      <c r="O826" s="2" t="s">
        <v>1386</v>
      </c>
      <c r="AB826" s="2" t="s">
        <v>7542</v>
      </c>
      <c r="AC826" s="2" t="s">
        <v>7543</v>
      </c>
      <c r="AO826" s="2" t="s">
        <v>1368</v>
      </c>
    </row>
    <row r="827" ht="15.75" customHeight="1">
      <c r="A827" s="2" t="s">
        <v>7544</v>
      </c>
      <c r="B827" s="2" t="s">
        <v>1766</v>
      </c>
      <c r="C827" s="2">
        <v>2013.0</v>
      </c>
      <c r="D827" s="2" t="s">
        <v>7545</v>
      </c>
      <c r="E827" s="2" t="s">
        <v>7546</v>
      </c>
      <c r="F827" s="2" t="s">
        <v>7547</v>
      </c>
      <c r="G827" s="2" t="s">
        <v>7548</v>
      </c>
      <c r="J827" s="12" t="str">
        <f>VLOOKUP(I827,'Copy of Enriched Data - IPBES G'!$L$2:$L$229,1,false)</f>
        <v>#N/A</v>
      </c>
      <c r="K827" s="2" t="s">
        <v>7549</v>
      </c>
      <c r="L827" s="2" t="s">
        <v>7550</v>
      </c>
      <c r="M827" s="2" t="s">
        <v>7551</v>
      </c>
      <c r="N827" s="2" t="s">
        <v>1385</v>
      </c>
      <c r="O827" s="2" t="s">
        <v>1386</v>
      </c>
      <c r="Q827" s="2" t="s">
        <v>7552</v>
      </c>
      <c r="AB827" s="2" t="s">
        <v>7553</v>
      </c>
      <c r="AC827" s="2" t="s">
        <v>7554</v>
      </c>
      <c r="AK827" s="2" t="s">
        <v>7555</v>
      </c>
      <c r="AO827" s="2" t="s">
        <v>1368</v>
      </c>
      <c r="AQ827" s="2" t="s">
        <v>7556</v>
      </c>
    </row>
    <row r="828" ht="15.75" customHeight="1">
      <c r="A828" s="2" t="s">
        <v>7557</v>
      </c>
      <c r="B828" s="2" t="s">
        <v>1361</v>
      </c>
      <c r="C828" s="2">
        <v>1996.0</v>
      </c>
      <c r="D828" s="2" t="s">
        <v>7558</v>
      </c>
      <c r="E828" s="2" t="s">
        <v>7559</v>
      </c>
      <c r="F828" s="2" t="s">
        <v>7560</v>
      </c>
      <c r="H828" s="2" t="s">
        <v>7561</v>
      </c>
      <c r="I828" s="2" t="s">
        <v>7562</v>
      </c>
      <c r="J828" s="12" t="str">
        <f>VLOOKUP(I828,'Copy of Enriched Data - IPBES G'!$L$2:$L$229,1,false)</f>
        <v>#N/A</v>
      </c>
      <c r="K828" s="2" t="s">
        <v>7563</v>
      </c>
      <c r="M828" s="2" t="s">
        <v>7564</v>
      </c>
      <c r="N828" s="2" t="s">
        <v>1385</v>
      </c>
      <c r="O828" s="2" t="s">
        <v>1386</v>
      </c>
      <c r="P828" s="2" t="s">
        <v>7565</v>
      </c>
      <c r="Q828" s="2" t="s">
        <v>7566</v>
      </c>
      <c r="S828" s="2" t="s">
        <v>1453</v>
      </c>
      <c r="T828" s="2">
        <v>6.0</v>
      </c>
      <c r="V828" s="2" t="s">
        <v>7560</v>
      </c>
      <c r="AO828" s="2" t="s">
        <v>1368</v>
      </c>
    </row>
    <row r="829" ht="15.75" customHeight="1">
      <c r="A829" s="2" t="s">
        <v>7567</v>
      </c>
      <c r="B829" s="2" t="s">
        <v>1396</v>
      </c>
      <c r="C829" s="2">
        <v>2017.0</v>
      </c>
      <c r="D829" s="2" t="s">
        <v>7568</v>
      </c>
      <c r="E829" s="2" t="s">
        <v>7569</v>
      </c>
      <c r="J829" s="12" t="str">
        <f>VLOOKUP(I829,'Copy of Enriched Data - IPBES G'!$L$2:$L$229,1,false)</f>
        <v>#N/A</v>
      </c>
      <c r="K829" s="2" t="s">
        <v>7570</v>
      </c>
      <c r="M829" s="2" t="s">
        <v>1658</v>
      </c>
      <c r="N829" s="2" t="s">
        <v>1385</v>
      </c>
      <c r="O829" s="2" t="s">
        <v>1386</v>
      </c>
      <c r="X829" s="2" t="s">
        <v>7571</v>
      </c>
      <c r="Y829" s="2">
        <v>1.0</v>
      </c>
      <c r="AB829" s="2" t="s">
        <v>2409</v>
      </c>
      <c r="AC829" s="2" t="s">
        <v>2410</v>
      </c>
      <c r="AO829" s="2" t="s">
        <v>1368</v>
      </c>
      <c r="AQ829" s="2" t="s">
        <v>7572</v>
      </c>
    </row>
    <row r="830" ht="15.75" customHeight="1">
      <c r="A830" s="2" t="s">
        <v>7573</v>
      </c>
      <c r="B830" s="2" t="s">
        <v>1396</v>
      </c>
      <c r="C830" s="2">
        <v>2016.0</v>
      </c>
      <c r="D830" s="2" t="s">
        <v>7574</v>
      </c>
      <c r="E830" s="2" t="s">
        <v>7575</v>
      </c>
      <c r="G830" s="2" t="s">
        <v>7576</v>
      </c>
      <c r="J830" s="12" t="str">
        <f>VLOOKUP(I830,'Copy of Enriched Data - IPBES G'!$L$2:$L$229,1,false)</f>
        <v>#N/A</v>
      </c>
      <c r="L830" s="2" t="s">
        <v>7577</v>
      </c>
      <c r="M830" s="2" t="s">
        <v>1502</v>
      </c>
      <c r="N830" s="2" t="s">
        <v>1385</v>
      </c>
      <c r="O830" s="2" t="s">
        <v>1386</v>
      </c>
      <c r="R830" s="2" t="s">
        <v>7578</v>
      </c>
      <c r="AB830" s="2" t="s">
        <v>7579</v>
      </c>
      <c r="AO830" s="2" t="s">
        <v>1368</v>
      </c>
    </row>
    <row r="831" ht="15.75" customHeight="1">
      <c r="A831" s="2" t="s">
        <v>7580</v>
      </c>
      <c r="B831" s="2" t="s">
        <v>1361</v>
      </c>
      <c r="C831" s="2">
        <v>2016.0</v>
      </c>
      <c r="D831" s="2" t="s">
        <v>7574</v>
      </c>
      <c r="E831" s="2" t="s">
        <v>7581</v>
      </c>
      <c r="J831" s="12" t="str">
        <f>VLOOKUP(I831,'Copy of Enriched Data - IPBES G'!$L$2:$L$229,1,false)</f>
        <v>#N/A</v>
      </c>
      <c r="K831" s="2" t="s">
        <v>7582</v>
      </c>
      <c r="M831" s="2" t="s">
        <v>1502</v>
      </c>
      <c r="N831" s="2" t="s">
        <v>1385</v>
      </c>
      <c r="O831" s="2" t="s">
        <v>1386</v>
      </c>
      <c r="AO831" s="2" t="s">
        <v>1368</v>
      </c>
    </row>
    <row r="832" ht="15.75" customHeight="1">
      <c r="A832" s="2" t="s">
        <v>7583</v>
      </c>
      <c r="B832" s="2" t="s">
        <v>1623</v>
      </c>
      <c r="C832" s="2">
        <v>2015.0</v>
      </c>
      <c r="D832" s="2" t="s">
        <v>7584</v>
      </c>
      <c r="E832" s="2" t="s">
        <v>7585</v>
      </c>
      <c r="J832" s="12" t="str">
        <f>VLOOKUP(I832,'Copy of Enriched Data - IPBES G'!$L$2:$L$229,1,false)</f>
        <v>#N/A</v>
      </c>
      <c r="K832" s="2" t="s">
        <v>7586</v>
      </c>
      <c r="M832" s="2" t="s">
        <v>1373</v>
      </c>
      <c r="N832" s="2" t="s">
        <v>1385</v>
      </c>
      <c r="O832" s="2" t="s">
        <v>1386</v>
      </c>
      <c r="AB832" s="2" t="s">
        <v>2317</v>
      </c>
      <c r="AO832" s="2" t="s">
        <v>1368</v>
      </c>
    </row>
    <row r="833" ht="15.75" customHeight="1">
      <c r="A833" s="2" t="s">
        <v>7587</v>
      </c>
      <c r="B833" s="2" t="s">
        <v>1396</v>
      </c>
      <c r="C833" s="2">
        <v>2016.0</v>
      </c>
      <c r="D833" s="2" t="s">
        <v>7447</v>
      </c>
      <c r="E833" s="2" t="s">
        <v>7588</v>
      </c>
      <c r="G833" s="2" t="s">
        <v>7589</v>
      </c>
      <c r="J833" s="12" t="str">
        <f>VLOOKUP(I833,'Copy of Enriched Data - IPBES G'!$L$2:$L$229,1,false)</f>
        <v>#N/A</v>
      </c>
      <c r="K833" s="2" t="s">
        <v>7590</v>
      </c>
      <c r="M833" s="2" t="s">
        <v>1502</v>
      </c>
      <c r="N833" s="2" t="s">
        <v>1385</v>
      </c>
      <c r="O833" s="2" t="s">
        <v>1386</v>
      </c>
      <c r="AB833" s="2" t="s">
        <v>2317</v>
      </c>
      <c r="AC833" s="2" t="s">
        <v>5295</v>
      </c>
      <c r="AO833" s="2" t="s">
        <v>1368</v>
      </c>
    </row>
    <row r="834" ht="15.75" customHeight="1">
      <c r="A834" s="2" t="s">
        <v>7591</v>
      </c>
      <c r="B834" s="2" t="s">
        <v>1623</v>
      </c>
      <c r="C834" s="2">
        <v>2014.0</v>
      </c>
      <c r="D834" s="2" t="s">
        <v>7447</v>
      </c>
      <c r="E834" s="2" t="s">
        <v>7592</v>
      </c>
      <c r="J834" s="12" t="str">
        <f>VLOOKUP(I834,'Copy of Enriched Data - IPBES G'!$L$2:$L$229,1,false)</f>
        <v>#N/A</v>
      </c>
      <c r="K834" s="2" t="s">
        <v>7593</v>
      </c>
      <c r="L834" s="2" t="s">
        <v>7594</v>
      </c>
      <c r="M834" s="2" t="s">
        <v>1476</v>
      </c>
      <c r="N834" s="2" t="s">
        <v>1385</v>
      </c>
      <c r="O834" s="2" t="s">
        <v>1386</v>
      </c>
      <c r="AB834" s="2" t="s">
        <v>7595</v>
      </c>
      <c r="AO834" s="2" t="s">
        <v>1368</v>
      </c>
    </row>
    <row r="835" ht="15.75" customHeight="1">
      <c r="A835" s="2" t="s">
        <v>7596</v>
      </c>
      <c r="B835" s="2" t="s">
        <v>1361</v>
      </c>
      <c r="C835" s="2">
        <v>2011.0</v>
      </c>
      <c r="D835" s="2" t="s">
        <v>7597</v>
      </c>
      <c r="E835" s="2" t="s">
        <v>7598</v>
      </c>
      <c r="F835" s="2" t="s">
        <v>5258</v>
      </c>
      <c r="H835" s="2" t="s">
        <v>7599</v>
      </c>
      <c r="I835" s="2" t="s">
        <v>7600</v>
      </c>
      <c r="J835" s="12" t="str">
        <f>VLOOKUP(I835,'Copy of Enriched Data - IPBES G'!$L$2:$L$229,1,false)</f>
        <v>#N/A</v>
      </c>
      <c r="K835" s="2" t="s">
        <v>7601</v>
      </c>
      <c r="L835" s="2" t="s">
        <v>7602</v>
      </c>
      <c r="M835" s="2" t="s">
        <v>7603</v>
      </c>
      <c r="N835" s="2" t="s">
        <v>1385</v>
      </c>
      <c r="O835" s="2" t="s">
        <v>1386</v>
      </c>
      <c r="Q835" s="2" t="s">
        <v>7604</v>
      </c>
      <c r="S835" s="2" t="s">
        <v>1600</v>
      </c>
      <c r="T835" s="2">
        <v>26.0</v>
      </c>
      <c r="AO835" s="2" t="s">
        <v>1368</v>
      </c>
    </row>
    <row r="836" ht="15.75" customHeight="1">
      <c r="A836" s="2" t="s">
        <v>7605</v>
      </c>
      <c r="B836" s="2" t="s">
        <v>1396</v>
      </c>
      <c r="C836" s="2">
        <v>2018.0</v>
      </c>
      <c r="D836" s="2" t="s">
        <v>7606</v>
      </c>
      <c r="E836" s="2" t="s">
        <v>7607</v>
      </c>
      <c r="J836" s="12" t="str">
        <f>VLOOKUP(I836,'Copy of Enriched Data - IPBES G'!$L$2:$L$229,1,false)</f>
        <v>#N/A</v>
      </c>
      <c r="K836" s="2" t="s">
        <v>7608</v>
      </c>
      <c r="M836" s="2" t="s">
        <v>1420</v>
      </c>
      <c r="N836" s="2" t="s">
        <v>1385</v>
      </c>
      <c r="O836" s="2" t="s">
        <v>1386</v>
      </c>
      <c r="AO836" s="2" t="s">
        <v>1368</v>
      </c>
    </row>
    <row r="837" ht="15.75" customHeight="1">
      <c r="A837" s="2" t="s">
        <v>7609</v>
      </c>
      <c r="B837" s="2" t="s">
        <v>1361</v>
      </c>
      <c r="C837" s="2">
        <v>2013.0</v>
      </c>
      <c r="D837" s="2" t="s">
        <v>7610</v>
      </c>
      <c r="E837" s="2" t="s">
        <v>7611</v>
      </c>
      <c r="F837" s="2" t="s">
        <v>2650</v>
      </c>
      <c r="H837" s="2" t="s">
        <v>4293</v>
      </c>
      <c r="I837" s="2" t="s">
        <v>7612</v>
      </c>
      <c r="J837" s="12" t="str">
        <f>VLOOKUP(I837,'Copy of Enriched Data - IPBES G'!$L$2:$L$229,1,false)</f>
        <v>#N/A</v>
      </c>
      <c r="K837" s="2" t="s">
        <v>7613</v>
      </c>
      <c r="L837" s="2" t="s">
        <v>7614</v>
      </c>
      <c r="M837" s="2" t="s">
        <v>6333</v>
      </c>
      <c r="N837" s="2" t="s">
        <v>1385</v>
      </c>
      <c r="O837" s="2" t="s">
        <v>1386</v>
      </c>
      <c r="Q837" s="2" t="s">
        <v>7615</v>
      </c>
      <c r="T837" s="2">
        <v>3.0</v>
      </c>
      <c r="AO837" s="2" t="s">
        <v>1368</v>
      </c>
    </row>
    <row r="838" ht="15.75" customHeight="1">
      <c r="A838" s="2" t="s">
        <v>7616</v>
      </c>
      <c r="B838" s="2" t="s">
        <v>1396</v>
      </c>
      <c r="C838" s="2">
        <v>2014.0</v>
      </c>
      <c r="D838" s="2" t="s">
        <v>7617</v>
      </c>
      <c r="E838" s="2" t="s">
        <v>7618</v>
      </c>
      <c r="G838" s="2" t="s">
        <v>7619</v>
      </c>
      <c r="J838" s="12" t="str">
        <f>VLOOKUP(I838,'Copy of Enriched Data - IPBES G'!$L$2:$L$229,1,false)</f>
        <v>#N/A</v>
      </c>
      <c r="M838" s="2" t="s">
        <v>1476</v>
      </c>
      <c r="N838" s="2" t="s">
        <v>1385</v>
      </c>
      <c r="O838" s="2" t="s">
        <v>1386</v>
      </c>
      <c r="R838" s="2" t="s">
        <v>6016</v>
      </c>
      <c r="AB838" s="2" t="s">
        <v>7620</v>
      </c>
      <c r="AC838" s="2" t="s">
        <v>7621</v>
      </c>
      <c r="AO838" s="2" t="s">
        <v>1368</v>
      </c>
    </row>
    <row r="839" ht="15.75" customHeight="1">
      <c r="A839" s="2" t="s">
        <v>7622</v>
      </c>
      <c r="B839" s="2" t="s">
        <v>1623</v>
      </c>
      <c r="C839" s="2">
        <v>2016.0</v>
      </c>
      <c r="D839" s="2" t="s">
        <v>7517</v>
      </c>
      <c r="E839" s="2" t="s">
        <v>7623</v>
      </c>
      <c r="J839" s="12" t="str">
        <f>VLOOKUP(I839,'Copy of Enriched Data - IPBES G'!$L$2:$L$229,1,false)</f>
        <v>#N/A</v>
      </c>
      <c r="K839" s="2" t="s">
        <v>7624</v>
      </c>
      <c r="M839" s="2" t="s">
        <v>1502</v>
      </c>
      <c r="N839" s="2" t="s">
        <v>1385</v>
      </c>
      <c r="O839" s="2" t="s">
        <v>1386</v>
      </c>
      <c r="P839" s="2" t="s">
        <v>7625</v>
      </c>
      <c r="AB839" s="2" t="s">
        <v>7517</v>
      </c>
      <c r="AO839" s="2" t="s">
        <v>1368</v>
      </c>
    </row>
    <row r="840" ht="15.75" customHeight="1">
      <c r="A840" s="2" t="s">
        <v>7626</v>
      </c>
      <c r="B840" s="2" t="s">
        <v>1396</v>
      </c>
      <c r="C840" s="2">
        <v>2012.0</v>
      </c>
      <c r="D840" s="2" t="s">
        <v>7447</v>
      </c>
      <c r="E840" s="2" t="s">
        <v>7627</v>
      </c>
      <c r="J840" s="12" t="str">
        <f>VLOOKUP(I840,'Copy of Enriched Data - IPBES G'!$L$2:$L$229,1,false)</f>
        <v>#N/A</v>
      </c>
      <c r="K840" s="2" t="s">
        <v>7628</v>
      </c>
      <c r="M840" s="2" t="s">
        <v>1405</v>
      </c>
      <c r="N840" s="2" t="s">
        <v>1385</v>
      </c>
      <c r="O840" s="2" t="s">
        <v>1386</v>
      </c>
      <c r="R840" s="2" t="s">
        <v>7629</v>
      </c>
      <c r="AO840" s="2" t="s">
        <v>1368</v>
      </c>
    </row>
    <row r="841" ht="15.75" customHeight="1">
      <c r="A841" s="2" t="s">
        <v>7630</v>
      </c>
      <c r="B841" s="2" t="s">
        <v>1781</v>
      </c>
      <c r="C841" s="2">
        <v>2004.0</v>
      </c>
      <c r="D841" s="2" t="s">
        <v>7447</v>
      </c>
      <c r="E841" s="2" t="s">
        <v>7631</v>
      </c>
      <c r="J841" s="12" t="str">
        <f>VLOOKUP(I841,'Copy of Enriched Data - IPBES G'!$L$2:$L$229,1,false)</f>
        <v>#N/A</v>
      </c>
      <c r="K841" s="2" t="s">
        <v>7632</v>
      </c>
      <c r="M841" s="2" t="s">
        <v>2373</v>
      </c>
      <c r="N841" s="2" t="s">
        <v>1385</v>
      </c>
      <c r="O841" s="2" t="s">
        <v>1386</v>
      </c>
      <c r="AC841" s="2" t="s">
        <v>5295</v>
      </c>
      <c r="AO841" s="2" t="s">
        <v>1368</v>
      </c>
    </row>
    <row r="842" ht="15.75" customHeight="1">
      <c r="A842" s="2" t="s">
        <v>7633</v>
      </c>
      <c r="B842" s="2" t="s">
        <v>1361</v>
      </c>
      <c r="C842" s="2">
        <v>1999.0</v>
      </c>
      <c r="D842" s="2" t="s">
        <v>7634</v>
      </c>
      <c r="E842" s="2" t="s">
        <v>7635</v>
      </c>
      <c r="F842" s="2" t="s">
        <v>7014</v>
      </c>
      <c r="H842" s="2" t="s">
        <v>7015</v>
      </c>
      <c r="I842" s="2" t="s">
        <v>7636</v>
      </c>
      <c r="J842" s="12" t="str">
        <f>VLOOKUP(I842,'Copy of Enriched Data - IPBES G'!$L$2:$L$229,1,false)</f>
        <v>#N/A</v>
      </c>
      <c r="M842" s="2" t="s">
        <v>7637</v>
      </c>
      <c r="N842" s="2" t="s">
        <v>1385</v>
      </c>
      <c r="O842" s="2" t="s">
        <v>1386</v>
      </c>
      <c r="Q842" s="2" t="s">
        <v>7638</v>
      </c>
      <c r="S842" s="2" t="s">
        <v>1462</v>
      </c>
      <c r="T842" s="2">
        <v>21.0</v>
      </c>
      <c r="AO842" s="2" t="s">
        <v>1368</v>
      </c>
    </row>
    <row r="843" ht="15.75" customHeight="1">
      <c r="A843" s="2" t="s">
        <v>7639</v>
      </c>
      <c r="B843" s="2" t="s">
        <v>1396</v>
      </c>
      <c r="C843" s="2">
        <v>2013.0</v>
      </c>
      <c r="D843" s="2" t="s">
        <v>7640</v>
      </c>
      <c r="E843" s="2" t="s">
        <v>7641</v>
      </c>
      <c r="G843" s="2" t="s">
        <v>7642</v>
      </c>
      <c r="J843" s="12" t="str">
        <f>VLOOKUP(I843,'Copy of Enriched Data - IPBES G'!$L$2:$L$229,1,false)</f>
        <v>#N/A</v>
      </c>
      <c r="L843" s="2" t="s">
        <v>7643</v>
      </c>
      <c r="M843" s="2" t="s">
        <v>1429</v>
      </c>
      <c r="N843" s="2" t="s">
        <v>1385</v>
      </c>
      <c r="O843" s="2" t="s">
        <v>1386</v>
      </c>
      <c r="AO843" s="2" t="s">
        <v>1368</v>
      </c>
    </row>
    <row r="844" ht="15.75" customHeight="1">
      <c r="A844" s="2" t="s">
        <v>7644</v>
      </c>
      <c r="B844" s="2" t="s">
        <v>1361</v>
      </c>
      <c r="C844" s="2">
        <v>2012.0</v>
      </c>
      <c r="D844" s="2" t="s">
        <v>7645</v>
      </c>
      <c r="E844" s="2" t="s">
        <v>7646</v>
      </c>
      <c r="J844" s="12" t="str">
        <f>VLOOKUP(I844,'Copy of Enriched Data - IPBES G'!$L$2:$L$229,1,false)</f>
        <v>#N/A</v>
      </c>
      <c r="M844" s="2" t="s">
        <v>1405</v>
      </c>
      <c r="N844" s="2" t="s">
        <v>1385</v>
      </c>
      <c r="O844" s="2" t="s">
        <v>1386</v>
      </c>
      <c r="AO844" s="2" t="s">
        <v>1368</v>
      </c>
    </row>
    <row r="845" ht="15.75" customHeight="1">
      <c r="A845" s="2" t="s">
        <v>7647</v>
      </c>
      <c r="B845" s="2" t="s">
        <v>1396</v>
      </c>
      <c r="C845" s="2">
        <v>2013.0</v>
      </c>
      <c r="D845" s="2" t="s">
        <v>7648</v>
      </c>
      <c r="E845" s="2" t="s">
        <v>7649</v>
      </c>
      <c r="J845" s="12" t="str">
        <f>VLOOKUP(I845,'Copy of Enriched Data - IPBES G'!$L$2:$L$229,1,false)</f>
        <v>#N/A</v>
      </c>
      <c r="M845" s="2" t="s">
        <v>1429</v>
      </c>
      <c r="N845" s="2" t="s">
        <v>1385</v>
      </c>
      <c r="O845" s="2" t="s">
        <v>1386</v>
      </c>
      <c r="AO845" s="2" t="s">
        <v>1368</v>
      </c>
    </row>
    <row r="846" ht="15.75" customHeight="1">
      <c r="A846" s="2" t="s">
        <v>7650</v>
      </c>
      <c r="B846" s="2" t="s">
        <v>1623</v>
      </c>
      <c r="C846" s="2">
        <v>2016.0</v>
      </c>
      <c r="D846" s="2" t="s">
        <v>7651</v>
      </c>
      <c r="E846" s="2" t="s">
        <v>7652</v>
      </c>
      <c r="J846" s="12" t="str">
        <f>VLOOKUP(I846,'Copy of Enriched Data - IPBES G'!$L$2:$L$229,1,false)</f>
        <v>#N/A</v>
      </c>
      <c r="M846" s="2" t="s">
        <v>1502</v>
      </c>
      <c r="N846" s="2" t="s">
        <v>1385</v>
      </c>
      <c r="O846" s="2" t="s">
        <v>1386</v>
      </c>
      <c r="AB846" s="2" t="s">
        <v>7653</v>
      </c>
      <c r="AC846" s="2" t="s">
        <v>5295</v>
      </c>
      <c r="AO846" s="2" t="s">
        <v>1368</v>
      </c>
    </row>
    <row r="847" ht="15.75" customHeight="1">
      <c r="A847" s="2" t="s">
        <v>7654</v>
      </c>
      <c r="B847" s="2" t="s">
        <v>1623</v>
      </c>
      <c r="C847" s="2">
        <v>2016.0</v>
      </c>
      <c r="D847" s="2" t="s">
        <v>7539</v>
      </c>
      <c r="E847" s="2" t="s">
        <v>7655</v>
      </c>
      <c r="J847" s="12" t="str">
        <f>VLOOKUP(I847,'Copy of Enriched Data - IPBES G'!$L$2:$L$229,1,false)</f>
        <v>#N/A</v>
      </c>
      <c r="K847" s="2" t="s">
        <v>7656</v>
      </c>
      <c r="L847" s="2" t="s">
        <v>7657</v>
      </c>
      <c r="M847" s="2" t="s">
        <v>1502</v>
      </c>
      <c r="N847" s="2" t="s">
        <v>1385</v>
      </c>
      <c r="O847" s="2" t="s">
        <v>1386</v>
      </c>
      <c r="AB847" s="2" t="s">
        <v>7542</v>
      </c>
      <c r="AC847" s="2" t="s">
        <v>7658</v>
      </c>
      <c r="AO847" s="2" t="s">
        <v>1368</v>
      </c>
    </row>
    <row r="848" ht="15.75" customHeight="1">
      <c r="A848" s="2" t="s">
        <v>7659</v>
      </c>
      <c r="B848" s="2" t="s">
        <v>1623</v>
      </c>
      <c r="C848" s="2">
        <v>2016.0</v>
      </c>
      <c r="D848" s="2" t="s">
        <v>7506</v>
      </c>
      <c r="E848" s="2" t="s">
        <v>7660</v>
      </c>
      <c r="J848" s="12" t="str">
        <f>VLOOKUP(I848,'Copy of Enriched Data - IPBES G'!$L$2:$L$229,1,false)</f>
        <v>#N/A</v>
      </c>
      <c r="K848" s="2" t="s">
        <v>7661</v>
      </c>
      <c r="L848" s="2" t="s">
        <v>7662</v>
      </c>
      <c r="M848" s="2" t="s">
        <v>1502</v>
      </c>
      <c r="N848" s="2" t="s">
        <v>1385</v>
      </c>
      <c r="O848" s="2" t="s">
        <v>1386</v>
      </c>
      <c r="AB848" s="2" t="s">
        <v>7506</v>
      </c>
      <c r="AC848" s="2" t="s">
        <v>7530</v>
      </c>
      <c r="AO848" s="2" t="s">
        <v>1368</v>
      </c>
    </row>
    <row r="849" ht="15.75" customHeight="1">
      <c r="A849" s="2" t="s">
        <v>7663</v>
      </c>
      <c r="B849" s="2" t="s">
        <v>1623</v>
      </c>
      <c r="C849" s="2">
        <v>2016.0</v>
      </c>
      <c r="D849" s="2" t="s">
        <v>7506</v>
      </c>
      <c r="E849" s="2" t="s">
        <v>7664</v>
      </c>
      <c r="J849" s="12" t="str">
        <f>VLOOKUP(I849,'Copy of Enriched Data - IPBES G'!$L$2:$L$229,1,false)</f>
        <v>#N/A</v>
      </c>
      <c r="L849" s="2" t="s">
        <v>7665</v>
      </c>
      <c r="M849" s="2" t="s">
        <v>1502</v>
      </c>
      <c r="N849" s="2" t="s">
        <v>1385</v>
      </c>
      <c r="O849" s="2" t="s">
        <v>1386</v>
      </c>
      <c r="AC849" s="2" t="s">
        <v>7530</v>
      </c>
      <c r="AO849" s="2" t="s">
        <v>1368</v>
      </c>
    </row>
    <row r="850" ht="15.75" customHeight="1">
      <c r="A850" s="2" t="s">
        <v>7666</v>
      </c>
      <c r="B850" s="2" t="s">
        <v>1623</v>
      </c>
      <c r="C850" s="2">
        <v>2016.0</v>
      </c>
      <c r="D850" s="2" t="s">
        <v>7506</v>
      </c>
      <c r="E850" s="2" t="s">
        <v>7667</v>
      </c>
      <c r="J850" s="12" t="str">
        <f>VLOOKUP(I850,'Copy of Enriched Data - IPBES G'!$L$2:$L$229,1,false)</f>
        <v>#N/A</v>
      </c>
      <c r="M850" s="2" t="s">
        <v>1502</v>
      </c>
      <c r="N850" s="2" t="s">
        <v>1385</v>
      </c>
      <c r="O850" s="2" t="s">
        <v>1386</v>
      </c>
      <c r="AB850" s="2" t="s">
        <v>7529</v>
      </c>
      <c r="AC850" s="2" t="s">
        <v>7530</v>
      </c>
      <c r="AO850" s="2" t="s">
        <v>1368</v>
      </c>
    </row>
    <row r="851" ht="15.75" customHeight="1">
      <c r="A851" s="2" t="s">
        <v>7668</v>
      </c>
      <c r="B851" s="2" t="s">
        <v>1623</v>
      </c>
      <c r="C851" s="2">
        <v>2016.0</v>
      </c>
      <c r="D851" s="2" t="s">
        <v>7506</v>
      </c>
      <c r="E851" s="2" t="s">
        <v>7669</v>
      </c>
      <c r="J851" s="12" t="str">
        <f>VLOOKUP(I851,'Copy of Enriched Data - IPBES G'!$L$2:$L$229,1,false)</f>
        <v>#N/A</v>
      </c>
      <c r="M851" s="2" t="s">
        <v>1502</v>
      </c>
      <c r="N851" s="2" t="s">
        <v>1385</v>
      </c>
      <c r="O851" s="2" t="s">
        <v>1386</v>
      </c>
      <c r="AB851" s="2" t="s">
        <v>7529</v>
      </c>
      <c r="AC851" s="2" t="s">
        <v>7530</v>
      </c>
      <c r="AO851" s="2" t="s">
        <v>1368</v>
      </c>
    </row>
    <row r="852" ht="15.75" customHeight="1">
      <c r="A852" s="2" t="s">
        <v>7670</v>
      </c>
      <c r="B852" s="2" t="s">
        <v>1623</v>
      </c>
      <c r="C852" s="2">
        <v>2016.0</v>
      </c>
      <c r="D852" s="2" t="s">
        <v>7506</v>
      </c>
      <c r="E852" s="2" t="s">
        <v>7671</v>
      </c>
      <c r="J852" s="12" t="str">
        <f>VLOOKUP(I852,'Copy of Enriched Data - IPBES G'!$L$2:$L$229,1,false)</f>
        <v>#N/A</v>
      </c>
      <c r="M852" s="2" t="s">
        <v>1502</v>
      </c>
      <c r="N852" s="2" t="s">
        <v>1385</v>
      </c>
      <c r="O852" s="2" t="s">
        <v>1386</v>
      </c>
      <c r="AB852" s="2" t="s">
        <v>7529</v>
      </c>
      <c r="AC852" s="2" t="s">
        <v>7530</v>
      </c>
      <c r="AO852" s="2" t="s">
        <v>1368</v>
      </c>
    </row>
    <row r="853" ht="15.75" customHeight="1">
      <c r="A853" s="2" t="s">
        <v>7678</v>
      </c>
      <c r="B853" s="2" t="s">
        <v>1396</v>
      </c>
      <c r="C853" s="2">
        <v>2009.0</v>
      </c>
      <c r="D853" s="2" t="s">
        <v>7679</v>
      </c>
      <c r="E853" s="2" t="s">
        <v>7680</v>
      </c>
      <c r="J853" s="12" t="str">
        <f>VLOOKUP(I853,'Copy of Enriched Data - IPBES G'!$L$2:$L$229,1,false)</f>
        <v>#N/A</v>
      </c>
      <c r="L853" s="2" t="s">
        <v>7681</v>
      </c>
      <c r="M853" s="2" t="s">
        <v>1364</v>
      </c>
      <c r="N853" s="2" t="s">
        <v>1385</v>
      </c>
      <c r="O853" s="2" t="s">
        <v>1386</v>
      </c>
      <c r="AB853" s="2" t="s">
        <v>7682</v>
      </c>
      <c r="AO853" s="2" t="s">
        <v>1368</v>
      </c>
    </row>
    <row r="854" ht="15.75" customHeight="1">
      <c r="A854" s="2" t="s">
        <v>7683</v>
      </c>
      <c r="B854" s="2" t="s">
        <v>1361</v>
      </c>
      <c r="C854" s="2">
        <v>2009.0</v>
      </c>
      <c r="D854" s="2" t="s">
        <v>7684</v>
      </c>
      <c r="E854" s="2" t="s">
        <v>7685</v>
      </c>
      <c r="F854" s="2" t="s">
        <v>7686</v>
      </c>
      <c r="H854" s="2" t="s">
        <v>7687</v>
      </c>
      <c r="I854" s="2" t="s">
        <v>7688</v>
      </c>
      <c r="J854" s="12" t="str">
        <f>VLOOKUP(I854,'Copy of Enriched Data - IPBES G'!$L$2:$L$229,1,false)</f>
        <v>#N/A</v>
      </c>
      <c r="L854" s="2" t="s">
        <v>7689</v>
      </c>
      <c r="M854" s="2" t="s">
        <v>7690</v>
      </c>
      <c r="N854" s="2" t="s">
        <v>1385</v>
      </c>
      <c r="O854" s="2" t="s">
        <v>1386</v>
      </c>
      <c r="Q854" s="2" t="s">
        <v>7691</v>
      </c>
      <c r="S854" s="2" t="s">
        <v>1462</v>
      </c>
      <c r="T854" s="2">
        <v>1.0</v>
      </c>
      <c r="AO854" s="2" t="s">
        <v>1368</v>
      </c>
    </row>
    <row r="855" ht="15.75" customHeight="1">
      <c r="A855" s="2" t="s">
        <v>7692</v>
      </c>
      <c r="B855" s="2" t="s">
        <v>1396</v>
      </c>
      <c r="C855" s="2">
        <v>1993.0</v>
      </c>
      <c r="D855" s="2" t="s">
        <v>7693</v>
      </c>
      <c r="E855" s="2" t="s">
        <v>7694</v>
      </c>
      <c r="J855" s="12" t="str">
        <f>VLOOKUP(I855,'Copy of Enriched Data - IPBES G'!$L$2:$L$229,1,false)</f>
        <v>#N/A</v>
      </c>
      <c r="M855" s="2" t="s">
        <v>2735</v>
      </c>
      <c r="N855" s="2" t="s">
        <v>1385</v>
      </c>
      <c r="O855" s="2" t="s">
        <v>1386</v>
      </c>
      <c r="AB855" s="2" t="s">
        <v>7695</v>
      </c>
      <c r="AO855" s="2" t="s">
        <v>1368</v>
      </c>
    </row>
    <row r="856" ht="15.75" customHeight="1">
      <c r="A856" s="2" t="s">
        <v>7696</v>
      </c>
      <c r="B856" s="2" t="s">
        <v>1396</v>
      </c>
      <c r="C856" s="2">
        <v>2004.0</v>
      </c>
      <c r="D856" s="2" t="s">
        <v>7697</v>
      </c>
      <c r="E856" s="2" t="s">
        <v>7698</v>
      </c>
      <c r="G856" s="2" t="s">
        <v>7699</v>
      </c>
      <c r="J856" s="12" t="str">
        <f>VLOOKUP(I856,'Copy of Enriched Data - IPBES G'!$L$2:$L$229,1,false)</f>
        <v>#N/A</v>
      </c>
      <c r="M856" s="2" t="s">
        <v>2373</v>
      </c>
      <c r="N856" s="2" t="s">
        <v>1385</v>
      </c>
      <c r="O856" s="2" t="s">
        <v>1386</v>
      </c>
      <c r="R856" s="2" t="s">
        <v>7700</v>
      </c>
      <c r="AB856" s="2" t="s">
        <v>7701</v>
      </c>
      <c r="AO856" s="2" t="s">
        <v>1368</v>
      </c>
    </row>
    <row r="857" ht="15.75" customHeight="1">
      <c r="A857" s="2" t="s">
        <v>7705</v>
      </c>
      <c r="B857" s="2" t="s">
        <v>1781</v>
      </c>
      <c r="C857" s="2">
        <v>2010.0</v>
      </c>
      <c r="D857" s="2" t="s">
        <v>7706</v>
      </c>
      <c r="E857" s="2" t="s">
        <v>7707</v>
      </c>
      <c r="J857" s="12" t="str">
        <f>VLOOKUP(I857,'Copy of Enriched Data - IPBES G'!$L$2:$L$229,1,false)</f>
        <v>#N/A</v>
      </c>
      <c r="M857" s="2" t="s">
        <v>1449</v>
      </c>
      <c r="N857" s="2" t="s">
        <v>1385</v>
      </c>
      <c r="O857" s="2" t="s">
        <v>1386</v>
      </c>
      <c r="AO857" s="2" t="s">
        <v>1368</v>
      </c>
    </row>
    <row r="858" ht="15.75" customHeight="1">
      <c r="A858" s="2" t="s">
        <v>7708</v>
      </c>
      <c r="B858" s="2" t="s">
        <v>1396</v>
      </c>
      <c r="C858" s="2">
        <v>2016.0</v>
      </c>
      <c r="D858" s="2" t="s">
        <v>7709</v>
      </c>
      <c r="E858" s="2" t="s">
        <v>7710</v>
      </c>
      <c r="G858" s="2" t="s">
        <v>7711</v>
      </c>
      <c r="J858" s="12" t="str">
        <f>VLOOKUP(I858,'Copy of Enriched Data - IPBES G'!$L$2:$L$229,1,false)</f>
        <v>#N/A</v>
      </c>
      <c r="L858" s="2" t="s">
        <v>7712</v>
      </c>
      <c r="M858" s="2" t="s">
        <v>1502</v>
      </c>
      <c r="N858" s="2" t="s">
        <v>1385</v>
      </c>
      <c r="O858" s="2" t="s">
        <v>1386</v>
      </c>
      <c r="AO858" s="2" t="s">
        <v>1368</v>
      </c>
    </row>
    <row r="859" ht="15.75" customHeight="1">
      <c r="A859" s="2" t="s">
        <v>7713</v>
      </c>
      <c r="B859" s="2" t="s">
        <v>1361</v>
      </c>
      <c r="C859" s="2">
        <v>2011.0</v>
      </c>
      <c r="D859" s="2" t="s">
        <v>7714</v>
      </c>
      <c r="E859" s="2" t="s">
        <v>7715</v>
      </c>
      <c r="F859" s="2" t="s">
        <v>1980</v>
      </c>
      <c r="H859" s="2" t="s">
        <v>7716</v>
      </c>
      <c r="I859" s="2" t="s">
        <v>7717</v>
      </c>
      <c r="J859" s="12" t="str">
        <f>VLOOKUP(I859,'Copy of Enriched Data - IPBES G'!$L$2:$L$229,1,false)</f>
        <v>#N/A</v>
      </c>
      <c r="L859" s="2" t="s">
        <v>7718</v>
      </c>
      <c r="M859" s="2" t="s">
        <v>1627</v>
      </c>
      <c r="N859" s="2" t="s">
        <v>1385</v>
      </c>
      <c r="O859" s="2" t="s">
        <v>1386</v>
      </c>
      <c r="AO859" s="2" t="s">
        <v>1368</v>
      </c>
    </row>
    <row r="860" ht="15.75" customHeight="1">
      <c r="A860" s="2" t="s">
        <v>7719</v>
      </c>
      <c r="B860" s="2" t="s">
        <v>1361</v>
      </c>
      <c r="C860" s="2">
        <v>1998.0</v>
      </c>
      <c r="D860" s="2" t="s">
        <v>7720</v>
      </c>
      <c r="E860" s="2" t="s">
        <v>7721</v>
      </c>
      <c r="F860" s="2" t="s">
        <v>4728</v>
      </c>
      <c r="H860" s="2" t="s">
        <v>7722</v>
      </c>
      <c r="I860" s="2" t="s">
        <v>7723</v>
      </c>
      <c r="J860" s="12" t="str">
        <f>VLOOKUP(I860,'Copy of Enriched Data - IPBES G'!$L$2:$L$229,1,false)</f>
        <v>#N/A</v>
      </c>
      <c r="L860" s="2" t="s">
        <v>7724</v>
      </c>
      <c r="M860" s="2" t="s">
        <v>1958</v>
      </c>
      <c r="N860" s="2" t="s">
        <v>1385</v>
      </c>
      <c r="O860" s="2" t="s">
        <v>1386</v>
      </c>
      <c r="AO860" s="2" t="s">
        <v>1368</v>
      </c>
    </row>
    <row r="861" ht="15.75" customHeight="1">
      <c r="A861" s="2" t="s">
        <v>7725</v>
      </c>
      <c r="B861" s="2" t="s">
        <v>1396</v>
      </c>
      <c r="C861" s="2">
        <v>2012.0</v>
      </c>
      <c r="D861" s="2" t="s">
        <v>7726</v>
      </c>
      <c r="E861" s="2" t="s">
        <v>7727</v>
      </c>
      <c r="J861" s="12" t="str">
        <f>VLOOKUP(I861,'Copy of Enriched Data - IPBES G'!$L$2:$L$229,1,false)</f>
        <v>#N/A</v>
      </c>
      <c r="M861" s="2" t="s">
        <v>1405</v>
      </c>
      <c r="N861" s="2" t="s">
        <v>1385</v>
      </c>
      <c r="O861" s="2" t="s">
        <v>1386</v>
      </c>
      <c r="AB861" s="2" t="s">
        <v>2187</v>
      </c>
      <c r="AO861" s="2" t="s">
        <v>1368</v>
      </c>
    </row>
    <row r="862" ht="15.75" customHeight="1">
      <c r="A862" s="2" t="s">
        <v>7728</v>
      </c>
      <c r="B862" s="2" t="s">
        <v>1623</v>
      </c>
      <c r="C862" s="2">
        <v>2015.0</v>
      </c>
      <c r="D862" s="2" t="s">
        <v>7729</v>
      </c>
      <c r="E862" s="2" t="s">
        <v>7730</v>
      </c>
      <c r="J862" s="12" t="str">
        <f>VLOOKUP(I862,'Copy of Enriched Data - IPBES G'!$L$2:$L$229,1,false)</f>
        <v>#N/A</v>
      </c>
      <c r="K862" s="2" t="s">
        <v>7731</v>
      </c>
      <c r="M862" s="2" t="s">
        <v>1373</v>
      </c>
      <c r="N862" s="2" t="s">
        <v>1385</v>
      </c>
      <c r="O862" s="2" t="s">
        <v>1386</v>
      </c>
      <c r="AB862" s="2" t="s">
        <v>7732</v>
      </c>
      <c r="AO862" s="2" t="s">
        <v>1368</v>
      </c>
    </row>
    <row r="863" ht="15.75" customHeight="1">
      <c r="A863" s="2" t="s">
        <v>7733</v>
      </c>
      <c r="B863" s="2" t="s">
        <v>1396</v>
      </c>
      <c r="C863" s="2">
        <v>1992.0</v>
      </c>
      <c r="D863" s="2" t="s">
        <v>7413</v>
      </c>
      <c r="E863" s="2" t="s">
        <v>7734</v>
      </c>
      <c r="J863" s="12" t="str">
        <f>VLOOKUP(I863,'Copy of Enriched Data - IPBES G'!$L$2:$L$229,1,false)</f>
        <v>#N/A</v>
      </c>
      <c r="M863" s="2" t="s">
        <v>3458</v>
      </c>
      <c r="N863" s="2" t="s">
        <v>1385</v>
      </c>
      <c r="O863" s="2" t="s">
        <v>1386</v>
      </c>
      <c r="AB863" s="2" t="s">
        <v>7735</v>
      </c>
      <c r="AO863" s="2" t="s">
        <v>1368</v>
      </c>
    </row>
    <row r="864" ht="15.75" customHeight="1">
      <c r="A864" s="2" t="s">
        <v>7736</v>
      </c>
      <c r="B864" s="2" t="s">
        <v>1396</v>
      </c>
      <c r="C864" s="2">
        <v>2003.0</v>
      </c>
      <c r="D864" s="2" t="s">
        <v>7737</v>
      </c>
      <c r="E864" s="2" t="s">
        <v>7738</v>
      </c>
      <c r="G864" s="2" t="s">
        <v>7739</v>
      </c>
      <c r="J864" s="12" t="str">
        <f>VLOOKUP(I864,'Copy of Enriched Data - IPBES G'!$L$2:$L$229,1,false)</f>
        <v>#N/A</v>
      </c>
      <c r="M864" s="2" t="s">
        <v>1606</v>
      </c>
      <c r="N864" s="2" t="s">
        <v>1385</v>
      </c>
      <c r="O864" s="2" t="s">
        <v>1386</v>
      </c>
      <c r="R864" s="2" t="s">
        <v>7740</v>
      </c>
      <c r="AB864" s="2" t="s">
        <v>7741</v>
      </c>
      <c r="AC864" s="2" t="s">
        <v>7742</v>
      </c>
      <c r="AO864" s="2" t="s">
        <v>1368</v>
      </c>
    </row>
    <row r="865" ht="15.75" customHeight="1">
      <c r="A865" s="2" t="s">
        <v>7743</v>
      </c>
      <c r="B865" s="2" t="s">
        <v>1396</v>
      </c>
      <c r="C865" s="2">
        <v>2007.0</v>
      </c>
      <c r="D865" s="2" t="s">
        <v>7356</v>
      </c>
      <c r="E865" s="2" t="s">
        <v>7744</v>
      </c>
      <c r="G865" s="2" t="s">
        <v>7745</v>
      </c>
      <c r="J865" s="12" t="str">
        <f>VLOOKUP(I865,'Copy of Enriched Data - IPBES G'!$L$2:$L$229,1,false)</f>
        <v>#N/A</v>
      </c>
      <c r="L865" s="2" t="s">
        <v>7746</v>
      </c>
      <c r="M865" s="2" t="s">
        <v>2380</v>
      </c>
      <c r="N865" s="2" t="s">
        <v>1385</v>
      </c>
      <c r="O865" s="2" t="s">
        <v>1386</v>
      </c>
      <c r="R865" s="2" t="s">
        <v>7747</v>
      </c>
      <c r="AB865" s="2" t="s">
        <v>6967</v>
      </c>
      <c r="AO865" s="2" t="s">
        <v>1368</v>
      </c>
    </row>
    <row r="866" ht="15.75" customHeight="1">
      <c r="A866" s="2" t="s">
        <v>7748</v>
      </c>
      <c r="B866" s="2" t="s">
        <v>1396</v>
      </c>
      <c r="C866" s="2">
        <v>2007.0</v>
      </c>
      <c r="D866" s="2" t="s">
        <v>7749</v>
      </c>
      <c r="E866" s="2" t="s">
        <v>7750</v>
      </c>
      <c r="G866" s="2" t="s">
        <v>7751</v>
      </c>
      <c r="J866" s="12" t="str">
        <f>VLOOKUP(I866,'Copy of Enriched Data - IPBES G'!$L$2:$L$229,1,false)</f>
        <v>#N/A</v>
      </c>
      <c r="L866" s="2" t="s">
        <v>7752</v>
      </c>
      <c r="M866" s="2" t="s">
        <v>2380</v>
      </c>
      <c r="N866" s="2" t="s">
        <v>1385</v>
      </c>
      <c r="O866" s="2" t="s">
        <v>1386</v>
      </c>
      <c r="R866" s="2" t="s">
        <v>6830</v>
      </c>
      <c r="AB866" s="2" t="s">
        <v>2993</v>
      </c>
      <c r="AO866" s="2" t="s">
        <v>1368</v>
      </c>
    </row>
    <row r="867" ht="15.75" customHeight="1">
      <c r="A867" s="2" t="s">
        <v>7753</v>
      </c>
      <c r="B867" s="2" t="s">
        <v>1361</v>
      </c>
      <c r="C867" s="2">
        <v>2011.0</v>
      </c>
      <c r="D867" s="2" t="s">
        <v>7754</v>
      </c>
      <c r="E867" s="2" t="s">
        <v>7755</v>
      </c>
      <c r="F867" s="2" t="s">
        <v>1876</v>
      </c>
      <c r="H867" s="2" t="s">
        <v>6702</v>
      </c>
      <c r="I867" s="2" t="s">
        <v>7756</v>
      </c>
      <c r="J867" s="12" t="str">
        <f>VLOOKUP(I867,'Copy of Enriched Data - IPBES G'!$L$2:$L$229,1,false)</f>
        <v>#N/A</v>
      </c>
      <c r="L867" s="2" t="s">
        <v>7757</v>
      </c>
      <c r="M867" s="2" t="s">
        <v>1627</v>
      </c>
      <c r="N867" s="2" t="s">
        <v>1385</v>
      </c>
      <c r="O867" s="2" t="s">
        <v>1386</v>
      </c>
      <c r="AO867" s="2" t="s">
        <v>1368</v>
      </c>
    </row>
    <row r="868" ht="15.75" customHeight="1">
      <c r="A868" s="2" t="s">
        <v>7758</v>
      </c>
      <c r="B868" s="2" t="s">
        <v>1361</v>
      </c>
      <c r="C868" s="2">
        <v>2002.0</v>
      </c>
      <c r="D868" s="2" t="s">
        <v>7759</v>
      </c>
      <c r="E868" s="2" t="s">
        <v>7760</v>
      </c>
      <c r="F868" s="2" t="s">
        <v>7761</v>
      </c>
      <c r="I868" s="2" t="s">
        <v>7762</v>
      </c>
      <c r="J868" s="12" t="str">
        <f>VLOOKUP(I868,'Copy of Enriched Data - IPBES G'!$L$2:$L$229,1,false)</f>
        <v>#N/A</v>
      </c>
      <c r="L868" s="2" t="s">
        <v>7763</v>
      </c>
      <c r="M868" s="2" t="s">
        <v>1493</v>
      </c>
      <c r="N868" s="2" t="s">
        <v>1385</v>
      </c>
      <c r="O868" s="2" t="s">
        <v>1386</v>
      </c>
      <c r="Q868" s="2" t="s">
        <v>7764</v>
      </c>
      <c r="S868" s="2" t="s">
        <v>1453</v>
      </c>
      <c r="T868" s="2">
        <v>22.0</v>
      </c>
      <c r="AO868" s="2" t="s">
        <v>1368</v>
      </c>
    </row>
    <row r="869" ht="15.75" customHeight="1">
      <c r="A869" s="2" t="s">
        <v>7765</v>
      </c>
      <c r="B869" s="2" t="s">
        <v>1766</v>
      </c>
      <c r="C869" s="2">
        <v>2009.0</v>
      </c>
      <c r="D869" s="2" t="s">
        <v>7766</v>
      </c>
      <c r="E869" s="2" t="s">
        <v>7767</v>
      </c>
      <c r="F869" s="2" t="s">
        <v>7768</v>
      </c>
      <c r="J869" s="12" t="str">
        <f>VLOOKUP(I869,'Copy of Enriched Data - IPBES G'!$L$2:$L$229,1,false)</f>
        <v>#N/A</v>
      </c>
      <c r="M869" s="2" t="s">
        <v>1364</v>
      </c>
      <c r="N869" s="2" t="s">
        <v>1385</v>
      </c>
      <c r="O869" s="2" t="s">
        <v>1386</v>
      </c>
      <c r="Q869" s="2" t="s">
        <v>7769</v>
      </c>
      <c r="AB869" s="2" t="s">
        <v>7770</v>
      </c>
      <c r="AO869" s="2" t="s">
        <v>1368</v>
      </c>
      <c r="AQ869" s="2" t="s">
        <v>7771</v>
      </c>
    </row>
    <row r="870" ht="15.75" customHeight="1">
      <c r="A870" s="2" t="s">
        <v>7772</v>
      </c>
      <c r="B870" s="2" t="s">
        <v>1361</v>
      </c>
      <c r="C870" s="2">
        <v>2010.0</v>
      </c>
      <c r="D870" s="2" t="s">
        <v>7773</v>
      </c>
      <c r="E870" s="2" t="s">
        <v>7774</v>
      </c>
      <c r="F870" s="2" t="s">
        <v>4995</v>
      </c>
      <c r="H870" s="2" t="s">
        <v>4996</v>
      </c>
      <c r="I870" s="2" t="s">
        <v>7775</v>
      </c>
      <c r="J870" s="12" t="str">
        <f>VLOOKUP(I870,'Copy of Enriched Data - IPBES G'!$L$2:$L$229,1,false)</f>
        <v>#N/A</v>
      </c>
      <c r="M870" s="2" t="s">
        <v>7776</v>
      </c>
      <c r="N870" s="2" t="s">
        <v>1385</v>
      </c>
      <c r="O870" s="2" t="s">
        <v>1386</v>
      </c>
      <c r="Q870" s="2" t="s">
        <v>7777</v>
      </c>
      <c r="S870" s="2" t="s">
        <v>1600</v>
      </c>
      <c r="T870" s="2">
        <v>41.0</v>
      </c>
      <c r="AO870" s="2" t="s">
        <v>1368</v>
      </c>
    </row>
    <row r="871" ht="15.75" customHeight="1">
      <c r="A871" s="2" t="s">
        <v>7778</v>
      </c>
      <c r="B871" s="2" t="s">
        <v>1361</v>
      </c>
      <c r="C871" s="2">
        <v>1981.0</v>
      </c>
      <c r="D871" s="2" t="s">
        <v>7779</v>
      </c>
      <c r="E871" s="2" t="s">
        <v>7780</v>
      </c>
      <c r="F871" s="2" t="s">
        <v>7781</v>
      </c>
      <c r="H871" s="2" t="s">
        <v>7782</v>
      </c>
      <c r="I871" s="2" t="s">
        <v>7783</v>
      </c>
      <c r="J871" s="12" t="str">
        <f>VLOOKUP(I871,'Copy of Enriched Data - IPBES G'!$L$2:$L$229,1,false)</f>
        <v>#N/A</v>
      </c>
      <c r="L871" s="2" t="s">
        <v>7784</v>
      </c>
      <c r="M871" s="2" t="s">
        <v>2462</v>
      </c>
      <c r="N871" s="2" t="s">
        <v>1385</v>
      </c>
      <c r="O871" s="2" t="s">
        <v>1386</v>
      </c>
      <c r="AO871" s="2" t="s">
        <v>1368</v>
      </c>
    </row>
    <row r="872" ht="15.75" customHeight="1">
      <c r="A872" s="2" t="s">
        <v>7785</v>
      </c>
      <c r="B872" s="2" t="s">
        <v>1361</v>
      </c>
      <c r="C872" s="2">
        <v>2006.0</v>
      </c>
      <c r="D872" s="2" t="s">
        <v>7786</v>
      </c>
      <c r="E872" s="2" t="s">
        <v>7787</v>
      </c>
      <c r="F872" s="2" t="s">
        <v>7008</v>
      </c>
      <c r="H872" s="2" t="s">
        <v>7009</v>
      </c>
      <c r="I872" s="2" t="s">
        <v>7788</v>
      </c>
      <c r="J872" s="12" t="str">
        <f>VLOOKUP(I872,'Copy of Enriched Data - IPBES G'!$L$2:$L$229,1,false)</f>
        <v>#N/A</v>
      </c>
      <c r="M872" s="2" t="s">
        <v>1727</v>
      </c>
      <c r="N872" s="2" t="s">
        <v>1385</v>
      </c>
      <c r="O872" s="2" t="s">
        <v>1386</v>
      </c>
      <c r="Q872" s="2" t="s">
        <v>7789</v>
      </c>
      <c r="S872" s="2" t="s">
        <v>1506</v>
      </c>
      <c r="T872" s="2">
        <v>38.0</v>
      </c>
      <c r="AO872" s="2" t="s">
        <v>1368</v>
      </c>
    </row>
    <row r="873" ht="15.75" customHeight="1">
      <c r="A873" s="2" t="s">
        <v>7790</v>
      </c>
      <c r="B873" s="2" t="s">
        <v>1361</v>
      </c>
      <c r="C873" s="2">
        <v>2017.0</v>
      </c>
      <c r="D873" s="2" t="s">
        <v>7791</v>
      </c>
      <c r="E873" s="2" t="s">
        <v>7792</v>
      </c>
      <c r="F873" s="2" t="s">
        <v>7793</v>
      </c>
      <c r="H873" s="2" t="s">
        <v>7794</v>
      </c>
      <c r="I873" s="2" t="s">
        <v>7795</v>
      </c>
      <c r="J873" s="12" t="str">
        <f>VLOOKUP(I873,'Copy of Enriched Data - IPBES G'!$L$2:$L$229,1,false)</f>
        <v>#N/A</v>
      </c>
      <c r="L873" s="2" t="s">
        <v>7796</v>
      </c>
      <c r="M873" s="2" t="s">
        <v>1658</v>
      </c>
      <c r="N873" s="2" t="s">
        <v>1385</v>
      </c>
      <c r="O873" s="2" t="s">
        <v>1386</v>
      </c>
      <c r="Q873" s="2" t="s">
        <v>7797</v>
      </c>
      <c r="S873" s="2" t="s">
        <v>1937</v>
      </c>
      <c r="T873" s="2">
        <v>107.0</v>
      </c>
      <c r="AO873" s="2" t="s">
        <v>1368</v>
      </c>
    </row>
    <row r="874" ht="15.75" customHeight="1">
      <c r="A874" s="2" t="s">
        <v>7798</v>
      </c>
      <c r="B874" s="2" t="s">
        <v>1361</v>
      </c>
      <c r="C874" s="2">
        <v>2018.0</v>
      </c>
      <c r="D874" s="2" t="s">
        <v>7799</v>
      </c>
      <c r="E874" s="2" t="s">
        <v>7800</v>
      </c>
      <c r="F874" s="2" t="s">
        <v>1688</v>
      </c>
      <c r="H874" s="2" t="s">
        <v>1689</v>
      </c>
      <c r="I874" s="2" t="s">
        <v>7801</v>
      </c>
      <c r="J874" s="12" t="str">
        <f>VLOOKUP(I874,'Copy of Enriched Data - IPBES G'!$L$2:$L$229,1,false)</f>
        <v>#N/A</v>
      </c>
      <c r="L874" s="2" t="s">
        <v>7802</v>
      </c>
      <c r="M874" s="2" t="s">
        <v>1420</v>
      </c>
      <c r="N874" s="2" t="s">
        <v>1385</v>
      </c>
      <c r="O874" s="2" t="s">
        <v>1386</v>
      </c>
      <c r="Q874" s="2" t="s">
        <v>7803</v>
      </c>
      <c r="S874" s="2" t="s">
        <v>2237</v>
      </c>
      <c r="T874" s="2">
        <v>115.0</v>
      </c>
      <c r="AO874" s="2" t="s">
        <v>1368</v>
      </c>
    </row>
    <row r="875" ht="15.75" customHeight="1">
      <c r="A875" s="2" t="s">
        <v>7804</v>
      </c>
      <c r="B875" s="2" t="s">
        <v>1361</v>
      </c>
      <c r="C875" s="2">
        <v>1997.0</v>
      </c>
      <c r="D875" s="2" t="s">
        <v>7805</v>
      </c>
      <c r="E875" s="2" t="s">
        <v>7806</v>
      </c>
      <c r="F875" s="2" t="s">
        <v>7807</v>
      </c>
      <c r="I875" s="2" t="s">
        <v>7808</v>
      </c>
      <c r="J875" s="12" t="str">
        <f>VLOOKUP(I875,'Copy of Enriched Data - IPBES G'!$L$2:$L$229,1,false)</f>
        <v>#N/A</v>
      </c>
      <c r="L875" s="2" t="s">
        <v>7809</v>
      </c>
      <c r="M875" s="2" t="s">
        <v>1804</v>
      </c>
      <c r="N875" s="2" t="s">
        <v>1385</v>
      </c>
      <c r="O875" s="2" t="s">
        <v>1386</v>
      </c>
      <c r="AO875" s="2" t="s">
        <v>1368</v>
      </c>
    </row>
    <row r="876" ht="15.75" customHeight="1">
      <c r="A876" s="2" t="s">
        <v>7810</v>
      </c>
      <c r="B876" s="2" t="s">
        <v>1361</v>
      </c>
      <c r="C876" s="2">
        <v>1980.0</v>
      </c>
      <c r="D876" s="2" t="s">
        <v>7811</v>
      </c>
      <c r="E876" s="2" t="s">
        <v>7812</v>
      </c>
      <c r="F876" s="2" t="s">
        <v>4995</v>
      </c>
      <c r="H876" s="2" t="s">
        <v>4996</v>
      </c>
      <c r="I876" s="2" t="s">
        <v>7813</v>
      </c>
      <c r="J876" s="12" t="str">
        <f>VLOOKUP(I876,'Copy of Enriched Data - IPBES G'!$L$2:$L$229,1,false)</f>
        <v>#N/A</v>
      </c>
      <c r="M876" s="2" t="s">
        <v>7814</v>
      </c>
      <c r="N876" s="2" t="s">
        <v>1385</v>
      </c>
      <c r="O876" s="2" t="s">
        <v>1386</v>
      </c>
      <c r="Q876" s="2" t="s">
        <v>7815</v>
      </c>
      <c r="S876" s="2" t="s">
        <v>1506</v>
      </c>
      <c r="T876" s="2">
        <v>11.0</v>
      </c>
      <c r="AO876" s="2" t="s">
        <v>1368</v>
      </c>
    </row>
    <row r="877" ht="15.75" customHeight="1">
      <c r="A877" s="2" t="s">
        <v>7816</v>
      </c>
      <c r="B877" s="2" t="s">
        <v>1396</v>
      </c>
      <c r="C877" s="2">
        <v>2008.0</v>
      </c>
      <c r="D877" s="2" t="s">
        <v>7817</v>
      </c>
      <c r="E877" s="2" t="s">
        <v>7818</v>
      </c>
      <c r="G877" s="2" t="s">
        <v>7819</v>
      </c>
      <c r="J877" s="12" t="str">
        <f>VLOOKUP(I877,'Copy of Enriched Data - IPBES G'!$L$2:$L$229,1,false)</f>
        <v>#N/A</v>
      </c>
      <c r="M877" s="2" t="s">
        <v>1458</v>
      </c>
      <c r="N877" s="2" t="s">
        <v>1385</v>
      </c>
      <c r="O877" s="2" t="s">
        <v>1386</v>
      </c>
      <c r="R877" s="2" t="s">
        <v>7820</v>
      </c>
      <c r="AB877" s="2" t="s">
        <v>7821</v>
      </c>
      <c r="AC877" s="2" t="s">
        <v>7822</v>
      </c>
      <c r="AO877" s="2" t="s">
        <v>1368</v>
      </c>
    </row>
    <row r="878" ht="15.75" customHeight="1">
      <c r="A878" s="2" t="s">
        <v>7827</v>
      </c>
      <c r="B878" s="2" t="s">
        <v>1396</v>
      </c>
      <c r="C878" s="2">
        <v>2015.0</v>
      </c>
      <c r="D878" s="2" t="s">
        <v>7828</v>
      </c>
      <c r="E878" s="2" t="s">
        <v>7829</v>
      </c>
      <c r="J878" s="12" t="str">
        <f>VLOOKUP(I878,'Copy of Enriched Data - IPBES G'!$L$2:$L$229,1,false)</f>
        <v>#N/A</v>
      </c>
      <c r="M878" s="2" t="s">
        <v>1373</v>
      </c>
      <c r="N878" s="2" t="s">
        <v>1385</v>
      </c>
      <c r="O878" s="2" t="s">
        <v>1386</v>
      </c>
      <c r="AB878" s="2" t="s">
        <v>7830</v>
      </c>
      <c r="AO878" s="2" t="s">
        <v>1368</v>
      </c>
    </row>
    <row r="879" ht="15.75" customHeight="1">
      <c r="A879" s="2" t="s">
        <v>7831</v>
      </c>
      <c r="B879" s="2" t="s">
        <v>1361</v>
      </c>
      <c r="C879" s="2">
        <v>1969.0</v>
      </c>
      <c r="D879" s="2" t="s">
        <v>7832</v>
      </c>
      <c r="E879" s="2" t="s">
        <v>7833</v>
      </c>
      <c r="F879" s="2" t="s">
        <v>7834</v>
      </c>
      <c r="H879" s="2" t="s">
        <v>7835</v>
      </c>
      <c r="I879" s="2" t="s">
        <v>7836</v>
      </c>
      <c r="J879" s="12" t="str">
        <f>VLOOKUP(I879,'Copy of Enriched Data - IPBES G'!$L$2:$L$229,1,false)</f>
        <v>#N/A</v>
      </c>
      <c r="L879" s="2" t="s">
        <v>7837</v>
      </c>
      <c r="M879" s="2" t="s">
        <v>7838</v>
      </c>
      <c r="N879" s="2" t="s">
        <v>1385</v>
      </c>
      <c r="O879" s="2" t="s">
        <v>1386</v>
      </c>
      <c r="AO879" s="2" t="s">
        <v>1368</v>
      </c>
    </row>
    <row r="880" ht="15.75" customHeight="1">
      <c r="A880" s="2" t="s">
        <v>7839</v>
      </c>
      <c r="B880" s="2" t="s">
        <v>1766</v>
      </c>
      <c r="C880" s="2">
        <v>2003.0</v>
      </c>
      <c r="D880" s="2" t="s">
        <v>7840</v>
      </c>
      <c r="E880" s="2" t="s">
        <v>7841</v>
      </c>
      <c r="F880" s="2" t="s">
        <v>7841</v>
      </c>
      <c r="G880" s="2" t="s">
        <v>7842</v>
      </c>
      <c r="J880" s="12" t="str">
        <f>VLOOKUP(I880,'Copy of Enriched Data - IPBES G'!$L$2:$L$229,1,false)</f>
        <v>#N/A</v>
      </c>
      <c r="M880" s="2" t="s">
        <v>1606</v>
      </c>
      <c r="N880" s="2" t="s">
        <v>1385</v>
      </c>
      <c r="O880" s="2" t="s">
        <v>1386</v>
      </c>
      <c r="Q880" s="2" t="s">
        <v>7843</v>
      </c>
      <c r="AB880" s="2" t="s">
        <v>7844</v>
      </c>
      <c r="AC880" s="2" t="s">
        <v>5295</v>
      </c>
      <c r="AO880" s="2" t="s">
        <v>1368</v>
      </c>
      <c r="AQ880" s="2" t="s">
        <v>7845</v>
      </c>
    </row>
    <row r="881" ht="15.75" customHeight="1">
      <c r="A881" s="2" t="s">
        <v>7846</v>
      </c>
      <c r="B881" s="2" t="s">
        <v>1361</v>
      </c>
      <c r="C881" s="2">
        <v>2016.0</v>
      </c>
      <c r="D881" s="2" t="s">
        <v>7847</v>
      </c>
      <c r="E881" s="2" t="s">
        <v>7848</v>
      </c>
      <c r="F881" s="2" t="s">
        <v>1789</v>
      </c>
      <c r="H881" s="2" t="s">
        <v>1790</v>
      </c>
      <c r="I881" s="2" t="s">
        <v>7849</v>
      </c>
      <c r="J881" s="12" t="str">
        <f>VLOOKUP(I881,'Copy of Enriched Data - IPBES G'!$L$2:$L$229,1,false)</f>
        <v>#N/A</v>
      </c>
      <c r="L881" s="2" t="s">
        <v>7850</v>
      </c>
      <c r="M881" s="2" t="s">
        <v>7676</v>
      </c>
      <c r="N881" s="2" t="s">
        <v>1385</v>
      </c>
      <c r="O881" s="2" t="s">
        <v>1386</v>
      </c>
      <c r="Q881" s="2" t="s">
        <v>7851</v>
      </c>
      <c r="T881" s="2">
        <v>41.0</v>
      </c>
      <c r="AO881" s="2" t="s">
        <v>1368</v>
      </c>
    </row>
    <row r="882" ht="15.75" customHeight="1">
      <c r="A882" s="2" t="s">
        <v>7852</v>
      </c>
      <c r="B882" s="2" t="s">
        <v>1361</v>
      </c>
      <c r="C882" s="2">
        <v>2005.0</v>
      </c>
      <c r="D882" s="2" t="s">
        <v>7853</v>
      </c>
      <c r="E882" s="2" t="s">
        <v>7854</v>
      </c>
      <c r="F882" s="2" t="s">
        <v>6363</v>
      </c>
      <c r="H882" s="2" t="s">
        <v>6364</v>
      </c>
      <c r="I882" s="2" t="s">
        <v>7855</v>
      </c>
      <c r="J882" s="12" t="str">
        <f>VLOOKUP(I882,'Copy of Enriched Data - IPBES G'!$L$2:$L$229,1,false)</f>
        <v>#N/A</v>
      </c>
      <c r="L882" s="2" t="s">
        <v>7856</v>
      </c>
      <c r="M882" s="2" t="s">
        <v>1394</v>
      </c>
      <c r="N882" s="2" t="s">
        <v>1385</v>
      </c>
      <c r="O882" s="2" t="s">
        <v>1386</v>
      </c>
      <c r="Q882" s="2" t="s">
        <v>7857</v>
      </c>
      <c r="S882" s="2" t="s">
        <v>2646</v>
      </c>
      <c r="T882" s="2">
        <v>8.0</v>
      </c>
      <c r="AO882" s="2" t="s">
        <v>1368</v>
      </c>
    </row>
    <row r="883" ht="15.75" customHeight="1">
      <c r="A883" s="2" t="s">
        <v>7858</v>
      </c>
      <c r="B883" s="2" t="s">
        <v>1361</v>
      </c>
      <c r="C883" s="2">
        <v>2011.0</v>
      </c>
      <c r="D883" s="2" t="s">
        <v>7859</v>
      </c>
      <c r="E883" s="2" t="s">
        <v>7860</v>
      </c>
      <c r="F883" s="2" t="s">
        <v>1425</v>
      </c>
      <c r="H883" s="2" t="s">
        <v>1426</v>
      </c>
      <c r="I883" s="2" t="s">
        <v>7861</v>
      </c>
      <c r="J883" s="12" t="str">
        <f>VLOOKUP(I883,'Copy of Enriched Data - IPBES G'!$L$2:$L$229,1,false)</f>
        <v>#N/A</v>
      </c>
      <c r="L883" s="2" t="s">
        <v>7862</v>
      </c>
      <c r="M883" s="2" t="s">
        <v>1627</v>
      </c>
      <c r="N883" s="2" t="s">
        <v>1385</v>
      </c>
      <c r="O883" s="2" t="s">
        <v>1386</v>
      </c>
      <c r="Q883" s="2" t="s">
        <v>7863</v>
      </c>
      <c r="S883" s="2" t="s">
        <v>1453</v>
      </c>
      <c r="T883" s="2">
        <v>62.0</v>
      </c>
      <c r="AO883" s="2" t="s">
        <v>1368</v>
      </c>
    </row>
    <row r="884" ht="15.75" customHeight="1">
      <c r="A884" s="2" t="s">
        <v>7864</v>
      </c>
      <c r="B884" s="2" t="s">
        <v>1361</v>
      </c>
      <c r="C884" s="2">
        <v>2014.0</v>
      </c>
      <c r="D884" s="2" t="s">
        <v>7865</v>
      </c>
      <c r="E884" s="2" t="s">
        <v>7866</v>
      </c>
      <c r="F884" s="2" t="s">
        <v>7867</v>
      </c>
      <c r="H884" s="2" t="s">
        <v>7868</v>
      </c>
      <c r="I884" s="2" t="s">
        <v>7869</v>
      </c>
      <c r="J884" s="12" t="str">
        <f>VLOOKUP(I884,'Copy of Enriched Data - IPBES G'!$L$2:$L$229,1,false)</f>
        <v>#N/A</v>
      </c>
      <c r="L884" s="2" t="s">
        <v>7870</v>
      </c>
      <c r="M884" s="2" t="s">
        <v>2651</v>
      </c>
      <c r="N884" s="2" t="s">
        <v>1385</v>
      </c>
      <c r="O884" s="2" t="s">
        <v>1386</v>
      </c>
      <c r="Q884" s="2" t="s">
        <v>7871</v>
      </c>
      <c r="S884" s="2" t="s">
        <v>1937</v>
      </c>
      <c r="T884" s="2">
        <v>54.0</v>
      </c>
      <c r="AO884" s="2" t="s">
        <v>1368</v>
      </c>
    </row>
    <row r="885" ht="15.75" customHeight="1">
      <c r="A885" s="2" t="s">
        <v>7872</v>
      </c>
      <c r="B885" s="2" t="s">
        <v>1361</v>
      </c>
      <c r="C885" s="2">
        <v>2011.0</v>
      </c>
      <c r="D885" s="2" t="s">
        <v>7873</v>
      </c>
      <c r="E885" s="2" t="s">
        <v>7874</v>
      </c>
      <c r="F885" s="2" t="s">
        <v>7875</v>
      </c>
      <c r="H885" s="2" t="s">
        <v>7876</v>
      </c>
      <c r="I885" s="2" t="s">
        <v>7877</v>
      </c>
      <c r="J885" s="12" t="str">
        <f>VLOOKUP(I885,'Copy of Enriched Data - IPBES G'!$L$2:$L$229,1,false)</f>
        <v>#N/A</v>
      </c>
      <c r="K885" s="2" t="s">
        <v>7878</v>
      </c>
      <c r="L885" s="2" t="s">
        <v>7879</v>
      </c>
      <c r="M885" s="2" t="s">
        <v>3064</v>
      </c>
      <c r="N885" s="2" t="s">
        <v>1385</v>
      </c>
      <c r="O885" s="2" t="s">
        <v>1386</v>
      </c>
      <c r="Q885" s="2" t="s">
        <v>7880</v>
      </c>
      <c r="S885" s="2" t="s">
        <v>1453</v>
      </c>
      <c r="T885" s="2">
        <v>49.0</v>
      </c>
      <c r="AO885" s="2" t="s">
        <v>1368</v>
      </c>
    </row>
    <row r="886" ht="15.75" customHeight="1">
      <c r="A886" s="2" t="s">
        <v>7881</v>
      </c>
      <c r="B886" s="2" t="s">
        <v>1361</v>
      </c>
      <c r="C886" s="2">
        <v>1992.0</v>
      </c>
      <c r="D886" s="2" t="s">
        <v>7447</v>
      </c>
      <c r="E886" s="2" t="s">
        <v>7882</v>
      </c>
      <c r="F886" s="2" t="s">
        <v>7883</v>
      </c>
      <c r="J886" s="12" t="str">
        <f>VLOOKUP(I886,'Copy of Enriched Data - IPBES G'!$L$2:$L$229,1,false)</f>
        <v>#N/A</v>
      </c>
      <c r="M886" s="2" t="s">
        <v>3458</v>
      </c>
      <c r="N886" s="2" t="s">
        <v>1385</v>
      </c>
      <c r="O886" s="2" t="s">
        <v>1386</v>
      </c>
      <c r="AO886" s="2" t="s">
        <v>1368</v>
      </c>
    </row>
    <row r="887" ht="15.75" customHeight="1">
      <c r="A887" s="2" t="s">
        <v>7884</v>
      </c>
      <c r="B887" s="2" t="s">
        <v>1766</v>
      </c>
      <c r="C887" s="2">
        <v>1966.0</v>
      </c>
      <c r="D887" s="2" t="s">
        <v>7447</v>
      </c>
      <c r="E887" s="2" t="s">
        <v>7885</v>
      </c>
      <c r="F887" s="2" t="s">
        <v>7886</v>
      </c>
      <c r="J887" s="12" t="str">
        <f>VLOOKUP(I887,'Copy of Enriched Data - IPBES G'!$L$2:$L$229,1,false)</f>
        <v>#N/A</v>
      </c>
      <c r="M887" s="2" t="s">
        <v>7887</v>
      </c>
      <c r="N887" s="2" t="s">
        <v>1385</v>
      </c>
      <c r="O887" s="2" t="s">
        <v>1386</v>
      </c>
      <c r="Q887" s="2" t="s">
        <v>7888</v>
      </c>
      <c r="AB887" s="2" t="s">
        <v>1771</v>
      </c>
      <c r="AO887" s="2" t="s">
        <v>1368</v>
      </c>
    </row>
    <row r="888" ht="15.75" customHeight="1">
      <c r="A888" s="2" t="s">
        <v>7889</v>
      </c>
      <c r="B888" s="2" t="s">
        <v>1361</v>
      </c>
      <c r="C888" s="2">
        <v>2015.0</v>
      </c>
      <c r="D888" s="2" t="s">
        <v>7890</v>
      </c>
      <c r="E888" s="2" t="s">
        <v>7891</v>
      </c>
      <c r="F888" s="2" t="s">
        <v>7892</v>
      </c>
      <c r="J888" s="12" t="str">
        <f>VLOOKUP(I888,'Copy of Enriched Data - IPBES G'!$L$2:$L$229,1,false)</f>
        <v>#N/A</v>
      </c>
      <c r="M888" s="2" t="s">
        <v>1373</v>
      </c>
      <c r="N888" s="2" t="s">
        <v>1385</v>
      </c>
      <c r="O888" s="2" t="s">
        <v>1386</v>
      </c>
      <c r="AO888" s="2" t="s">
        <v>1368</v>
      </c>
    </row>
    <row r="889" ht="15.75" customHeight="1">
      <c r="A889" s="2" t="s">
        <v>7893</v>
      </c>
      <c r="B889" s="2" t="s">
        <v>1361</v>
      </c>
      <c r="C889" s="2">
        <v>2014.0</v>
      </c>
      <c r="D889" s="2" t="s">
        <v>7894</v>
      </c>
      <c r="E889" s="2" t="s">
        <v>7895</v>
      </c>
      <c r="J889" s="12" t="str">
        <f>VLOOKUP(I889,'Copy of Enriched Data - IPBES G'!$L$2:$L$229,1,false)</f>
        <v>#N/A</v>
      </c>
      <c r="M889" s="2" t="s">
        <v>1476</v>
      </c>
      <c r="N889" s="2" t="s">
        <v>1385</v>
      </c>
      <c r="O889" s="2" t="s">
        <v>1386</v>
      </c>
      <c r="AO889" s="2" t="s">
        <v>1368</v>
      </c>
    </row>
    <row r="890" ht="15.75" customHeight="1">
      <c r="A890" s="2" t="s">
        <v>7896</v>
      </c>
      <c r="B890" s="2" t="s">
        <v>1396</v>
      </c>
      <c r="C890" s="2">
        <v>2009.0</v>
      </c>
      <c r="D890" s="2" t="s">
        <v>7447</v>
      </c>
      <c r="E890" s="2" t="s">
        <v>7897</v>
      </c>
      <c r="J890" s="12" t="str">
        <f>VLOOKUP(I890,'Copy of Enriched Data - IPBES G'!$L$2:$L$229,1,false)</f>
        <v>#N/A</v>
      </c>
      <c r="M890" s="2" t="s">
        <v>1364</v>
      </c>
      <c r="N890" s="2" t="s">
        <v>1385</v>
      </c>
      <c r="O890" s="2" t="s">
        <v>1386</v>
      </c>
      <c r="AB890" s="2" t="s">
        <v>7898</v>
      </c>
      <c r="AO890" s="2" t="s">
        <v>1368</v>
      </c>
    </row>
    <row r="891" ht="15.75" customHeight="1">
      <c r="A891" s="2" t="s">
        <v>7899</v>
      </c>
      <c r="B891" s="2" t="s">
        <v>1781</v>
      </c>
      <c r="C891" s="2">
        <v>2013.0</v>
      </c>
      <c r="D891" s="2" t="s">
        <v>7506</v>
      </c>
      <c r="E891" s="2" t="s">
        <v>7900</v>
      </c>
      <c r="J891" s="12" t="str">
        <f>VLOOKUP(I891,'Copy of Enriched Data - IPBES G'!$L$2:$L$229,1,false)</f>
        <v>#N/A</v>
      </c>
      <c r="L891" s="2" t="s">
        <v>7901</v>
      </c>
      <c r="M891" s="2" t="s">
        <v>1429</v>
      </c>
      <c r="N891" s="2" t="s">
        <v>1385</v>
      </c>
      <c r="O891" s="2" t="s">
        <v>1386</v>
      </c>
      <c r="AO891" s="2" t="s">
        <v>1368</v>
      </c>
    </row>
    <row r="892" ht="15.75" customHeight="1">
      <c r="A892" s="2" t="s">
        <v>7902</v>
      </c>
      <c r="B892" s="2" t="s">
        <v>1396</v>
      </c>
      <c r="C892" s="2">
        <v>2016.0</v>
      </c>
      <c r="D892" s="2" t="s">
        <v>7447</v>
      </c>
      <c r="E892" s="2" t="s">
        <v>7903</v>
      </c>
      <c r="J892" s="12" t="str">
        <f>VLOOKUP(I892,'Copy of Enriched Data - IPBES G'!$L$2:$L$229,1,false)</f>
        <v>#N/A</v>
      </c>
      <c r="M892" s="2" t="s">
        <v>1502</v>
      </c>
      <c r="N892" s="2" t="s">
        <v>1385</v>
      </c>
      <c r="O892" s="2" t="s">
        <v>1386</v>
      </c>
      <c r="AO892" s="2" t="s">
        <v>1368</v>
      </c>
    </row>
    <row r="893" ht="15.75" customHeight="1">
      <c r="A893" s="2" t="s">
        <v>7904</v>
      </c>
      <c r="B893" s="2" t="s">
        <v>1781</v>
      </c>
      <c r="C893" s="2">
        <v>2003.0</v>
      </c>
      <c r="D893" s="2" t="s">
        <v>7447</v>
      </c>
      <c r="E893" s="2" t="s">
        <v>7905</v>
      </c>
      <c r="J893" s="12" t="str">
        <f>VLOOKUP(I893,'Copy of Enriched Data - IPBES G'!$L$2:$L$229,1,false)</f>
        <v>#N/A</v>
      </c>
      <c r="M893" s="2" t="s">
        <v>1606</v>
      </c>
      <c r="N893" s="2" t="s">
        <v>1385</v>
      </c>
      <c r="O893" s="2" t="s">
        <v>1386</v>
      </c>
      <c r="AO893" s="2" t="s">
        <v>1368</v>
      </c>
    </row>
    <row r="894" ht="15.75" customHeight="1">
      <c r="A894" s="2" t="s">
        <v>7906</v>
      </c>
      <c r="B894" s="2" t="s">
        <v>1361</v>
      </c>
      <c r="C894" s="2">
        <v>2018.0</v>
      </c>
      <c r="D894" s="2" t="s">
        <v>7907</v>
      </c>
      <c r="E894" s="2" t="s">
        <v>7908</v>
      </c>
      <c r="F894" s="2" t="s">
        <v>1380</v>
      </c>
      <c r="I894" s="2" t="s">
        <v>7909</v>
      </c>
      <c r="J894" s="12" t="str">
        <f>VLOOKUP(I894,'Copy of Enriched Data - IPBES G'!$L$2:$L$229,1,false)</f>
        <v>#N/A</v>
      </c>
      <c r="M894" s="2" t="s">
        <v>1420</v>
      </c>
      <c r="N894" s="2" t="s">
        <v>7910</v>
      </c>
      <c r="O894" s="2" t="s">
        <v>7911</v>
      </c>
      <c r="Q894" s="2" t="s">
        <v>7912</v>
      </c>
      <c r="S894" s="2">
        <v>7694.0</v>
      </c>
      <c r="T894" s="2">
        <v>555.0</v>
      </c>
      <c r="AO894" s="2" t="s">
        <v>1368</v>
      </c>
    </row>
    <row r="895" ht="15.75" customHeight="1">
      <c r="A895" s="2" t="s">
        <v>7913</v>
      </c>
      <c r="B895" s="2" t="s">
        <v>1361</v>
      </c>
      <c r="C895" s="2">
        <v>2014.0</v>
      </c>
      <c r="D895" s="2" t="s">
        <v>7914</v>
      </c>
      <c r="E895" s="2" t="s">
        <v>7915</v>
      </c>
      <c r="F895" s="2" t="s">
        <v>1380</v>
      </c>
      <c r="H895" s="2" t="s">
        <v>7916</v>
      </c>
      <c r="I895" s="2" t="s">
        <v>7917</v>
      </c>
      <c r="J895" s="12" t="str">
        <f>VLOOKUP(I895,'Copy of Enriched Data - IPBES G'!$L$2:$L$229,1,false)</f>
        <v>#N/A</v>
      </c>
      <c r="M895" s="2" t="s">
        <v>2651</v>
      </c>
      <c r="N895" s="2" t="s">
        <v>7918</v>
      </c>
      <c r="O895" s="2" t="s">
        <v>7919</v>
      </c>
      <c r="Q895" s="2" t="s">
        <v>7920</v>
      </c>
      <c r="S895" s="2">
        <v>7499.0</v>
      </c>
      <c r="T895" s="2">
        <v>509.0</v>
      </c>
      <c r="AO895" s="2" t="s">
        <v>1368</v>
      </c>
    </row>
    <row r="896" ht="15.75" customHeight="1">
      <c r="A896" s="2" t="s">
        <v>7921</v>
      </c>
      <c r="B896" s="2" t="s">
        <v>1361</v>
      </c>
      <c r="C896" s="2">
        <v>2014.0</v>
      </c>
      <c r="D896" s="2" t="s">
        <v>7922</v>
      </c>
      <c r="E896" s="2" t="s">
        <v>7923</v>
      </c>
      <c r="F896" s="2" t="s">
        <v>7924</v>
      </c>
      <c r="I896" s="2" t="s">
        <v>7925</v>
      </c>
      <c r="J896" s="12" t="str">
        <f>VLOOKUP(I896,'Copy of Enriched Data - IPBES G'!$L$2:$L$229,1,false)</f>
        <v>#N/A</v>
      </c>
      <c r="M896" s="2" t="s">
        <v>1476</v>
      </c>
      <c r="N896" s="2" t="s">
        <v>7926</v>
      </c>
      <c r="O896" s="2" t="s">
        <v>7927</v>
      </c>
      <c r="Q896" s="2" t="s">
        <v>7928</v>
      </c>
      <c r="S896" s="2">
        <v>2.0</v>
      </c>
      <c r="T896" s="2">
        <v>49.0</v>
      </c>
      <c r="AO896" s="2" t="s">
        <v>1368</v>
      </c>
    </row>
    <row r="897" ht="15.75" customHeight="1">
      <c r="A897" s="2" t="s">
        <v>7929</v>
      </c>
      <c r="B897" s="2" t="s">
        <v>1361</v>
      </c>
      <c r="C897" s="2">
        <v>2017.0</v>
      </c>
      <c r="D897" s="2" t="s">
        <v>7930</v>
      </c>
      <c r="E897" s="2" t="s">
        <v>7931</v>
      </c>
      <c r="F897" s="2" t="s">
        <v>4215</v>
      </c>
      <c r="I897" s="2" t="s">
        <v>7932</v>
      </c>
      <c r="J897" s="12" t="str">
        <f>VLOOKUP(I897,'Copy of Enriched Data - IPBES G'!$L$2:$L$229,1,false)</f>
        <v>#N/A</v>
      </c>
      <c r="M897" s="2" t="s">
        <v>1658</v>
      </c>
      <c r="N897" s="2" t="s">
        <v>7933</v>
      </c>
      <c r="O897" s="2" t="s">
        <v>7934</v>
      </c>
      <c r="Q897" s="2" t="s">
        <v>7935</v>
      </c>
      <c r="T897" s="2">
        <v>42.0</v>
      </c>
      <c r="AO897" s="2" t="s">
        <v>1368</v>
      </c>
    </row>
    <row r="898" ht="15.75" customHeight="1">
      <c r="A898" s="2" t="s">
        <v>7936</v>
      </c>
      <c r="B898" s="2" t="s">
        <v>1361</v>
      </c>
      <c r="C898" s="2">
        <v>2005.0</v>
      </c>
      <c r="D898" s="2" t="s">
        <v>7937</v>
      </c>
      <c r="E898" s="2" t="s">
        <v>7938</v>
      </c>
      <c r="F898" s="2" t="s">
        <v>1510</v>
      </c>
      <c r="I898" s="2" t="s">
        <v>7939</v>
      </c>
      <c r="J898" s="12" t="str">
        <f>VLOOKUP(I898,'Copy of Enriched Data - IPBES G'!$L$2:$L$229,1,false)</f>
        <v>#N/A</v>
      </c>
      <c r="M898" s="2" t="s">
        <v>1394</v>
      </c>
      <c r="N898" s="2" t="s">
        <v>7940</v>
      </c>
      <c r="O898" s="2" t="s">
        <v>7941</v>
      </c>
      <c r="S898" s="2">
        <v>5718.0</v>
      </c>
      <c r="T898" s="2">
        <v>308.0</v>
      </c>
      <c r="AO898" s="2" t="s">
        <v>1368</v>
      </c>
    </row>
    <row r="899" ht="15.75" customHeight="1">
      <c r="A899" s="2" t="s">
        <v>7942</v>
      </c>
      <c r="B899" s="2" t="s">
        <v>1361</v>
      </c>
      <c r="C899" s="2">
        <v>2001.0</v>
      </c>
      <c r="D899" s="2" t="s">
        <v>7943</v>
      </c>
      <c r="E899" s="2" t="s">
        <v>7944</v>
      </c>
      <c r="F899" s="2" t="s">
        <v>1863</v>
      </c>
      <c r="H899" s="2" t="s">
        <v>1864</v>
      </c>
      <c r="I899" s="2" t="s">
        <v>7945</v>
      </c>
      <c r="J899" s="12" t="str">
        <f>VLOOKUP(I899,'Copy of Enriched Data - IPBES G'!$L$2:$L$229,1,false)</f>
        <v>#N/A</v>
      </c>
      <c r="L899" s="2" t="s">
        <v>7946</v>
      </c>
      <c r="M899" s="2" t="s">
        <v>1414</v>
      </c>
      <c r="N899" s="2" t="s">
        <v>1385</v>
      </c>
      <c r="O899" s="2" t="s">
        <v>1386</v>
      </c>
      <c r="Q899" s="2" t="s">
        <v>7947</v>
      </c>
      <c r="S899" s="2">
        <v>11.0</v>
      </c>
      <c r="T899" s="2">
        <v>29.0</v>
      </c>
      <c r="AO899" s="2" t="s">
        <v>1368</v>
      </c>
    </row>
    <row r="900" ht="15.75" customHeight="1">
      <c r="A900" s="2" t="s">
        <v>7948</v>
      </c>
      <c r="B900" s="2" t="s">
        <v>1361</v>
      </c>
      <c r="C900" s="2">
        <v>2012.0</v>
      </c>
      <c r="D900" s="2" t="s">
        <v>7949</v>
      </c>
      <c r="E900" s="2" t="s">
        <v>7950</v>
      </c>
      <c r="F900" s="2" t="s">
        <v>6894</v>
      </c>
      <c r="H900" s="2" t="s">
        <v>4563</v>
      </c>
      <c r="I900" s="2" t="s">
        <v>7951</v>
      </c>
      <c r="J900" s="12" t="str">
        <f>VLOOKUP(I900,'Copy of Enriched Data - IPBES G'!$L$2:$L$229,1,false)</f>
        <v>#N/A</v>
      </c>
      <c r="L900" s="2" t="s">
        <v>7952</v>
      </c>
      <c r="M900" s="2" t="s">
        <v>1405</v>
      </c>
      <c r="N900" s="2" t="s">
        <v>1385</v>
      </c>
      <c r="O900" s="2" t="s">
        <v>1386</v>
      </c>
      <c r="Q900" s="2" t="s">
        <v>7953</v>
      </c>
      <c r="S900" s="2">
        <v>1.0</v>
      </c>
      <c r="T900" s="2">
        <v>46.0</v>
      </c>
      <c r="AO900" s="2" t="s">
        <v>1368</v>
      </c>
    </row>
    <row r="901" ht="15.75" customHeight="1">
      <c r="A901" s="2" t="s">
        <v>7954</v>
      </c>
      <c r="B901" s="2" t="s">
        <v>1361</v>
      </c>
      <c r="C901" s="2">
        <v>2015.0</v>
      </c>
      <c r="D901" s="2" t="s">
        <v>7955</v>
      </c>
      <c r="E901" s="2" t="s">
        <v>7956</v>
      </c>
      <c r="F901" s="2" t="s">
        <v>2650</v>
      </c>
      <c r="H901" s="2" t="s">
        <v>4293</v>
      </c>
      <c r="I901" s="2" t="s">
        <v>7957</v>
      </c>
      <c r="J901" s="12" t="str">
        <f>VLOOKUP(I901,'Copy of Enriched Data - IPBES G'!$L$2:$L$229,1,false)</f>
        <v>#N/A</v>
      </c>
      <c r="M901" s="2" t="s">
        <v>1373</v>
      </c>
      <c r="N901" s="2" t="s">
        <v>1385</v>
      </c>
      <c r="O901" s="2" t="s">
        <v>1386</v>
      </c>
      <c r="Q901" s="2" t="s">
        <v>7958</v>
      </c>
      <c r="S901" s="2">
        <v>3.0</v>
      </c>
      <c r="T901" s="2">
        <v>5.0</v>
      </c>
      <c r="AO901" s="2" t="s">
        <v>1368</v>
      </c>
    </row>
    <row r="902" ht="15.75" customHeight="1">
      <c r="A902" s="2" t="s">
        <v>7959</v>
      </c>
      <c r="B902" s="2" t="s">
        <v>1766</v>
      </c>
      <c r="C902" s="2">
        <v>2007.0</v>
      </c>
      <c r="D902" s="2" t="s">
        <v>7960</v>
      </c>
      <c r="E902" s="2" t="s">
        <v>7961</v>
      </c>
      <c r="F902" s="2" t="s">
        <v>7962</v>
      </c>
      <c r="G902" s="2" t="s">
        <v>7963</v>
      </c>
      <c r="J902" s="12" t="str">
        <f>VLOOKUP(I902,'Copy of Enriched Data - IPBES G'!$L$2:$L$229,1,false)</f>
        <v>#N/A</v>
      </c>
      <c r="L902" s="2" t="s">
        <v>7964</v>
      </c>
      <c r="M902" s="2" t="s">
        <v>2380</v>
      </c>
      <c r="N902" s="2" t="s">
        <v>1385</v>
      </c>
      <c r="O902" s="2" t="s">
        <v>1386</v>
      </c>
      <c r="Q902" s="2" t="s">
        <v>7965</v>
      </c>
      <c r="AB902" s="2" t="s">
        <v>7966</v>
      </c>
      <c r="AO902" s="2" t="s">
        <v>1368</v>
      </c>
      <c r="AQ902" s="2" t="s">
        <v>7967</v>
      </c>
    </row>
    <row r="903" ht="15.75" customHeight="1">
      <c r="A903" s="2" t="s">
        <v>7968</v>
      </c>
      <c r="B903" s="2" t="s">
        <v>1396</v>
      </c>
      <c r="C903" s="2">
        <v>1996.0</v>
      </c>
      <c r="D903" s="2" t="s">
        <v>7969</v>
      </c>
      <c r="E903" s="2" t="s">
        <v>7970</v>
      </c>
      <c r="J903" s="12" t="str">
        <f>VLOOKUP(I903,'Copy of Enriched Data - IPBES G'!$L$2:$L$229,1,false)</f>
        <v>#N/A</v>
      </c>
      <c r="M903" s="2" t="s">
        <v>2492</v>
      </c>
      <c r="N903" s="2" t="s">
        <v>1385</v>
      </c>
      <c r="O903" s="2" t="s">
        <v>1386</v>
      </c>
      <c r="AB903" s="2" t="s">
        <v>3197</v>
      </c>
      <c r="AO903" s="2" t="s">
        <v>1368</v>
      </c>
    </row>
    <row r="904" ht="15.75" customHeight="1">
      <c r="A904" s="2" t="s">
        <v>7971</v>
      </c>
      <c r="B904" s="2" t="s">
        <v>1361</v>
      </c>
      <c r="C904" s="2">
        <v>2005.0</v>
      </c>
      <c r="D904" s="2" t="s">
        <v>7972</v>
      </c>
      <c r="E904" s="2" t="s">
        <v>7973</v>
      </c>
      <c r="F904" s="2" t="s">
        <v>1474</v>
      </c>
      <c r="I904" s="2" t="s">
        <v>7974</v>
      </c>
      <c r="J904" s="12" t="str">
        <f>VLOOKUP(I904,'Copy of Enriched Data - IPBES G'!$L$2:$L$229,1,false)</f>
        <v>#N/A</v>
      </c>
      <c r="M904" s="2" t="s">
        <v>1394</v>
      </c>
      <c r="N904" s="2" t="s">
        <v>7975</v>
      </c>
      <c r="O904" s="2" t="s">
        <v>7976</v>
      </c>
      <c r="Q904" s="2" t="s">
        <v>7977</v>
      </c>
      <c r="AO904" s="2" t="s">
        <v>1368</v>
      </c>
    </row>
    <row r="905" ht="15.75" customHeight="1">
      <c r="A905" s="2" t="s">
        <v>7978</v>
      </c>
      <c r="B905" s="2" t="s">
        <v>1361</v>
      </c>
      <c r="C905" s="2">
        <v>2007.0</v>
      </c>
      <c r="D905" s="2" t="s">
        <v>7979</v>
      </c>
      <c r="E905" s="2" t="s">
        <v>7980</v>
      </c>
      <c r="F905" s="2" t="s">
        <v>5741</v>
      </c>
      <c r="I905" s="2" t="s">
        <v>7981</v>
      </c>
      <c r="J905" s="12" t="str">
        <f>VLOOKUP(I905,'Copy of Enriched Data - IPBES G'!$L$2:$L$229,1,false)</f>
        <v>#N/A</v>
      </c>
      <c r="M905" s="2" t="s">
        <v>2380</v>
      </c>
      <c r="N905" s="2" t="s">
        <v>7982</v>
      </c>
      <c r="O905" s="2" t="s">
        <v>7983</v>
      </c>
      <c r="Q905" s="2" t="s">
        <v>7984</v>
      </c>
      <c r="S905" s="2" t="s">
        <v>1462</v>
      </c>
      <c r="T905" s="2">
        <v>53.0</v>
      </c>
      <c r="AO905" s="2" t="s">
        <v>1368</v>
      </c>
    </row>
    <row r="906" ht="15.75" customHeight="1">
      <c r="A906" s="2" t="s">
        <v>7985</v>
      </c>
      <c r="B906" s="2" t="s">
        <v>1361</v>
      </c>
      <c r="C906" s="2">
        <v>1986.0</v>
      </c>
      <c r="D906" s="2" t="s">
        <v>5326</v>
      </c>
      <c r="E906" s="2" t="s">
        <v>7986</v>
      </c>
      <c r="F906" s="2" t="s">
        <v>7987</v>
      </c>
      <c r="I906" s="2" t="s">
        <v>7988</v>
      </c>
      <c r="J906" s="12" t="str">
        <f>VLOOKUP(I906,'Copy of Enriched Data - IPBES G'!$L$2:$L$229,1,false)</f>
        <v>#N/A</v>
      </c>
      <c r="M906" s="2" t="s">
        <v>3288</v>
      </c>
      <c r="N906" s="2" t="s">
        <v>7989</v>
      </c>
      <c r="O906" s="2" t="s">
        <v>7990</v>
      </c>
      <c r="Q906" s="2" t="s">
        <v>7991</v>
      </c>
      <c r="S906" s="2" t="s">
        <v>1600</v>
      </c>
      <c r="T906" s="2">
        <v>10.0</v>
      </c>
      <c r="AO906" s="2" t="s">
        <v>1368</v>
      </c>
    </row>
    <row r="907" ht="15.75" customHeight="1">
      <c r="A907" s="2" t="s">
        <v>7992</v>
      </c>
      <c r="B907" s="2" t="s">
        <v>1361</v>
      </c>
      <c r="C907" s="2">
        <v>1998.0</v>
      </c>
      <c r="D907" s="2" t="s">
        <v>7993</v>
      </c>
      <c r="E907" s="2" t="s">
        <v>7994</v>
      </c>
      <c r="F907" s="2" t="s">
        <v>7995</v>
      </c>
      <c r="J907" s="12" t="str">
        <f>VLOOKUP(I907,'Copy of Enriched Data - IPBES G'!$L$2:$L$229,1,false)</f>
        <v>#N/A</v>
      </c>
      <c r="M907" s="2" t="s">
        <v>1958</v>
      </c>
      <c r="N907" s="2" t="s">
        <v>7996</v>
      </c>
      <c r="O907" s="2" t="s">
        <v>7997</v>
      </c>
      <c r="S907" s="2" t="s">
        <v>7998</v>
      </c>
      <c r="T907" s="2">
        <v>35.0</v>
      </c>
      <c r="AO907" s="2" t="s">
        <v>1368</v>
      </c>
    </row>
    <row r="908" ht="15.75" customHeight="1">
      <c r="A908" s="2" t="s">
        <v>7999</v>
      </c>
      <c r="B908" s="2" t="s">
        <v>1361</v>
      </c>
      <c r="C908" s="2">
        <v>2014.0</v>
      </c>
      <c r="D908" s="2" t="s">
        <v>8000</v>
      </c>
      <c r="E908" s="2" t="s">
        <v>8001</v>
      </c>
      <c r="F908" s="2" t="s">
        <v>2205</v>
      </c>
      <c r="H908" s="2" t="s">
        <v>2206</v>
      </c>
      <c r="I908" s="2" t="s">
        <v>8002</v>
      </c>
      <c r="J908" s="12" t="str">
        <f>VLOOKUP(I908,'Copy of Enriched Data - IPBES G'!$L$2:$L$229,1,false)</f>
        <v>#N/A</v>
      </c>
      <c r="K908" s="2" t="s">
        <v>8003</v>
      </c>
      <c r="M908" s="2" t="s">
        <v>8004</v>
      </c>
      <c r="N908" s="2" t="s">
        <v>8005</v>
      </c>
      <c r="O908" s="2" t="s">
        <v>8006</v>
      </c>
      <c r="P908" s="2" t="s">
        <v>8007</v>
      </c>
      <c r="Q908" s="2" t="s">
        <v>8008</v>
      </c>
      <c r="T908" s="2">
        <v>50.0</v>
      </c>
      <c r="V908" s="2" t="s">
        <v>2205</v>
      </c>
      <c r="W908" s="2" t="s">
        <v>8009</v>
      </c>
      <c r="AD908" s="2" t="s">
        <v>1540</v>
      </c>
      <c r="AI908" s="2" t="s">
        <v>1541</v>
      </c>
      <c r="AO908" s="2" t="s">
        <v>1872</v>
      </c>
    </row>
    <row r="909" ht="15.75" customHeight="1">
      <c r="A909" s="2" t="s">
        <v>8010</v>
      </c>
      <c r="B909" s="2" t="s">
        <v>1361</v>
      </c>
      <c r="C909" s="2">
        <v>2010.0</v>
      </c>
      <c r="D909" s="2" t="s">
        <v>8011</v>
      </c>
      <c r="E909" s="2" t="s">
        <v>8012</v>
      </c>
      <c r="F909" s="2" t="s">
        <v>1484</v>
      </c>
      <c r="H909" s="2" t="s">
        <v>3119</v>
      </c>
      <c r="I909" s="2" t="s">
        <v>8013</v>
      </c>
      <c r="J909" s="12" t="str">
        <f>VLOOKUP(I909,'Copy of Enriched Data - IPBES G'!$L$2:$L$229,1,false)</f>
        <v>#N/A</v>
      </c>
      <c r="K909" s="2" t="s">
        <v>8014</v>
      </c>
      <c r="M909" s="2" t="s">
        <v>8015</v>
      </c>
      <c r="N909" s="2" t="s">
        <v>8016</v>
      </c>
      <c r="O909" s="2" t="s">
        <v>8017</v>
      </c>
      <c r="P909" s="2" t="s">
        <v>8018</v>
      </c>
      <c r="Q909" s="2" t="s">
        <v>8019</v>
      </c>
      <c r="S909" s="2" t="s">
        <v>1937</v>
      </c>
      <c r="T909" s="2">
        <v>143.0</v>
      </c>
      <c r="V909" s="2" t="s">
        <v>1484</v>
      </c>
      <c r="W909" s="2" t="s">
        <v>8020</v>
      </c>
      <c r="AD909" s="2" t="s">
        <v>1540</v>
      </c>
      <c r="AI909" s="2" t="s">
        <v>1541</v>
      </c>
      <c r="AO909" s="2" t="s">
        <v>8021</v>
      </c>
    </row>
    <row r="910" ht="15.75" customHeight="1">
      <c r="A910" s="2" t="s">
        <v>8022</v>
      </c>
      <c r="B910" s="2" t="s">
        <v>1396</v>
      </c>
      <c r="C910" s="2">
        <v>2012.0</v>
      </c>
      <c r="D910" s="2" t="s">
        <v>5326</v>
      </c>
      <c r="E910" s="2" t="s">
        <v>8023</v>
      </c>
      <c r="J910" s="12" t="str">
        <f>VLOOKUP(I910,'Copy of Enriched Data - IPBES G'!$L$2:$L$229,1,false)</f>
        <v>#N/A</v>
      </c>
      <c r="M910" s="2" t="s">
        <v>1405</v>
      </c>
      <c r="N910" s="2" t="s">
        <v>1562</v>
      </c>
      <c r="O910" s="2" t="s">
        <v>1563</v>
      </c>
      <c r="R910" s="2">
        <v>563.0</v>
      </c>
      <c r="AB910" s="2" t="s">
        <v>2441</v>
      </c>
      <c r="AC910" s="2" t="s">
        <v>5295</v>
      </c>
      <c r="AO910" s="2" t="s">
        <v>8024</v>
      </c>
    </row>
    <row r="911" ht="15.75" customHeight="1">
      <c r="A911" s="2" t="s">
        <v>8025</v>
      </c>
      <c r="B911" s="2" t="s">
        <v>1361</v>
      </c>
      <c r="C911" s="2">
        <v>2016.0</v>
      </c>
      <c r="D911" s="2" t="s">
        <v>8026</v>
      </c>
      <c r="E911" s="2" t="s">
        <v>8027</v>
      </c>
      <c r="F911" s="2" t="s">
        <v>2053</v>
      </c>
      <c r="H911" s="2" t="s">
        <v>8028</v>
      </c>
      <c r="I911" s="2" t="s">
        <v>8029</v>
      </c>
      <c r="J911" s="12" t="str">
        <f>VLOOKUP(I911,'Copy of Enriched Data - IPBES G'!$L$2:$L$229,1,false)</f>
        <v>#N/A</v>
      </c>
      <c r="L911" s="2" t="s">
        <v>8030</v>
      </c>
      <c r="M911" s="2" t="s">
        <v>1502</v>
      </c>
      <c r="N911" s="2" t="s">
        <v>1385</v>
      </c>
      <c r="O911" s="2" t="s">
        <v>1386</v>
      </c>
      <c r="Q911" s="2" t="s">
        <v>8031</v>
      </c>
      <c r="S911" s="2" t="s">
        <v>2646</v>
      </c>
      <c r="T911" s="2">
        <v>14.0</v>
      </c>
      <c r="AO911" s="2" t="s">
        <v>1621</v>
      </c>
    </row>
    <row r="912" ht="15.75" customHeight="1">
      <c r="A912" s="2" t="s">
        <v>8032</v>
      </c>
      <c r="B912" s="2" t="s">
        <v>1361</v>
      </c>
      <c r="C912" s="2">
        <v>2004.0</v>
      </c>
      <c r="D912" s="2" t="s">
        <v>8033</v>
      </c>
      <c r="E912" s="2" t="s">
        <v>8034</v>
      </c>
      <c r="F912" s="2" t="s">
        <v>8035</v>
      </c>
      <c r="H912" s="2" t="s">
        <v>8036</v>
      </c>
      <c r="I912" s="2" t="s">
        <v>8037</v>
      </c>
      <c r="J912" s="12" t="str">
        <f>VLOOKUP(I912,'Copy of Enriched Data - IPBES G'!$L$2:$L$229,1,false)</f>
        <v>#N/A</v>
      </c>
      <c r="L912" s="2" t="s">
        <v>8038</v>
      </c>
      <c r="M912" s="2" t="s">
        <v>2373</v>
      </c>
      <c r="N912" s="2" t="s">
        <v>1385</v>
      </c>
      <c r="O912" s="2" t="s">
        <v>1386</v>
      </c>
      <c r="AO912" s="2" t="s">
        <v>1368</v>
      </c>
    </row>
    <row r="913" ht="15.75" customHeight="1">
      <c r="A913" s="2" t="s">
        <v>8039</v>
      </c>
      <c r="B913" s="2" t="s">
        <v>1361</v>
      </c>
      <c r="C913" s="2">
        <v>2013.0</v>
      </c>
      <c r="D913" s="2" t="s">
        <v>8040</v>
      </c>
      <c r="E913" s="2" t="s">
        <v>8041</v>
      </c>
      <c r="F913" s="2" t="s">
        <v>3689</v>
      </c>
      <c r="H913" s="2" t="s">
        <v>3690</v>
      </c>
      <c r="I913" s="2" t="s">
        <v>8042</v>
      </c>
      <c r="J913" s="12" t="str">
        <f>VLOOKUP(I913,'Copy of Enriched Data - IPBES G'!$L$2:$L$229,1,false)</f>
        <v>#N/A</v>
      </c>
      <c r="L913" s="2" t="s">
        <v>8043</v>
      </c>
      <c r="M913" s="2" t="s">
        <v>1429</v>
      </c>
      <c r="N913" s="2" t="s">
        <v>1385</v>
      </c>
      <c r="O913" s="2" t="s">
        <v>1386</v>
      </c>
      <c r="Q913" s="2" t="s">
        <v>8044</v>
      </c>
      <c r="S913" s="2" t="s">
        <v>1462</v>
      </c>
      <c r="T913" s="2">
        <v>5.0</v>
      </c>
      <c r="AO913" s="2" t="s">
        <v>1368</v>
      </c>
    </row>
    <row r="914" ht="15.75" customHeight="1">
      <c r="A914" s="2" t="s">
        <v>8045</v>
      </c>
      <c r="B914" s="2" t="s">
        <v>1361</v>
      </c>
      <c r="C914" s="2">
        <v>2001.0</v>
      </c>
      <c r="D914" s="2" t="s">
        <v>8046</v>
      </c>
      <c r="E914" s="2" t="s">
        <v>8047</v>
      </c>
      <c r="F914" s="2" t="s">
        <v>8048</v>
      </c>
      <c r="I914" s="2" t="s">
        <v>8049</v>
      </c>
      <c r="J914" s="12" t="str">
        <f>VLOOKUP(I914,'Copy of Enriched Data - IPBES G'!$L$2:$L$229,1,false)</f>
        <v>#N/A</v>
      </c>
      <c r="M914" s="2" t="s">
        <v>1414</v>
      </c>
      <c r="N914" s="2" t="s">
        <v>8050</v>
      </c>
      <c r="O914" s="2" t="s">
        <v>8051</v>
      </c>
      <c r="Q914" s="2" t="s">
        <v>8052</v>
      </c>
      <c r="S914" s="2">
        <v>4.0</v>
      </c>
      <c r="T914" s="2">
        <v>19.0</v>
      </c>
      <c r="AO914" s="2" t="s">
        <v>1368</v>
      </c>
    </row>
    <row r="915" ht="15.75" customHeight="1">
      <c r="A915" s="2" t="s">
        <v>8053</v>
      </c>
      <c r="B915" s="2" t="s">
        <v>1361</v>
      </c>
      <c r="C915" s="2">
        <v>2015.0</v>
      </c>
      <c r="D915" s="2" t="s">
        <v>8054</v>
      </c>
      <c r="E915" s="2" t="s">
        <v>8055</v>
      </c>
      <c r="F915" s="2" t="s">
        <v>8056</v>
      </c>
      <c r="I915" s="2" t="s">
        <v>8057</v>
      </c>
      <c r="J915" s="12" t="str">
        <f>VLOOKUP(I915,'Copy of Enriched Data - IPBES G'!$L$2:$L$229,1,false)</f>
        <v>#N/A</v>
      </c>
      <c r="M915" s="2" t="s">
        <v>1373</v>
      </c>
      <c r="N915" s="2" t="s">
        <v>8058</v>
      </c>
      <c r="O915" s="2" t="s">
        <v>8059</v>
      </c>
      <c r="Q915" s="2" t="s">
        <v>8060</v>
      </c>
      <c r="S915" s="2">
        <v>7.0</v>
      </c>
      <c r="T915" s="2">
        <v>26.0</v>
      </c>
      <c r="AO915" s="2" t="s">
        <v>1368</v>
      </c>
    </row>
    <row r="916" ht="15.75" customHeight="1">
      <c r="A916" s="2" t="s">
        <v>8061</v>
      </c>
      <c r="B916" s="2" t="s">
        <v>1361</v>
      </c>
      <c r="C916" s="2">
        <v>2009.0</v>
      </c>
      <c r="D916" s="2" t="s">
        <v>8062</v>
      </c>
      <c r="E916" s="2" t="s">
        <v>8063</v>
      </c>
      <c r="F916" s="2" t="s">
        <v>1863</v>
      </c>
      <c r="I916" s="2" t="s">
        <v>8064</v>
      </c>
      <c r="J916" s="12" t="str">
        <f>VLOOKUP(I916,'Copy of Enriched Data - IPBES G'!$L$2:$L$229,1,false)</f>
        <v>#N/A</v>
      </c>
      <c r="M916" s="2" t="s">
        <v>1364</v>
      </c>
      <c r="N916" s="2" t="s">
        <v>8065</v>
      </c>
      <c r="O916" s="2" t="s">
        <v>8066</v>
      </c>
      <c r="Q916" s="2" t="s">
        <v>8067</v>
      </c>
      <c r="S916" s="2">
        <v>12.0</v>
      </c>
      <c r="T916" s="2">
        <v>37.0</v>
      </c>
      <c r="AO916" s="2" t="s">
        <v>1368</v>
      </c>
    </row>
    <row r="917" ht="15.75" customHeight="1">
      <c r="A917" s="2" t="s">
        <v>8068</v>
      </c>
      <c r="B917" s="2" t="s">
        <v>1361</v>
      </c>
      <c r="C917" s="2">
        <v>2007.0</v>
      </c>
      <c r="D917" s="2" t="s">
        <v>8069</v>
      </c>
      <c r="E917" s="2" t="s">
        <v>8070</v>
      </c>
      <c r="F917" s="2" t="s">
        <v>8071</v>
      </c>
      <c r="I917" s="2" t="s">
        <v>8072</v>
      </c>
      <c r="J917" s="12" t="str">
        <f>VLOOKUP(I917,'Copy of Enriched Data - IPBES G'!$L$2:$L$229,1,false)</f>
        <v>#N/A</v>
      </c>
      <c r="L917" s="2" t="s">
        <v>8073</v>
      </c>
      <c r="M917" s="2" t="s">
        <v>2380</v>
      </c>
      <c r="N917" s="2" t="s">
        <v>8074</v>
      </c>
      <c r="O917" s="2" t="s">
        <v>8075</v>
      </c>
      <c r="AO917" s="2" t="s">
        <v>1368</v>
      </c>
    </row>
    <row r="918" ht="15.75" customHeight="1">
      <c r="A918" s="2" t="s">
        <v>8090</v>
      </c>
      <c r="B918" s="2" t="s">
        <v>1361</v>
      </c>
      <c r="C918" s="2">
        <v>2018.0</v>
      </c>
      <c r="D918" s="2" t="s">
        <v>8091</v>
      </c>
      <c r="E918" s="2" t="s">
        <v>8092</v>
      </c>
      <c r="F918" s="2" t="s">
        <v>8093</v>
      </c>
      <c r="H918" s="2" t="s">
        <v>8094</v>
      </c>
      <c r="I918" s="2" t="s">
        <v>8095</v>
      </c>
      <c r="J918" s="12" t="str">
        <f>VLOOKUP(I918,'Copy of Enriched Data - IPBES G'!$L$2:$L$229,1,false)</f>
        <v>#N/A</v>
      </c>
      <c r="K918" s="2" t="s">
        <v>8096</v>
      </c>
      <c r="L918" s="2" t="s">
        <v>8097</v>
      </c>
      <c r="M918" s="2" t="s">
        <v>8098</v>
      </c>
      <c r="N918" s="2" t="s">
        <v>8099</v>
      </c>
      <c r="O918" s="2" t="s">
        <v>8100</v>
      </c>
      <c r="S918" s="2">
        <v>1885.0</v>
      </c>
      <c r="T918" s="2">
        <v>285.0</v>
      </c>
      <c r="V918" s="2" t="s">
        <v>8101</v>
      </c>
      <c r="AD918" s="2" t="s">
        <v>8102</v>
      </c>
      <c r="AE918" s="2" t="s">
        <v>8103</v>
      </c>
      <c r="AK918" s="2" t="s">
        <v>8104</v>
      </c>
      <c r="AO918" s="2" t="s">
        <v>2169</v>
      </c>
    </row>
    <row r="919" ht="15.75" customHeight="1">
      <c r="A919" s="2" t="s">
        <v>8105</v>
      </c>
      <c r="B919" s="2" t="s">
        <v>1361</v>
      </c>
      <c r="C919" s="2">
        <v>1995.0</v>
      </c>
      <c r="D919" s="2" t="s">
        <v>8106</v>
      </c>
      <c r="E919" s="2" t="s">
        <v>8107</v>
      </c>
      <c r="F919" s="2" t="s">
        <v>2665</v>
      </c>
      <c r="I919" s="2" t="s">
        <v>8108</v>
      </c>
      <c r="J919" s="12" t="str">
        <f>VLOOKUP(I919,'Copy of Enriched Data - IPBES G'!$L$2:$L$229,1,false)</f>
        <v>#N/A</v>
      </c>
      <c r="L919" s="2" t="s">
        <v>8109</v>
      </c>
      <c r="M919" s="2" t="s">
        <v>2089</v>
      </c>
      <c r="N919" s="2" t="s">
        <v>1385</v>
      </c>
      <c r="O919" s="2" t="s">
        <v>1386</v>
      </c>
      <c r="Q919" s="2" t="s">
        <v>8110</v>
      </c>
      <c r="S919" s="2">
        <v>3.0</v>
      </c>
      <c r="T919" s="2">
        <v>23.0</v>
      </c>
      <c r="AD919" s="2" t="s">
        <v>3263</v>
      </c>
      <c r="AO919" s="2" t="s">
        <v>1368</v>
      </c>
    </row>
    <row r="920" ht="15.75" customHeight="1">
      <c r="A920" s="2" t="s">
        <v>8111</v>
      </c>
      <c r="B920" s="2" t="s">
        <v>1361</v>
      </c>
      <c r="C920" s="2">
        <v>2008.0</v>
      </c>
      <c r="D920" s="2" t="s">
        <v>8112</v>
      </c>
      <c r="E920" s="2" t="s">
        <v>8113</v>
      </c>
      <c r="F920" s="2" t="s">
        <v>8114</v>
      </c>
      <c r="I920" s="2" t="s">
        <v>8115</v>
      </c>
      <c r="J920" s="12" t="str">
        <f>VLOOKUP(I920,'Copy of Enriched Data - IPBES G'!$L$2:$L$229,1,false)</f>
        <v>#N/A</v>
      </c>
      <c r="M920" s="2" t="s">
        <v>1458</v>
      </c>
      <c r="N920" s="2" t="s">
        <v>1385</v>
      </c>
      <c r="O920" s="2" t="s">
        <v>1386</v>
      </c>
      <c r="T920" s="2">
        <v>10.0</v>
      </c>
      <c r="AO920" s="2" t="s">
        <v>1368</v>
      </c>
    </row>
    <row r="921" ht="15.75" customHeight="1">
      <c r="A921" s="2" t="s">
        <v>8116</v>
      </c>
      <c r="B921" s="2" t="s">
        <v>1361</v>
      </c>
      <c r="C921" s="2">
        <v>2005.0</v>
      </c>
      <c r="D921" s="2" t="s">
        <v>8117</v>
      </c>
      <c r="E921" s="2" t="s">
        <v>8118</v>
      </c>
      <c r="F921" s="2" t="s">
        <v>1863</v>
      </c>
      <c r="H921" s="2" t="s">
        <v>1864</v>
      </c>
      <c r="I921" s="2" t="s">
        <v>8119</v>
      </c>
      <c r="J921" s="12" t="str">
        <f>VLOOKUP(I921,'Copy of Enriched Data - IPBES G'!$L$2:$L$229,1,false)</f>
        <v>#N/A</v>
      </c>
      <c r="L921" s="2" t="s">
        <v>8120</v>
      </c>
      <c r="M921" s="2" t="s">
        <v>8121</v>
      </c>
      <c r="N921" s="2" t="s">
        <v>1385</v>
      </c>
      <c r="O921" s="2" t="s">
        <v>1386</v>
      </c>
      <c r="Q921" s="2" t="s">
        <v>8122</v>
      </c>
      <c r="S921" s="2">
        <v>9.0</v>
      </c>
      <c r="T921" s="2">
        <v>33.0</v>
      </c>
      <c r="AO921" s="2" t="s">
        <v>1368</v>
      </c>
    </row>
    <row r="922" ht="15.75" customHeight="1">
      <c r="A922" s="2" t="s">
        <v>8123</v>
      </c>
      <c r="B922" s="2" t="s">
        <v>1361</v>
      </c>
      <c r="C922" s="2">
        <v>2007.0</v>
      </c>
      <c r="D922" s="2" t="s">
        <v>8124</v>
      </c>
      <c r="E922" s="2" t="s">
        <v>8125</v>
      </c>
      <c r="F922" s="2" t="s">
        <v>8126</v>
      </c>
      <c r="I922" s="2" t="s">
        <v>8127</v>
      </c>
      <c r="J922" s="12" t="str">
        <f>VLOOKUP(I922,'Copy of Enriched Data - IPBES G'!$L$2:$L$229,1,false)</f>
        <v>#N/A</v>
      </c>
      <c r="M922" s="2">
        <v>2007.0</v>
      </c>
      <c r="N922" s="2" t="s">
        <v>8128</v>
      </c>
      <c r="O922" s="2" t="s">
        <v>8129</v>
      </c>
      <c r="Q922" s="2" t="s">
        <v>8130</v>
      </c>
      <c r="S922" s="2" t="s">
        <v>1453</v>
      </c>
      <c r="T922" s="2">
        <v>22.0</v>
      </c>
      <c r="AO922" s="2" t="s">
        <v>1368</v>
      </c>
    </row>
    <row r="923" ht="15.75" customHeight="1">
      <c r="A923" s="2" t="s">
        <v>8131</v>
      </c>
      <c r="B923" s="2" t="s">
        <v>1361</v>
      </c>
      <c r="C923" s="2">
        <v>2006.0</v>
      </c>
      <c r="D923" s="2" t="s">
        <v>8132</v>
      </c>
      <c r="E923" s="2" t="s">
        <v>8133</v>
      </c>
      <c r="F923" s="2" t="s">
        <v>8134</v>
      </c>
      <c r="J923" s="12" t="str">
        <f>VLOOKUP(I923,'Copy of Enriched Data - IPBES G'!$L$2:$L$229,1,false)</f>
        <v>#N/A</v>
      </c>
      <c r="M923" s="2">
        <v>2006.0</v>
      </c>
      <c r="N923" s="2" t="s">
        <v>8135</v>
      </c>
      <c r="O923" s="2" t="s">
        <v>8136</v>
      </c>
      <c r="Q923" s="2" t="s">
        <v>8137</v>
      </c>
      <c r="S923" s="2" t="s">
        <v>1462</v>
      </c>
      <c r="T923" s="2">
        <v>13.0</v>
      </c>
      <c r="AO923" s="2" t="s">
        <v>1368</v>
      </c>
    </row>
    <row r="924" ht="15.75" customHeight="1">
      <c r="A924" s="2" t="s">
        <v>8138</v>
      </c>
      <c r="B924" s="2" t="s">
        <v>1361</v>
      </c>
      <c r="C924" s="2">
        <v>2012.0</v>
      </c>
      <c r="D924" s="2" t="s">
        <v>8139</v>
      </c>
      <c r="E924" s="2" t="s">
        <v>8140</v>
      </c>
      <c r="F924" s="2" t="s">
        <v>1466</v>
      </c>
      <c r="I924" s="2" t="s">
        <v>8141</v>
      </c>
      <c r="J924" s="12" t="str">
        <f>VLOOKUP(I924,'Copy of Enriched Data - IPBES G'!$L$2:$L$229,1,false)</f>
        <v>#N/A</v>
      </c>
      <c r="M924" s="2">
        <v>2012.0</v>
      </c>
      <c r="N924" s="2" t="s">
        <v>8142</v>
      </c>
      <c r="O924" s="2" t="s">
        <v>8143</v>
      </c>
      <c r="Q924" s="2" t="s">
        <v>8144</v>
      </c>
      <c r="S924" s="2" t="s">
        <v>1462</v>
      </c>
      <c r="T924" s="2">
        <v>29.0</v>
      </c>
      <c r="AO924" s="2" t="s">
        <v>1368</v>
      </c>
    </row>
    <row r="925" ht="15.75" customHeight="1">
      <c r="A925" s="2" t="s">
        <v>8145</v>
      </c>
      <c r="B925" s="2" t="s">
        <v>1361</v>
      </c>
      <c r="C925" s="2">
        <v>2013.0</v>
      </c>
      <c r="D925" s="2" t="s">
        <v>8146</v>
      </c>
      <c r="E925" s="2" t="s">
        <v>8147</v>
      </c>
      <c r="F925" s="2" t="s">
        <v>8148</v>
      </c>
      <c r="I925" s="2" t="s">
        <v>8149</v>
      </c>
      <c r="J925" s="12" t="str">
        <f>VLOOKUP(I925,'Copy of Enriched Data - IPBES G'!$L$2:$L$229,1,false)</f>
        <v>#N/A</v>
      </c>
      <c r="M925" s="2">
        <v>2013.0</v>
      </c>
      <c r="N925" s="2" t="s">
        <v>8150</v>
      </c>
      <c r="O925" s="2" t="s">
        <v>8151</v>
      </c>
      <c r="Q925" s="2" t="s">
        <v>8152</v>
      </c>
      <c r="S925" s="2" t="s">
        <v>1480</v>
      </c>
      <c r="T925" s="2">
        <v>29.0</v>
      </c>
      <c r="AO925" s="2" t="s">
        <v>1368</v>
      </c>
    </row>
    <row r="926" ht="15.75" customHeight="1">
      <c r="A926" s="2" t="s">
        <v>8153</v>
      </c>
      <c r="B926" s="2" t="s">
        <v>1361</v>
      </c>
      <c r="C926" s="2">
        <v>1997.0</v>
      </c>
      <c r="D926" s="2" t="s">
        <v>8154</v>
      </c>
      <c r="E926" s="2" t="s">
        <v>8155</v>
      </c>
      <c r="F926" s="2" t="s">
        <v>8156</v>
      </c>
      <c r="I926" s="2" t="s">
        <v>8157</v>
      </c>
      <c r="J926" s="12" t="str">
        <f>VLOOKUP(I926,'Copy of Enriched Data - IPBES G'!$L$2:$L$229,1,false)</f>
        <v>#N/A</v>
      </c>
      <c r="M926" s="2">
        <v>1997.0</v>
      </c>
      <c r="N926" s="2" t="s">
        <v>8158</v>
      </c>
      <c r="O926" s="2" t="s">
        <v>8159</v>
      </c>
      <c r="Q926" s="2" t="s">
        <v>8160</v>
      </c>
      <c r="AO926" s="2" t="s">
        <v>1368</v>
      </c>
    </row>
    <row r="927" ht="15.75" customHeight="1">
      <c r="A927" s="2" t="s">
        <v>8161</v>
      </c>
      <c r="B927" s="2" t="s">
        <v>1361</v>
      </c>
      <c r="C927" s="2">
        <v>2016.0</v>
      </c>
      <c r="D927" s="2" t="s">
        <v>8162</v>
      </c>
      <c r="E927" s="2" t="s">
        <v>8163</v>
      </c>
      <c r="F927" s="2" t="s">
        <v>8164</v>
      </c>
      <c r="H927" s="2" t="s">
        <v>8165</v>
      </c>
      <c r="I927" s="2" t="s">
        <v>8166</v>
      </c>
      <c r="J927" s="12" t="str">
        <f>VLOOKUP(I927,'Copy of Enriched Data - IPBES G'!$L$2:$L$229,1,false)</f>
        <v>#N/A</v>
      </c>
      <c r="K927" s="2" t="s">
        <v>8167</v>
      </c>
      <c r="L927" s="2" t="s">
        <v>8168</v>
      </c>
      <c r="M927" s="2">
        <v>2016.0</v>
      </c>
      <c r="N927" s="2" t="s">
        <v>1385</v>
      </c>
      <c r="O927" s="2" t="s">
        <v>1386</v>
      </c>
      <c r="Q927" s="2" t="s">
        <v>8169</v>
      </c>
      <c r="T927" s="2">
        <v>211.0</v>
      </c>
      <c r="AO927" s="2" t="s">
        <v>1368</v>
      </c>
    </row>
    <row r="928" ht="15.75" customHeight="1">
      <c r="A928" s="2" t="s">
        <v>8176</v>
      </c>
      <c r="B928" s="2" t="s">
        <v>1361</v>
      </c>
      <c r="C928" s="2">
        <v>2017.0</v>
      </c>
      <c r="D928" s="2" t="s">
        <v>8177</v>
      </c>
      <c r="E928" s="2" t="s">
        <v>8178</v>
      </c>
      <c r="J928" s="12" t="str">
        <f>VLOOKUP(I928,'Copy of Enriched Data - IPBES G'!$L$2:$L$229,1,false)</f>
        <v>#N/A</v>
      </c>
      <c r="M928" s="2">
        <v>2017.0</v>
      </c>
      <c r="N928" s="2" t="s">
        <v>1385</v>
      </c>
      <c r="O928" s="2" t="s">
        <v>1386</v>
      </c>
      <c r="S928" s="2" t="s">
        <v>8179</v>
      </c>
      <c r="AO928" s="2" t="s">
        <v>1368</v>
      </c>
    </row>
    <row r="929" ht="15.75" customHeight="1">
      <c r="A929" s="2" t="s">
        <v>8184</v>
      </c>
      <c r="B929" s="2" t="s">
        <v>1361</v>
      </c>
      <c r="C929" s="2">
        <v>2007.0</v>
      </c>
      <c r="D929" s="2" t="s">
        <v>8185</v>
      </c>
      <c r="E929" s="2" t="s">
        <v>8186</v>
      </c>
      <c r="F929" s="2" t="s">
        <v>8187</v>
      </c>
      <c r="H929" s="2" t="s">
        <v>8188</v>
      </c>
      <c r="I929" s="2" t="s">
        <v>8189</v>
      </c>
      <c r="J929" s="12" t="str">
        <f>VLOOKUP(I929,'Copy of Enriched Data - IPBES G'!$L$2:$L$229,1,false)</f>
        <v>#N/A</v>
      </c>
      <c r="L929" s="2" t="s">
        <v>8190</v>
      </c>
      <c r="M929" s="2">
        <v>2007.0</v>
      </c>
      <c r="N929" s="2" t="s">
        <v>1385</v>
      </c>
      <c r="O929" s="2" t="s">
        <v>1386</v>
      </c>
      <c r="Q929" s="2" t="s">
        <v>8191</v>
      </c>
      <c r="S929" s="2" t="s">
        <v>1506</v>
      </c>
      <c r="T929" s="2">
        <v>25.0</v>
      </c>
      <c r="AO929" s="2" t="s">
        <v>1368</v>
      </c>
    </row>
    <row r="930" ht="15.75" customHeight="1">
      <c r="A930" s="2" t="s">
        <v>8192</v>
      </c>
      <c r="B930" s="2" t="s">
        <v>1361</v>
      </c>
      <c r="C930" s="2">
        <v>1992.0</v>
      </c>
      <c r="D930" s="2" t="s">
        <v>8193</v>
      </c>
      <c r="E930" s="2" t="s">
        <v>8194</v>
      </c>
      <c r="F930" s="2" t="s">
        <v>5250</v>
      </c>
      <c r="I930" s="2" t="s">
        <v>8195</v>
      </c>
      <c r="J930" s="12" t="str">
        <f>VLOOKUP(I930,'Copy of Enriched Data - IPBES G'!$L$2:$L$229,1,false)</f>
        <v>#N/A</v>
      </c>
      <c r="M930" s="2" t="s">
        <v>3458</v>
      </c>
      <c r="N930" s="2" t="s">
        <v>8196</v>
      </c>
      <c r="O930" s="2" t="s">
        <v>8197</v>
      </c>
      <c r="Q930" s="2" t="s">
        <v>8198</v>
      </c>
      <c r="S930" s="2" t="s">
        <v>1462</v>
      </c>
      <c r="T930" s="2">
        <v>46.0</v>
      </c>
      <c r="AO930" s="2" t="s">
        <v>1368</v>
      </c>
    </row>
    <row r="931" ht="15.75" customHeight="1">
      <c r="A931" s="2" t="s">
        <v>8199</v>
      </c>
      <c r="B931" s="2" t="s">
        <v>1361</v>
      </c>
      <c r="C931" s="2">
        <v>2012.0</v>
      </c>
      <c r="D931" s="2" t="s">
        <v>8200</v>
      </c>
      <c r="E931" s="2" t="s">
        <v>8201</v>
      </c>
      <c r="F931" s="2" t="s">
        <v>6356</v>
      </c>
      <c r="H931" s="2" t="s">
        <v>6357</v>
      </c>
      <c r="J931" s="12" t="str">
        <f>VLOOKUP(I931,'Copy of Enriched Data - IPBES G'!$L$2:$L$229,1,false)</f>
        <v>#N/A</v>
      </c>
      <c r="L931" s="2" t="s">
        <v>8202</v>
      </c>
      <c r="M931" s="2" t="s">
        <v>1405</v>
      </c>
      <c r="N931" s="2" t="s">
        <v>8203</v>
      </c>
      <c r="O931" s="2" t="s">
        <v>8204</v>
      </c>
      <c r="Q931" s="2" t="s">
        <v>8205</v>
      </c>
      <c r="S931" s="2" t="s">
        <v>1453</v>
      </c>
      <c r="T931" s="2">
        <v>5.0</v>
      </c>
      <c r="AO931" s="2" t="s">
        <v>1368</v>
      </c>
    </row>
    <row r="932" ht="15.75" customHeight="1">
      <c r="A932" s="2" t="s">
        <v>8206</v>
      </c>
      <c r="B932" s="2" t="s">
        <v>1361</v>
      </c>
      <c r="C932" s="2">
        <v>2008.0</v>
      </c>
      <c r="D932" s="2" t="s">
        <v>8207</v>
      </c>
      <c r="E932" s="2" t="s">
        <v>8208</v>
      </c>
      <c r="F932" s="2" t="s">
        <v>3274</v>
      </c>
      <c r="I932" s="2" t="s">
        <v>8209</v>
      </c>
      <c r="J932" s="12" t="str">
        <f>VLOOKUP(I932,'Copy of Enriched Data - IPBES G'!$L$2:$L$229,1,false)</f>
        <v>#N/A</v>
      </c>
      <c r="M932" s="2" t="s">
        <v>1458</v>
      </c>
      <c r="N932" s="2" t="s">
        <v>8210</v>
      </c>
      <c r="O932" s="2" t="s">
        <v>8211</v>
      </c>
      <c r="Q932" s="2" t="s">
        <v>8212</v>
      </c>
      <c r="S932" s="2" t="s">
        <v>1462</v>
      </c>
      <c r="T932" s="2">
        <v>2.0</v>
      </c>
      <c r="AO932" s="2" t="s">
        <v>1368</v>
      </c>
    </row>
    <row r="933" ht="15.75" customHeight="1">
      <c r="A933" s="2" t="s">
        <v>8213</v>
      </c>
      <c r="B933" s="2" t="s">
        <v>1361</v>
      </c>
      <c r="C933" s="2">
        <v>2004.0</v>
      </c>
      <c r="D933" s="2" t="s">
        <v>8214</v>
      </c>
      <c r="E933" s="2" t="s">
        <v>8215</v>
      </c>
      <c r="F933" s="2" t="s">
        <v>8216</v>
      </c>
      <c r="J933" s="12" t="str">
        <f>VLOOKUP(I933,'Copy of Enriched Data - IPBES G'!$L$2:$L$229,1,false)</f>
        <v>#N/A</v>
      </c>
      <c r="L933" s="2" t="s">
        <v>8217</v>
      </c>
      <c r="M933" s="2" t="s">
        <v>2373</v>
      </c>
      <c r="N933" s="2" t="s">
        <v>8218</v>
      </c>
      <c r="O933" s="2" t="s">
        <v>8219</v>
      </c>
      <c r="T933" s="2">
        <v>100.0</v>
      </c>
      <c r="AO933" s="2" t="s">
        <v>1368</v>
      </c>
    </row>
    <row r="934" ht="15.75" customHeight="1">
      <c r="A934" s="2" t="s">
        <v>8220</v>
      </c>
      <c r="B934" s="2" t="s">
        <v>1361</v>
      </c>
      <c r="C934" s="2">
        <v>2004.0</v>
      </c>
      <c r="D934" s="2" t="s">
        <v>8221</v>
      </c>
      <c r="E934" s="2" t="s">
        <v>8222</v>
      </c>
      <c r="F934" s="2" t="s">
        <v>8223</v>
      </c>
      <c r="J934" s="12" t="str">
        <f>VLOOKUP(I934,'Copy of Enriched Data - IPBES G'!$L$2:$L$229,1,false)</f>
        <v>#N/A</v>
      </c>
      <c r="M934" s="2" t="s">
        <v>2373</v>
      </c>
      <c r="N934" s="2" t="s">
        <v>8224</v>
      </c>
      <c r="O934" s="2" t="s">
        <v>8225</v>
      </c>
      <c r="Q934" s="2" t="s">
        <v>8226</v>
      </c>
      <c r="S934" s="2" t="s">
        <v>2646</v>
      </c>
      <c r="T934" s="2">
        <v>32.0</v>
      </c>
      <c r="AO934" s="2" t="s">
        <v>1368</v>
      </c>
    </row>
    <row r="935" ht="15.75" customHeight="1">
      <c r="A935" s="2" t="s">
        <v>8227</v>
      </c>
      <c r="B935" s="2" t="s">
        <v>1361</v>
      </c>
      <c r="C935" s="2">
        <v>2004.0</v>
      </c>
      <c r="D935" s="2" t="s">
        <v>8228</v>
      </c>
      <c r="E935" s="2" t="s">
        <v>8229</v>
      </c>
      <c r="F935" s="2" t="s">
        <v>8230</v>
      </c>
      <c r="I935" s="2" t="s">
        <v>8231</v>
      </c>
      <c r="J935" s="12" t="str">
        <f>VLOOKUP(I935,'Copy of Enriched Data - IPBES G'!$L$2:$L$229,1,false)</f>
        <v>#N/A</v>
      </c>
      <c r="M935" s="2" t="s">
        <v>2373</v>
      </c>
      <c r="N935" s="2" t="s">
        <v>8232</v>
      </c>
      <c r="O935" s="2" t="s">
        <v>8233</v>
      </c>
      <c r="Q935" s="2" t="s">
        <v>8234</v>
      </c>
      <c r="T935" s="2">
        <v>6.0</v>
      </c>
      <c r="AO935" s="2" t="s">
        <v>1368</v>
      </c>
    </row>
    <row r="936" ht="15.75" customHeight="1">
      <c r="A936" s="2" t="s">
        <v>8235</v>
      </c>
      <c r="B936" s="2" t="s">
        <v>1361</v>
      </c>
      <c r="C936" s="2">
        <v>2017.0</v>
      </c>
      <c r="D936" s="2" t="s">
        <v>8236</v>
      </c>
      <c r="E936" s="2" t="s">
        <v>8237</v>
      </c>
      <c r="F936" s="2" t="s">
        <v>5136</v>
      </c>
      <c r="I936" s="2" t="s">
        <v>8238</v>
      </c>
      <c r="J936" s="12" t="str">
        <f>VLOOKUP(I936,'Copy of Enriched Data - IPBES G'!$L$2:$L$229,1,false)</f>
        <v>#N/A</v>
      </c>
      <c r="M936" s="2" t="s">
        <v>1658</v>
      </c>
      <c r="N936" s="2" t="s">
        <v>8239</v>
      </c>
      <c r="O936" s="2" t="s">
        <v>8240</v>
      </c>
      <c r="Q936" s="2" t="s">
        <v>8241</v>
      </c>
      <c r="S936" s="2" t="s">
        <v>2646</v>
      </c>
      <c r="T936" s="2">
        <v>32.0</v>
      </c>
      <c r="AO936" s="2" t="s">
        <v>1368</v>
      </c>
    </row>
    <row r="937" ht="15.75" customHeight="1">
      <c r="A937" s="2" t="s">
        <v>8242</v>
      </c>
      <c r="B937" s="2" t="s">
        <v>1361</v>
      </c>
      <c r="C937" s="2">
        <v>2008.0</v>
      </c>
      <c r="D937" s="2" t="s">
        <v>8243</v>
      </c>
      <c r="E937" s="2" t="s">
        <v>8244</v>
      </c>
      <c r="F937" s="2" t="s">
        <v>1628</v>
      </c>
      <c r="J937" s="12" t="str">
        <f>VLOOKUP(I937,'Copy of Enriched Data - IPBES G'!$L$2:$L$229,1,false)</f>
        <v>#N/A</v>
      </c>
      <c r="K937" s="2" t="s">
        <v>8245</v>
      </c>
      <c r="L937" s="2" t="s">
        <v>8246</v>
      </c>
      <c r="M937" s="2" t="s">
        <v>1458</v>
      </c>
      <c r="N937" s="2" t="s">
        <v>8247</v>
      </c>
      <c r="O937" s="2" t="s">
        <v>8248</v>
      </c>
      <c r="Q937" s="2" t="s">
        <v>8249</v>
      </c>
      <c r="S937" s="2" t="s">
        <v>8250</v>
      </c>
      <c r="AO937" s="2" t="s">
        <v>1368</v>
      </c>
    </row>
    <row r="938" ht="15.75" customHeight="1">
      <c r="A938" s="2" t="s">
        <v>8251</v>
      </c>
      <c r="B938" s="2" t="s">
        <v>1361</v>
      </c>
      <c r="C938" s="2">
        <v>2018.0</v>
      </c>
      <c r="D938" s="2" t="s">
        <v>8252</v>
      </c>
      <c r="E938" s="2" t="s">
        <v>8253</v>
      </c>
      <c r="F938" s="2" t="s">
        <v>8254</v>
      </c>
      <c r="I938" s="2" t="s">
        <v>8255</v>
      </c>
      <c r="J938" s="12" t="str">
        <f>VLOOKUP(I938,'Copy of Enriched Data - IPBES G'!$L$2:$L$229,1,false)</f>
        <v>#N/A</v>
      </c>
      <c r="M938" s="2" t="s">
        <v>1420</v>
      </c>
      <c r="N938" s="2" t="s">
        <v>8256</v>
      </c>
      <c r="O938" s="2" t="s">
        <v>8257</v>
      </c>
      <c r="Q938" s="2" t="s">
        <v>8258</v>
      </c>
      <c r="S938" s="2" t="s">
        <v>1537</v>
      </c>
      <c r="T938" s="2">
        <v>120.0</v>
      </c>
      <c r="AO938" s="2" t="s">
        <v>1368</v>
      </c>
    </row>
    <row r="939" ht="15.75" customHeight="1">
      <c r="A939" s="2" t="s">
        <v>8259</v>
      </c>
      <c r="B939" s="2" t="s">
        <v>1361</v>
      </c>
      <c r="C939" s="2">
        <v>2011.0</v>
      </c>
      <c r="D939" s="2" t="s">
        <v>8260</v>
      </c>
      <c r="E939" s="2" t="s">
        <v>8261</v>
      </c>
      <c r="F939" s="2" t="s">
        <v>4581</v>
      </c>
      <c r="I939" s="2" t="s">
        <v>8262</v>
      </c>
      <c r="J939" s="12" t="str">
        <f>VLOOKUP(I939,'Copy of Enriched Data - IPBES G'!$L$2:$L$229,1,false)</f>
        <v>#N/A</v>
      </c>
      <c r="M939" s="2" t="s">
        <v>1627</v>
      </c>
      <c r="N939" s="2" t="s">
        <v>8263</v>
      </c>
      <c r="O939" s="2" t="s">
        <v>8264</v>
      </c>
      <c r="Q939" s="2" t="s">
        <v>8265</v>
      </c>
      <c r="S939" s="2" t="s">
        <v>1462</v>
      </c>
      <c r="T939" s="2">
        <v>98.0</v>
      </c>
      <c r="AO939" s="2" t="s">
        <v>1368</v>
      </c>
    </row>
    <row r="940" ht="15.75" customHeight="1">
      <c r="A940" s="2" t="s">
        <v>8266</v>
      </c>
      <c r="B940" s="2" t="s">
        <v>1361</v>
      </c>
      <c r="C940" s="2">
        <v>1992.0</v>
      </c>
      <c r="D940" s="2" t="s">
        <v>8267</v>
      </c>
      <c r="E940" s="2" t="s">
        <v>8268</v>
      </c>
      <c r="F940" s="2" t="s">
        <v>8156</v>
      </c>
      <c r="I940" s="2" t="s">
        <v>8269</v>
      </c>
      <c r="J940" s="12" t="str">
        <f>VLOOKUP(I940,'Copy of Enriched Data - IPBES G'!$L$2:$L$229,1,false)</f>
        <v>#N/A</v>
      </c>
      <c r="M940" s="2" t="s">
        <v>3458</v>
      </c>
      <c r="N940" s="2" t="s">
        <v>8270</v>
      </c>
      <c r="O940" s="2" t="s">
        <v>8271</v>
      </c>
      <c r="Q940" s="2" t="s">
        <v>8272</v>
      </c>
      <c r="AO940" s="2" t="s">
        <v>1368</v>
      </c>
    </row>
    <row r="941" ht="15.75" customHeight="1">
      <c r="A941" s="2" t="s">
        <v>8273</v>
      </c>
      <c r="B941" s="2" t="s">
        <v>1361</v>
      </c>
      <c r="C941" s="2">
        <v>1994.0</v>
      </c>
      <c r="D941" s="2" t="s">
        <v>8274</v>
      </c>
      <c r="E941" s="2" t="s">
        <v>8275</v>
      </c>
      <c r="F941" s="2" t="s">
        <v>1633</v>
      </c>
      <c r="I941" s="2" t="s">
        <v>8276</v>
      </c>
      <c r="J941" s="12" t="str">
        <f>VLOOKUP(I941,'Copy of Enriched Data - IPBES G'!$L$2:$L$229,1,false)</f>
        <v>#N/A</v>
      </c>
      <c r="M941" s="2" t="s">
        <v>2327</v>
      </c>
      <c r="N941" s="2" t="s">
        <v>8277</v>
      </c>
      <c r="O941" s="2" t="s">
        <v>8278</v>
      </c>
      <c r="Q941" s="2" t="s">
        <v>8279</v>
      </c>
      <c r="AO941" s="2" t="s">
        <v>1368</v>
      </c>
    </row>
    <row r="942" ht="15.75" customHeight="1">
      <c r="A942" s="2" t="s">
        <v>8280</v>
      </c>
      <c r="B942" s="2" t="s">
        <v>1361</v>
      </c>
      <c r="C942" s="2">
        <v>2008.0</v>
      </c>
      <c r="D942" s="2" t="s">
        <v>8281</v>
      </c>
      <c r="E942" s="2" t="s">
        <v>8282</v>
      </c>
      <c r="F942" s="2" t="s">
        <v>8283</v>
      </c>
      <c r="J942" s="12" t="str">
        <f>VLOOKUP(I942,'Copy of Enriched Data - IPBES G'!$L$2:$L$229,1,false)</f>
        <v>#N/A</v>
      </c>
      <c r="L942" s="2" t="s">
        <v>8284</v>
      </c>
      <c r="M942" s="2" t="s">
        <v>1458</v>
      </c>
      <c r="N942" s="2" t="s">
        <v>8285</v>
      </c>
      <c r="O942" s="2" t="s">
        <v>8286</v>
      </c>
      <c r="AO942" s="2" t="s">
        <v>1368</v>
      </c>
    </row>
    <row r="943" ht="15.75" customHeight="1">
      <c r="A943" s="2" t="s">
        <v>8287</v>
      </c>
      <c r="B943" s="2" t="s">
        <v>1361</v>
      </c>
      <c r="C943" s="2">
        <v>2017.0</v>
      </c>
      <c r="D943" s="2" t="s">
        <v>8288</v>
      </c>
      <c r="E943" s="2" t="s">
        <v>8289</v>
      </c>
      <c r="F943" s="2" t="s">
        <v>8290</v>
      </c>
      <c r="I943" s="2" t="s">
        <v>8291</v>
      </c>
      <c r="J943" s="12" t="str">
        <f>VLOOKUP(I943,'Copy of Enriched Data - IPBES G'!$L$2:$L$229,1,false)</f>
        <v>#N/A</v>
      </c>
      <c r="M943" s="2" t="s">
        <v>1658</v>
      </c>
      <c r="N943" s="2" t="s">
        <v>8292</v>
      </c>
      <c r="O943" s="2" t="s">
        <v>8293</v>
      </c>
      <c r="Q943" s="2" t="s">
        <v>8294</v>
      </c>
      <c r="S943" s="2" t="s">
        <v>1600</v>
      </c>
      <c r="T943" s="2">
        <v>3.0</v>
      </c>
      <c r="AO943" s="2" t="s">
        <v>1368</v>
      </c>
    </row>
    <row r="944" ht="15.75" customHeight="1">
      <c r="A944" s="2" t="s">
        <v>8295</v>
      </c>
      <c r="B944" s="2" t="s">
        <v>1361</v>
      </c>
      <c r="C944" s="2">
        <v>2017.0</v>
      </c>
      <c r="D944" s="2" t="s">
        <v>8296</v>
      </c>
      <c r="E944" s="2" t="s">
        <v>8297</v>
      </c>
      <c r="F944" s="2" t="s">
        <v>8298</v>
      </c>
      <c r="I944" s="2" t="s">
        <v>8299</v>
      </c>
      <c r="J944" s="12" t="str">
        <f>VLOOKUP(I944,'Copy of Enriched Data - IPBES G'!$L$2:$L$229,1,false)</f>
        <v>#N/A</v>
      </c>
      <c r="M944" s="2" t="s">
        <v>1658</v>
      </c>
      <c r="N944" s="2" t="s">
        <v>8300</v>
      </c>
      <c r="O944" s="2" t="s">
        <v>8301</v>
      </c>
      <c r="Q944" s="2" t="s">
        <v>8302</v>
      </c>
      <c r="T944" s="2">
        <v>72.0</v>
      </c>
      <c r="AO944" s="2" t="s">
        <v>1368</v>
      </c>
    </row>
    <row r="945" ht="15.75" customHeight="1">
      <c r="A945" s="2" t="s">
        <v>8303</v>
      </c>
      <c r="B945" s="2" t="s">
        <v>1361</v>
      </c>
      <c r="C945" s="2">
        <v>2014.0</v>
      </c>
      <c r="D945" s="2" t="s">
        <v>8304</v>
      </c>
      <c r="E945" s="2" t="s">
        <v>8305</v>
      </c>
      <c r="F945" s="2" t="s">
        <v>8306</v>
      </c>
      <c r="J945" s="12" t="str">
        <f>VLOOKUP(I945,'Copy of Enriched Data - IPBES G'!$L$2:$L$229,1,false)</f>
        <v>#N/A</v>
      </c>
      <c r="M945" s="2" t="s">
        <v>1476</v>
      </c>
      <c r="N945" s="2" t="s">
        <v>8307</v>
      </c>
      <c r="O945" s="2" t="s">
        <v>8308</v>
      </c>
      <c r="AO945" s="2" t="s">
        <v>1368</v>
      </c>
    </row>
    <row r="946" ht="15.75" customHeight="1">
      <c r="A946" s="2" t="s">
        <v>8309</v>
      </c>
      <c r="B946" s="2" t="s">
        <v>1361</v>
      </c>
      <c r="C946" s="2">
        <v>2003.0</v>
      </c>
      <c r="D946" s="2" t="s">
        <v>8310</v>
      </c>
      <c r="E946" s="2" t="s">
        <v>8311</v>
      </c>
      <c r="F946" s="2" t="s">
        <v>6488</v>
      </c>
      <c r="I946" s="2" t="s">
        <v>8312</v>
      </c>
      <c r="J946" s="12" t="str">
        <f>VLOOKUP(I946,'Copy of Enriched Data - IPBES G'!$L$2:$L$229,1,false)</f>
        <v>#N/A</v>
      </c>
      <c r="M946" s="2" t="s">
        <v>1606</v>
      </c>
      <c r="N946" s="2" t="s">
        <v>8313</v>
      </c>
      <c r="O946" s="2" t="s">
        <v>8314</v>
      </c>
      <c r="Q946" s="2" t="s">
        <v>8315</v>
      </c>
      <c r="S946" s="2" t="s">
        <v>1600</v>
      </c>
      <c r="T946" s="2">
        <v>5.0</v>
      </c>
      <c r="AO946" s="2" t="s">
        <v>1368</v>
      </c>
    </row>
    <row r="947" ht="15.75" customHeight="1">
      <c r="A947" s="2" t="s">
        <v>8316</v>
      </c>
      <c r="B947" s="2" t="s">
        <v>1361</v>
      </c>
      <c r="C947" s="2">
        <v>1994.0</v>
      </c>
      <c r="D947" s="2" t="s">
        <v>8317</v>
      </c>
      <c r="E947" s="2" t="s">
        <v>8318</v>
      </c>
      <c r="F947" s="2" t="s">
        <v>5741</v>
      </c>
      <c r="I947" s="2" t="s">
        <v>8319</v>
      </c>
      <c r="J947" s="12" t="str">
        <f>VLOOKUP(I947,'Copy of Enriched Data - IPBES G'!$L$2:$L$229,1,false)</f>
        <v>#N/A</v>
      </c>
      <c r="M947" s="2" t="s">
        <v>2327</v>
      </c>
      <c r="N947" s="2" t="s">
        <v>5808</v>
      </c>
      <c r="O947" s="2" t="s">
        <v>5809</v>
      </c>
      <c r="Q947" s="2" t="s">
        <v>8320</v>
      </c>
      <c r="S947" s="2" t="s">
        <v>1453</v>
      </c>
      <c r="T947" s="2">
        <v>27.0</v>
      </c>
      <c r="AO947" s="2" t="s">
        <v>1368</v>
      </c>
    </row>
    <row r="948" ht="15.75" customHeight="1">
      <c r="A948" s="2" t="s">
        <v>8321</v>
      </c>
      <c r="B948" s="2" t="s">
        <v>1361</v>
      </c>
      <c r="C948" s="2">
        <v>1996.0</v>
      </c>
      <c r="D948" s="2" t="s">
        <v>8322</v>
      </c>
      <c r="E948" s="2" t="s">
        <v>8323</v>
      </c>
      <c r="F948" s="2" t="s">
        <v>8223</v>
      </c>
      <c r="I948" s="2" t="s">
        <v>8324</v>
      </c>
      <c r="J948" s="12" t="str">
        <f>VLOOKUP(I948,'Copy of Enriched Data - IPBES G'!$L$2:$L$229,1,false)</f>
        <v>#N/A</v>
      </c>
      <c r="M948" s="2" t="s">
        <v>2492</v>
      </c>
      <c r="N948" s="2" t="s">
        <v>8325</v>
      </c>
      <c r="O948" s="2" t="s">
        <v>8326</v>
      </c>
      <c r="Q948" s="2" t="s">
        <v>8327</v>
      </c>
      <c r="S948" s="2" t="s">
        <v>1443</v>
      </c>
      <c r="T948" s="2">
        <v>24.0</v>
      </c>
      <c r="AO948" s="2" t="s">
        <v>1368</v>
      </c>
    </row>
    <row r="949" ht="15.75" customHeight="1">
      <c r="A949" s="2" t="s">
        <v>8328</v>
      </c>
      <c r="B949" s="2" t="s">
        <v>1361</v>
      </c>
      <c r="C949" s="2">
        <v>2012.0</v>
      </c>
      <c r="D949" s="2" t="s">
        <v>8329</v>
      </c>
      <c r="E949" s="2" t="s">
        <v>8330</v>
      </c>
      <c r="F949" s="2" t="s">
        <v>3201</v>
      </c>
      <c r="I949" s="2" t="s">
        <v>8331</v>
      </c>
      <c r="J949" s="12" t="str">
        <f>VLOOKUP(I949,'Copy of Enriched Data - IPBES G'!$L$2:$L$229,1,false)</f>
        <v>#N/A</v>
      </c>
      <c r="M949" s="2" t="s">
        <v>1405</v>
      </c>
      <c r="N949" s="2" t="s">
        <v>8332</v>
      </c>
      <c r="O949" s="2" t="s">
        <v>8333</v>
      </c>
      <c r="Q949" s="2" t="s">
        <v>8334</v>
      </c>
      <c r="T949" s="2">
        <v>41.0</v>
      </c>
      <c r="AO949" s="2" t="s">
        <v>1368</v>
      </c>
    </row>
    <row r="950" ht="15.75" customHeight="1">
      <c r="A950" s="2" t="s">
        <v>8342</v>
      </c>
      <c r="B950" s="2" t="s">
        <v>1361</v>
      </c>
      <c r="C950" s="2">
        <v>2006.0</v>
      </c>
      <c r="D950" s="2" t="s">
        <v>8343</v>
      </c>
      <c r="E950" s="2" t="s">
        <v>8344</v>
      </c>
      <c r="F950" s="2" t="s">
        <v>7028</v>
      </c>
      <c r="I950" s="2" t="s">
        <v>8345</v>
      </c>
      <c r="J950" s="12" t="str">
        <f>VLOOKUP(I950,'Copy of Enriched Data - IPBES G'!$L$2:$L$229,1,false)</f>
        <v>#N/A</v>
      </c>
      <c r="M950" s="2" t="s">
        <v>1727</v>
      </c>
      <c r="N950" s="2" t="s">
        <v>5337</v>
      </c>
      <c r="O950" s="2" t="s">
        <v>5338</v>
      </c>
      <c r="Q950" s="2" t="s">
        <v>8346</v>
      </c>
      <c r="S950" s="2" t="s">
        <v>1600</v>
      </c>
      <c r="T950" s="2">
        <v>16.0</v>
      </c>
      <c r="AO950" s="2" t="s">
        <v>1368</v>
      </c>
    </row>
    <row r="951" ht="15.75" customHeight="1">
      <c r="A951" s="2" t="s">
        <v>8347</v>
      </c>
      <c r="B951" s="2" t="s">
        <v>1361</v>
      </c>
      <c r="C951" s="2">
        <v>2007.0</v>
      </c>
      <c r="D951" s="2" t="s">
        <v>8348</v>
      </c>
      <c r="E951" s="2" t="s">
        <v>8349</v>
      </c>
      <c r="F951" s="2" t="s">
        <v>1633</v>
      </c>
      <c r="I951" s="2" t="s">
        <v>8350</v>
      </c>
      <c r="J951" s="12" t="str">
        <f>VLOOKUP(I951,'Copy of Enriched Data - IPBES G'!$L$2:$L$229,1,false)</f>
        <v>#N/A</v>
      </c>
      <c r="M951" s="2" t="s">
        <v>2380</v>
      </c>
      <c r="N951" s="2" t="s">
        <v>8351</v>
      </c>
      <c r="O951" s="2" t="s">
        <v>8352</v>
      </c>
      <c r="Q951" s="2" t="s">
        <v>8353</v>
      </c>
      <c r="S951" s="2" t="s">
        <v>1506</v>
      </c>
      <c r="T951" s="2">
        <v>83.0</v>
      </c>
      <c r="AO951" s="2" t="s">
        <v>1368</v>
      </c>
    </row>
    <row r="952" ht="15.75" customHeight="1">
      <c r="A952" s="2" t="s">
        <v>8354</v>
      </c>
      <c r="B952" s="2" t="s">
        <v>1361</v>
      </c>
      <c r="C952" s="2">
        <v>2018.0</v>
      </c>
      <c r="D952" s="2" t="s">
        <v>8355</v>
      </c>
      <c r="E952" s="2" t="s">
        <v>8356</v>
      </c>
      <c r="F952" s="2" t="s">
        <v>2650</v>
      </c>
      <c r="I952" s="2" t="s">
        <v>8357</v>
      </c>
      <c r="J952" s="12" t="str">
        <f>VLOOKUP(I952,'Copy of Enriched Data - IPBES G'!$L$2:$L$229,1,false)</f>
        <v>#N/A</v>
      </c>
      <c r="M952" s="2" t="s">
        <v>1420</v>
      </c>
      <c r="N952" s="2" t="s">
        <v>8358</v>
      </c>
      <c r="O952" s="2" t="s">
        <v>8359</v>
      </c>
      <c r="Q952" s="2" t="s">
        <v>8360</v>
      </c>
      <c r="S952" s="2" t="s">
        <v>1600</v>
      </c>
      <c r="T952" s="2">
        <v>8.0</v>
      </c>
      <c r="AO952" s="2" t="s">
        <v>1368</v>
      </c>
    </row>
    <row r="953" ht="15.75" customHeight="1">
      <c r="A953" s="2" t="s">
        <v>8361</v>
      </c>
      <c r="B953" s="2" t="s">
        <v>1361</v>
      </c>
      <c r="C953" s="2">
        <v>2012.0</v>
      </c>
      <c r="D953" s="2" t="s">
        <v>8362</v>
      </c>
      <c r="E953" s="2" t="s">
        <v>8363</v>
      </c>
      <c r="F953" s="2" t="s">
        <v>8364</v>
      </c>
      <c r="J953" s="12" t="str">
        <f>VLOOKUP(I953,'Copy of Enriched Data - IPBES G'!$L$2:$L$229,1,false)</f>
        <v>#N/A</v>
      </c>
      <c r="M953" s="2" t="s">
        <v>1405</v>
      </c>
      <c r="N953" s="2" t="s">
        <v>8365</v>
      </c>
      <c r="O953" s="2" t="s">
        <v>8366</v>
      </c>
      <c r="AO953" s="2" t="s">
        <v>1368</v>
      </c>
    </row>
    <row r="954" ht="15.75" customHeight="1">
      <c r="A954" s="2" t="s">
        <v>8367</v>
      </c>
      <c r="B954" s="2" t="s">
        <v>1361</v>
      </c>
      <c r="C954" s="2">
        <v>2011.0</v>
      </c>
      <c r="D954" s="2" t="s">
        <v>8368</v>
      </c>
      <c r="E954" s="2" t="s">
        <v>8369</v>
      </c>
      <c r="F954" s="2" t="s">
        <v>2734</v>
      </c>
      <c r="I954" s="2" t="s">
        <v>8370</v>
      </c>
      <c r="J954" s="12" t="str">
        <f>VLOOKUP(I954,'Copy of Enriched Data - IPBES G'!$L$2:$L$229,1,false)</f>
        <v>#N/A</v>
      </c>
      <c r="M954" s="2" t="s">
        <v>1627</v>
      </c>
      <c r="N954" s="2" t="s">
        <v>8371</v>
      </c>
      <c r="O954" s="2" t="s">
        <v>8372</v>
      </c>
      <c r="Q954" s="2" t="s">
        <v>8373</v>
      </c>
      <c r="S954" s="2" t="s">
        <v>1480</v>
      </c>
      <c r="T954" s="2">
        <v>40.0</v>
      </c>
      <c r="AO954" s="2" t="s">
        <v>1368</v>
      </c>
    </row>
    <row r="955" ht="15.75" customHeight="1">
      <c r="A955" s="2" t="s">
        <v>8374</v>
      </c>
      <c r="B955" s="2" t="s">
        <v>1361</v>
      </c>
      <c r="C955" s="2">
        <v>2016.0</v>
      </c>
      <c r="D955" s="2" t="s">
        <v>8375</v>
      </c>
      <c r="E955" s="2" t="s">
        <v>8376</v>
      </c>
      <c r="F955" s="2" t="s">
        <v>1688</v>
      </c>
      <c r="I955" s="2" t="s">
        <v>8377</v>
      </c>
      <c r="J955" s="12" t="str">
        <f>VLOOKUP(I955,'Copy of Enriched Data - IPBES G'!$L$2:$L$229,1,false)</f>
        <v>#N/A</v>
      </c>
      <c r="M955" s="2" t="s">
        <v>1502</v>
      </c>
      <c r="N955" s="2" t="s">
        <v>3459</v>
      </c>
      <c r="O955" s="2" t="s">
        <v>3460</v>
      </c>
      <c r="Q955" s="2" t="s">
        <v>8378</v>
      </c>
      <c r="S955" s="2" t="s">
        <v>4806</v>
      </c>
      <c r="T955" s="2">
        <v>113.0</v>
      </c>
      <c r="AO955" s="2" t="s">
        <v>1368</v>
      </c>
    </row>
    <row r="956" ht="15.75" customHeight="1">
      <c r="A956" s="2" t="s">
        <v>8379</v>
      </c>
      <c r="B956" s="2" t="s">
        <v>1361</v>
      </c>
      <c r="C956" s="2">
        <v>2008.0</v>
      </c>
      <c r="D956" s="2" t="s">
        <v>8380</v>
      </c>
      <c r="E956" s="2" t="s">
        <v>8381</v>
      </c>
      <c r="F956" s="2" t="s">
        <v>4205</v>
      </c>
      <c r="I956" s="2" t="s">
        <v>8382</v>
      </c>
      <c r="J956" s="12" t="str">
        <f>VLOOKUP(I956,'Copy of Enriched Data - IPBES G'!$L$2:$L$229,1,false)</f>
        <v>#N/A</v>
      </c>
      <c r="M956" s="2" t="s">
        <v>1458</v>
      </c>
      <c r="N956" s="2" t="s">
        <v>8383</v>
      </c>
      <c r="O956" s="2" t="s">
        <v>8384</v>
      </c>
      <c r="Q956" s="2" t="s">
        <v>8385</v>
      </c>
      <c r="S956" s="2" t="s">
        <v>1600</v>
      </c>
      <c r="T956" s="2">
        <v>87.0</v>
      </c>
      <c r="AO956" s="2" t="s">
        <v>1368</v>
      </c>
    </row>
    <row r="957" ht="15.75" customHeight="1">
      <c r="A957" s="2" t="s">
        <v>8386</v>
      </c>
      <c r="B957" s="2" t="s">
        <v>1361</v>
      </c>
      <c r="C957" s="2">
        <v>2014.0</v>
      </c>
      <c r="D957" s="2" t="s">
        <v>8387</v>
      </c>
      <c r="E957" s="2" t="s">
        <v>8388</v>
      </c>
      <c r="F957" s="2" t="s">
        <v>8389</v>
      </c>
      <c r="I957" s="2" t="s">
        <v>8390</v>
      </c>
      <c r="J957" s="12" t="str">
        <f>VLOOKUP(I957,'Copy of Enriched Data - IPBES G'!$L$2:$L$229,1,false)</f>
        <v>#N/A</v>
      </c>
      <c r="M957" s="2" t="s">
        <v>1476</v>
      </c>
      <c r="N957" s="2" t="s">
        <v>8391</v>
      </c>
      <c r="O957" s="2" t="s">
        <v>8392</v>
      </c>
      <c r="Q957" s="2" t="s">
        <v>8393</v>
      </c>
      <c r="T957" s="2">
        <v>84.0</v>
      </c>
      <c r="AO957" s="2" t="s">
        <v>1368</v>
      </c>
    </row>
    <row r="958" ht="15.75" customHeight="1">
      <c r="A958" s="2" t="s">
        <v>8394</v>
      </c>
      <c r="B958" s="2" t="s">
        <v>1361</v>
      </c>
      <c r="C958" s="2">
        <v>2000.0</v>
      </c>
      <c r="D958" s="2" t="s">
        <v>8395</v>
      </c>
      <c r="E958" s="2" t="s">
        <v>8396</v>
      </c>
      <c r="F958" s="2" t="s">
        <v>8397</v>
      </c>
      <c r="J958" s="12" t="str">
        <f>VLOOKUP(I958,'Copy of Enriched Data - IPBES G'!$L$2:$L$229,1,false)</f>
        <v>#N/A</v>
      </c>
      <c r="M958" s="2" t="s">
        <v>2429</v>
      </c>
      <c r="N958" s="2" t="s">
        <v>8398</v>
      </c>
      <c r="O958" s="2" t="s">
        <v>8399</v>
      </c>
      <c r="Q958" s="2" t="s">
        <v>8400</v>
      </c>
      <c r="S958" s="2" t="s">
        <v>1453</v>
      </c>
      <c r="T958" s="2">
        <v>28.0</v>
      </c>
      <c r="AO958" s="2" t="s">
        <v>1368</v>
      </c>
    </row>
    <row r="959" ht="15.75" customHeight="1">
      <c r="A959" s="2" t="s">
        <v>8401</v>
      </c>
      <c r="B959" s="2" t="s">
        <v>1361</v>
      </c>
      <c r="C959" s="2">
        <v>2000.0</v>
      </c>
      <c r="D959" s="2" t="s">
        <v>8402</v>
      </c>
      <c r="E959" s="2" t="s">
        <v>8403</v>
      </c>
      <c r="F959" s="2" t="s">
        <v>8404</v>
      </c>
      <c r="H959" s="2" t="s">
        <v>8405</v>
      </c>
      <c r="I959" s="2" t="s">
        <v>8406</v>
      </c>
      <c r="J959" s="12" t="str">
        <f>VLOOKUP(I959,'Copy of Enriched Data - IPBES G'!$L$2:$L$229,1,false)</f>
        <v>#N/A</v>
      </c>
      <c r="K959" s="2" t="s">
        <v>8407</v>
      </c>
      <c r="M959" s="2" t="s">
        <v>8408</v>
      </c>
      <c r="N959" s="2" t="s">
        <v>8409</v>
      </c>
      <c r="O959" s="2" t="s">
        <v>8410</v>
      </c>
      <c r="P959" s="2" t="s">
        <v>8411</v>
      </c>
      <c r="Q959" s="2" t="s">
        <v>8412</v>
      </c>
      <c r="S959" s="2" t="s">
        <v>1600</v>
      </c>
      <c r="T959" s="2">
        <v>56.0</v>
      </c>
      <c r="V959" s="2" t="s">
        <v>8413</v>
      </c>
      <c r="W959" s="2" t="s">
        <v>8414</v>
      </c>
      <c r="AD959" s="2" t="s">
        <v>1540</v>
      </c>
      <c r="AI959" s="2" t="s">
        <v>1541</v>
      </c>
      <c r="AO959" s="2" t="s">
        <v>1872</v>
      </c>
    </row>
    <row r="960" ht="15.75" customHeight="1">
      <c r="A960" s="2" t="s">
        <v>8423</v>
      </c>
      <c r="B960" s="2" t="s">
        <v>1361</v>
      </c>
      <c r="C960" s="2">
        <v>2017.0</v>
      </c>
      <c r="D960" s="2" t="s">
        <v>8424</v>
      </c>
      <c r="E960" s="2" t="s">
        <v>8425</v>
      </c>
      <c r="F960" s="2" t="s">
        <v>1707</v>
      </c>
      <c r="H960" s="2" t="s">
        <v>1708</v>
      </c>
      <c r="I960" s="2" t="s">
        <v>8426</v>
      </c>
      <c r="J960" s="12" t="str">
        <f>VLOOKUP(I960,'Copy of Enriched Data - IPBES G'!$L$2:$L$229,1,false)</f>
        <v>#N/A</v>
      </c>
      <c r="K960" s="2" t="s">
        <v>8427</v>
      </c>
      <c r="M960" s="2" t="s">
        <v>5369</v>
      </c>
      <c r="N960" s="2" t="s">
        <v>8428</v>
      </c>
      <c r="O960" s="2" t="s">
        <v>8429</v>
      </c>
      <c r="P960" s="2" t="s">
        <v>2912</v>
      </c>
      <c r="Q960" s="2" t="s">
        <v>8430</v>
      </c>
      <c r="S960" s="2" t="s">
        <v>2271</v>
      </c>
      <c r="T960" s="2">
        <v>1.0</v>
      </c>
      <c r="V960" s="2" t="s">
        <v>2888</v>
      </c>
      <c r="AD960" s="2" t="s">
        <v>1540</v>
      </c>
      <c r="AI960" s="2" t="s">
        <v>1541</v>
      </c>
      <c r="AO960" s="2" t="s">
        <v>8431</v>
      </c>
    </row>
    <row r="961" ht="15.75" customHeight="1">
      <c r="A961" s="2" t="s">
        <v>8432</v>
      </c>
      <c r="B961" s="2" t="s">
        <v>1361</v>
      </c>
      <c r="C961" s="2">
        <v>2010.0</v>
      </c>
      <c r="D961" s="2" t="s">
        <v>8433</v>
      </c>
      <c r="E961" s="2" t="s">
        <v>8434</v>
      </c>
      <c r="F961" s="2" t="s">
        <v>6589</v>
      </c>
      <c r="H961" s="2" t="s">
        <v>8435</v>
      </c>
      <c r="I961" s="2" t="s">
        <v>8436</v>
      </c>
      <c r="J961" s="12" t="str">
        <f>VLOOKUP(I961,'Copy of Enriched Data - IPBES G'!$L$2:$L$229,1,false)</f>
        <v>#N/A</v>
      </c>
      <c r="K961" s="2" t="s">
        <v>8437</v>
      </c>
      <c r="M961" s="2" t="s">
        <v>3507</v>
      </c>
      <c r="N961" s="2" t="s">
        <v>8438</v>
      </c>
      <c r="O961" s="2" t="s">
        <v>8439</v>
      </c>
      <c r="P961" s="2" t="s">
        <v>8440</v>
      </c>
      <c r="Q961" s="2" t="s">
        <v>8441</v>
      </c>
      <c r="S961" s="2" t="s">
        <v>1937</v>
      </c>
      <c r="T961" s="2">
        <v>18.0</v>
      </c>
      <c r="V961" s="2" t="s">
        <v>6589</v>
      </c>
      <c r="W961" s="2" t="s">
        <v>8442</v>
      </c>
      <c r="AD961" s="2" t="s">
        <v>1540</v>
      </c>
      <c r="AI961" s="2" t="s">
        <v>1541</v>
      </c>
      <c r="AO961" s="2" t="s">
        <v>1872</v>
      </c>
    </row>
    <row r="962" ht="15.75" customHeight="1">
      <c r="A962" s="2" t="s">
        <v>8443</v>
      </c>
      <c r="B962" s="2" t="s">
        <v>1361</v>
      </c>
      <c r="C962" s="2">
        <v>2012.0</v>
      </c>
      <c r="D962" s="2" t="s">
        <v>8444</v>
      </c>
      <c r="E962" s="2" t="s">
        <v>8445</v>
      </c>
      <c r="F962" s="2" t="s">
        <v>1760</v>
      </c>
      <c r="H962" s="2" t="s">
        <v>1761</v>
      </c>
      <c r="I962" s="2" t="s">
        <v>8446</v>
      </c>
      <c r="J962" s="12" t="str">
        <f>VLOOKUP(I962,'Copy of Enriched Data - IPBES G'!$L$2:$L$229,1,false)</f>
        <v>#N/A</v>
      </c>
      <c r="K962" s="2" t="s">
        <v>8447</v>
      </c>
      <c r="M962" s="2" t="s">
        <v>8448</v>
      </c>
      <c r="N962" s="2" t="s">
        <v>8449</v>
      </c>
      <c r="O962" s="2" t="s">
        <v>8450</v>
      </c>
      <c r="P962" s="2" t="s">
        <v>8451</v>
      </c>
      <c r="Q962" s="2" t="s">
        <v>8452</v>
      </c>
      <c r="T962" s="2">
        <v>83.0</v>
      </c>
      <c r="V962" s="2" t="s">
        <v>1760</v>
      </c>
      <c r="W962" s="2" t="s">
        <v>8453</v>
      </c>
      <c r="AD962" s="2" t="s">
        <v>1540</v>
      </c>
      <c r="AI962" s="2" t="s">
        <v>1541</v>
      </c>
      <c r="AO962" s="2" t="s">
        <v>1872</v>
      </c>
    </row>
    <row r="963" ht="15.75" customHeight="1">
      <c r="A963" s="2" t="s">
        <v>8466</v>
      </c>
      <c r="B963" s="2" t="s">
        <v>1766</v>
      </c>
      <c r="C963" s="2">
        <v>2007.0</v>
      </c>
      <c r="D963" s="2" t="s">
        <v>8467</v>
      </c>
      <c r="E963" s="2" t="s">
        <v>8468</v>
      </c>
      <c r="F963" s="2" t="s">
        <v>8469</v>
      </c>
      <c r="G963" s="2" t="s">
        <v>8470</v>
      </c>
      <c r="J963" s="12" t="str">
        <f>VLOOKUP(I963,'Copy of Enriched Data - IPBES G'!$L$2:$L$229,1,false)</f>
        <v>#N/A</v>
      </c>
      <c r="K963" s="2" t="s">
        <v>8471</v>
      </c>
      <c r="L963" s="2" t="s">
        <v>8472</v>
      </c>
      <c r="M963" s="2" t="s">
        <v>2380</v>
      </c>
      <c r="N963" s="2" t="s">
        <v>1385</v>
      </c>
      <c r="O963" s="2" t="s">
        <v>1386</v>
      </c>
      <c r="AB963" s="2" t="s">
        <v>8473</v>
      </c>
      <c r="AK963" s="2" t="s">
        <v>8474</v>
      </c>
      <c r="AO963" s="2" t="s">
        <v>1368</v>
      </c>
    </row>
    <row r="964" ht="15.75" customHeight="1">
      <c r="A964" s="2" t="s">
        <v>8475</v>
      </c>
      <c r="B964" s="2" t="s">
        <v>1361</v>
      </c>
      <c r="C964" s="2">
        <v>2011.0</v>
      </c>
      <c r="D964" s="2" t="s">
        <v>8476</v>
      </c>
      <c r="E964" s="2" t="s">
        <v>8477</v>
      </c>
      <c r="F964" s="2" t="s">
        <v>1876</v>
      </c>
      <c r="H964" s="2" t="s">
        <v>1877</v>
      </c>
      <c r="I964" s="2" t="s">
        <v>8478</v>
      </c>
      <c r="J964" s="12" t="str">
        <f>VLOOKUP(I964,'Copy of Enriched Data - IPBES G'!$L$2:$L$229,1,false)</f>
        <v>#N/A</v>
      </c>
      <c r="K964" s="2" t="s">
        <v>8479</v>
      </c>
      <c r="L964" s="2" t="s">
        <v>8480</v>
      </c>
      <c r="M964" s="2" t="s">
        <v>8481</v>
      </c>
      <c r="N964" s="2" t="s">
        <v>1385</v>
      </c>
      <c r="O964" s="2" t="s">
        <v>1386</v>
      </c>
      <c r="Q964" s="2" t="s">
        <v>8482</v>
      </c>
      <c r="S964" s="2" t="s">
        <v>2646</v>
      </c>
      <c r="T964" s="2">
        <v>6.0</v>
      </c>
      <c r="AO964" s="2" t="s">
        <v>3548</v>
      </c>
    </row>
    <row r="965" ht="15.75" customHeight="1">
      <c r="A965" s="2" t="s">
        <v>8490</v>
      </c>
      <c r="B965" s="2" t="s">
        <v>1361</v>
      </c>
      <c r="C965" s="2">
        <v>2012.0</v>
      </c>
      <c r="D965" s="2" t="s">
        <v>8491</v>
      </c>
      <c r="E965" s="2" t="s">
        <v>8492</v>
      </c>
      <c r="F965" s="2" t="s">
        <v>3247</v>
      </c>
      <c r="H965" s="2" t="s">
        <v>3248</v>
      </c>
      <c r="I965" s="2" t="s">
        <v>8493</v>
      </c>
      <c r="J965" s="12" t="str">
        <f>VLOOKUP(I965,'Copy of Enriched Data - IPBES G'!$L$2:$L$229,1,false)</f>
        <v>#N/A</v>
      </c>
      <c r="L965" s="2" t="s">
        <v>8494</v>
      </c>
      <c r="M965" s="2" t="s">
        <v>1405</v>
      </c>
      <c r="N965" s="2" t="s">
        <v>1385</v>
      </c>
      <c r="O965" s="2" t="s">
        <v>1386</v>
      </c>
      <c r="Q965" s="2" t="s">
        <v>8495</v>
      </c>
      <c r="S965" s="2" t="s">
        <v>2799</v>
      </c>
      <c r="T965" s="2">
        <v>109.0</v>
      </c>
      <c r="AO965" s="2" t="s">
        <v>2967</v>
      </c>
    </row>
    <row r="966" ht="15.75" customHeight="1">
      <c r="A966" s="2" t="s">
        <v>8496</v>
      </c>
      <c r="B966" s="2" t="s">
        <v>1766</v>
      </c>
      <c r="C966" s="2">
        <v>2013.0</v>
      </c>
      <c r="D966" s="2" t="s">
        <v>8497</v>
      </c>
      <c r="E966" s="2" t="s">
        <v>8498</v>
      </c>
      <c r="F966" s="2" t="s">
        <v>8499</v>
      </c>
      <c r="J966" s="12" t="str">
        <f>VLOOKUP(I966,'Copy of Enriched Data - IPBES G'!$L$2:$L$229,1,false)</f>
        <v>#N/A</v>
      </c>
      <c r="M966" s="2" t="s">
        <v>1429</v>
      </c>
      <c r="N966" s="2" t="s">
        <v>1385</v>
      </c>
      <c r="O966" s="2" t="s">
        <v>1386</v>
      </c>
      <c r="Q966" s="2" t="s">
        <v>8500</v>
      </c>
      <c r="AB966" s="2" t="s">
        <v>7770</v>
      </c>
      <c r="AC966" s="2" t="s">
        <v>8501</v>
      </c>
      <c r="AO966" s="2" t="s">
        <v>2169</v>
      </c>
    </row>
    <row r="967" ht="15.75" customHeight="1">
      <c r="A967" s="2" t="s">
        <v>8502</v>
      </c>
      <c r="B967" s="2" t="s">
        <v>1396</v>
      </c>
      <c r="C967" s="2">
        <v>2013.0</v>
      </c>
      <c r="D967" s="2" t="s">
        <v>8503</v>
      </c>
      <c r="E967" s="2" t="s">
        <v>8504</v>
      </c>
      <c r="G967" s="2" t="s">
        <v>8505</v>
      </c>
      <c r="J967" s="12" t="str">
        <f>VLOOKUP(I967,'Copy of Enriched Data - IPBES G'!$L$2:$L$229,1,false)</f>
        <v>#N/A</v>
      </c>
      <c r="L967" s="2" t="s">
        <v>8506</v>
      </c>
      <c r="M967" s="2" t="s">
        <v>1429</v>
      </c>
      <c r="N967" s="2" t="s">
        <v>1385</v>
      </c>
      <c r="O967" s="2" t="s">
        <v>1386</v>
      </c>
      <c r="R967" s="2">
        <v>523.0</v>
      </c>
      <c r="AO967" s="2" t="s">
        <v>1621</v>
      </c>
    </row>
    <row r="968" ht="15.75" customHeight="1">
      <c r="A968" s="2" t="s">
        <v>8515</v>
      </c>
      <c r="B968" s="2" t="s">
        <v>1623</v>
      </c>
      <c r="C968" s="2">
        <v>2011.0</v>
      </c>
      <c r="D968" s="2" t="s">
        <v>8516</v>
      </c>
      <c r="E968" s="2" t="s">
        <v>8517</v>
      </c>
      <c r="J968" s="12" t="str">
        <f>VLOOKUP(I968,'Copy of Enriched Data - IPBES G'!$L$2:$L$229,1,false)</f>
        <v>#N/A</v>
      </c>
      <c r="K968" s="2" t="s">
        <v>8518</v>
      </c>
      <c r="M968" s="2" t="s">
        <v>1627</v>
      </c>
      <c r="N968" s="2" t="s">
        <v>1385</v>
      </c>
      <c r="O968" s="2" t="s">
        <v>1386</v>
      </c>
      <c r="AO968" s="2" t="s">
        <v>1368</v>
      </c>
    </row>
    <row r="969" ht="15.75" customHeight="1">
      <c r="A969" s="2" t="s">
        <v>8519</v>
      </c>
      <c r="B969" s="2" t="s">
        <v>1623</v>
      </c>
      <c r="C969" s="2">
        <v>2013.0</v>
      </c>
      <c r="D969" s="2" t="s">
        <v>8520</v>
      </c>
      <c r="E969" s="2" t="s">
        <v>8521</v>
      </c>
      <c r="J969" s="12" t="str">
        <f>VLOOKUP(I969,'Copy of Enriched Data - IPBES G'!$L$2:$L$229,1,false)</f>
        <v>#N/A</v>
      </c>
      <c r="L969" s="2" t="s">
        <v>8522</v>
      </c>
      <c r="M969" s="2" t="s">
        <v>1429</v>
      </c>
      <c r="N969" s="2" t="s">
        <v>1385</v>
      </c>
      <c r="O969" s="2" t="s">
        <v>1386</v>
      </c>
      <c r="AB969" s="2" t="s">
        <v>8523</v>
      </c>
      <c r="AO969" s="2" t="s">
        <v>1368</v>
      </c>
    </row>
    <row r="970" ht="15.75" customHeight="1">
      <c r="A970" s="2" t="s">
        <v>8524</v>
      </c>
      <c r="B970" s="2" t="s">
        <v>1361</v>
      </c>
      <c r="C970" s="2">
        <v>2011.0</v>
      </c>
      <c r="D970" s="2" t="s">
        <v>8525</v>
      </c>
      <c r="E970" s="2" t="s">
        <v>8526</v>
      </c>
      <c r="F970" s="2" t="s">
        <v>8527</v>
      </c>
      <c r="I970" s="2" t="s">
        <v>8528</v>
      </c>
      <c r="J970" s="12" t="str">
        <f>VLOOKUP(I970,'Copy of Enriched Data - IPBES G'!$L$2:$L$229,1,false)</f>
        <v>#N/A</v>
      </c>
      <c r="L970" s="2" t="s">
        <v>8529</v>
      </c>
      <c r="M970" s="2" t="s">
        <v>1627</v>
      </c>
      <c r="N970" s="2" t="s">
        <v>1385</v>
      </c>
      <c r="O970" s="2" t="s">
        <v>1386</v>
      </c>
      <c r="Q970" s="2" t="s">
        <v>8530</v>
      </c>
      <c r="S970" s="2" t="s">
        <v>1462</v>
      </c>
      <c r="T970" s="2">
        <v>42.0</v>
      </c>
      <c r="AO970" s="2" t="s">
        <v>1368</v>
      </c>
    </row>
    <row r="971" ht="15.75" customHeight="1">
      <c r="A971" s="2" t="s">
        <v>8531</v>
      </c>
      <c r="B971" s="2" t="s">
        <v>1361</v>
      </c>
      <c r="C971" s="2">
        <v>2015.0</v>
      </c>
      <c r="D971" s="2" t="s">
        <v>8532</v>
      </c>
      <c r="E971" s="2" t="s">
        <v>8533</v>
      </c>
      <c r="F971" s="2" t="s">
        <v>1510</v>
      </c>
      <c r="H971" s="2" t="s">
        <v>1511</v>
      </c>
      <c r="I971" s="2" t="s">
        <v>8534</v>
      </c>
      <c r="J971" s="12" t="str">
        <f>VLOOKUP(I971,'Copy of Enriched Data - IPBES G'!$L$2:$L$229,1,false)</f>
        <v>#N/A</v>
      </c>
      <c r="M971" s="2" t="s">
        <v>1373</v>
      </c>
      <c r="N971" s="2" t="s">
        <v>1385</v>
      </c>
      <c r="O971" s="2" t="s">
        <v>1386</v>
      </c>
      <c r="Q971" s="2" t="s">
        <v>8535</v>
      </c>
      <c r="S971" s="2" t="s">
        <v>8536</v>
      </c>
      <c r="T971" s="2">
        <v>348.0</v>
      </c>
      <c r="AO971" s="2" t="s">
        <v>1368</v>
      </c>
    </row>
    <row r="972" ht="15.75" customHeight="1">
      <c r="A972" s="2" t="s">
        <v>8537</v>
      </c>
      <c r="B972" s="2" t="s">
        <v>1361</v>
      </c>
      <c r="C972" s="2">
        <v>2004.0</v>
      </c>
      <c r="D972" s="2" t="s">
        <v>8538</v>
      </c>
      <c r="E972" s="2" t="s">
        <v>8539</v>
      </c>
      <c r="F972" s="2" t="s">
        <v>8540</v>
      </c>
      <c r="H972" s="2" t="s">
        <v>8541</v>
      </c>
      <c r="I972" s="2" t="s">
        <v>8542</v>
      </c>
      <c r="J972" s="12" t="str">
        <f>VLOOKUP(I972,'Copy of Enriched Data - IPBES G'!$L$2:$L$229,1,false)</f>
        <v>#N/A</v>
      </c>
      <c r="K972" s="2" t="s">
        <v>8543</v>
      </c>
      <c r="M972" s="2" t="s">
        <v>8544</v>
      </c>
      <c r="N972" s="2" t="s">
        <v>1385</v>
      </c>
      <c r="O972" s="2" t="s">
        <v>1386</v>
      </c>
      <c r="Q972" s="2" t="s">
        <v>8545</v>
      </c>
      <c r="S972" s="2" t="s">
        <v>5851</v>
      </c>
      <c r="T972" s="2">
        <v>19.0</v>
      </c>
      <c r="AO972" s="2" t="s">
        <v>1368</v>
      </c>
    </row>
    <row r="973" ht="15.75" customHeight="1">
      <c r="A973" s="2" t="s">
        <v>8546</v>
      </c>
      <c r="B973" s="2" t="s">
        <v>1623</v>
      </c>
      <c r="C973" s="2">
        <v>2004.0</v>
      </c>
      <c r="D973" s="2" t="s">
        <v>8547</v>
      </c>
      <c r="E973" s="2" t="s">
        <v>8548</v>
      </c>
      <c r="J973" s="12" t="str">
        <f>VLOOKUP(I973,'Copy of Enriched Data - IPBES G'!$L$2:$L$229,1,false)</f>
        <v>#N/A</v>
      </c>
      <c r="K973" s="2" t="s">
        <v>8549</v>
      </c>
      <c r="M973" s="2" t="s">
        <v>2373</v>
      </c>
      <c r="N973" s="2" t="s">
        <v>1385</v>
      </c>
      <c r="O973" s="2" t="s">
        <v>1386</v>
      </c>
      <c r="AB973" s="2" t="s">
        <v>8550</v>
      </c>
      <c r="AO973" s="2" t="s">
        <v>1368</v>
      </c>
    </row>
    <row r="974" ht="15.75" customHeight="1">
      <c r="A974" s="2" t="s">
        <v>8551</v>
      </c>
      <c r="B974" s="2" t="s">
        <v>1361</v>
      </c>
      <c r="C974" s="2">
        <v>2008.0</v>
      </c>
      <c r="D974" s="2" t="s">
        <v>8552</v>
      </c>
      <c r="E974" s="2" t="s">
        <v>8553</v>
      </c>
      <c r="F974" s="2" t="s">
        <v>8554</v>
      </c>
      <c r="H974" s="2" t="s">
        <v>8555</v>
      </c>
      <c r="I974" s="2" t="s">
        <v>8556</v>
      </c>
      <c r="J974" s="12" t="str">
        <f>VLOOKUP(I974,'Copy of Enriched Data - IPBES G'!$L$2:$L$229,1,false)</f>
        <v>#N/A</v>
      </c>
      <c r="K974" s="2" t="s">
        <v>8557</v>
      </c>
      <c r="L974" s="2" t="s">
        <v>8558</v>
      </c>
      <c r="M974" s="2" t="s">
        <v>8559</v>
      </c>
      <c r="N974" s="2" t="s">
        <v>1385</v>
      </c>
      <c r="O974" s="2" t="s">
        <v>1386</v>
      </c>
      <c r="Q974" s="2" t="s">
        <v>8560</v>
      </c>
      <c r="S974" s="2" t="s">
        <v>1453</v>
      </c>
      <c r="T974" s="2">
        <v>110.0</v>
      </c>
      <c r="AD974" s="2" t="s">
        <v>1540</v>
      </c>
      <c r="AO974" s="2" t="s">
        <v>1368</v>
      </c>
    </row>
    <row r="975" ht="15.75" customHeight="1">
      <c r="A975" s="2" t="s">
        <v>8561</v>
      </c>
      <c r="B975" s="2" t="s">
        <v>1766</v>
      </c>
      <c r="C975" s="2">
        <v>2009.0</v>
      </c>
      <c r="D975" s="2" t="s">
        <v>8562</v>
      </c>
      <c r="E975" s="2" t="s">
        <v>8563</v>
      </c>
      <c r="F975" s="2" t="s">
        <v>8564</v>
      </c>
      <c r="J975" s="12" t="str">
        <f>VLOOKUP(I975,'Copy of Enriched Data - IPBES G'!$L$2:$L$229,1,false)</f>
        <v>#N/A</v>
      </c>
      <c r="M975" s="2" t="s">
        <v>1364</v>
      </c>
      <c r="N975" s="2" t="s">
        <v>1385</v>
      </c>
      <c r="O975" s="2" t="s">
        <v>1386</v>
      </c>
      <c r="Q975" s="2" t="s">
        <v>8565</v>
      </c>
      <c r="AO975" s="2" t="s">
        <v>1368</v>
      </c>
      <c r="AQ975" s="2" t="s">
        <v>8566</v>
      </c>
    </row>
    <row r="976" ht="15.75" customHeight="1">
      <c r="A976" s="2" t="s">
        <v>8567</v>
      </c>
      <c r="B976" s="2" t="s">
        <v>1781</v>
      </c>
      <c r="C976" s="2">
        <v>2006.0</v>
      </c>
      <c r="D976" s="2" t="s">
        <v>8568</v>
      </c>
      <c r="E976" s="2" t="s">
        <v>8569</v>
      </c>
      <c r="J976" s="12" t="str">
        <f>VLOOKUP(I976,'Copy of Enriched Data - IPBES G'!$L$2:$L$229,1,false)</f>
        <v>#N/A</v>
      </c>
      <c r="K976" s="2" t="s">
        <v>8570</v>
      </c>
      <c r="L976" s="2" t="s">
        <v>8571</v>
      </c>
      <c r="M976" s="2" t="s">
        <v>1727</v>
      </c>
      <c r="N976" s="2" t="s">
        <v>1385</v>
      </c>
      <c r="O976" s="2" t="s">
        <v>1386</v>
      </c>
      <c r="AO976" s="2" t="s">
        <v>1368</v>
      </c>
    </row>
    <row r="977" ht="15.75" customHeight="1">
      <c r="A977" s="2" t="s">
        <v>8572</v>
      </c>
      <c r="B977" s="2" t="s">
        <v>1396</v>
      </c>
      <c r="C977" s="2">
        <v>2002.0</v>
      </c>
      <c r="E977" s="2" t="s">
        <v>8573</v>
      </c>
      <c r="G977" s="2" t="s">
        <v>8574</v>
      </c>
      <c r="J977" s="12" t="str">
        <f>VLOOKUP(I977,'Copy of Enriched Data - IPBES G'!$L$2:$L$229,1,false)</f>
        <v>#N/A</v>
      </c>
      <c r="M977" s="2" t="s">
        <v>1493</v>
      </c>
      <c r="N977" s="2" t="s">
        <v>1385</v>
      </c>
      <c r="O977" s="2" t="s">
        <v>1386</v>
      </c>
      <c r="R977" s="2">
        <v>456.0</v>
      </c>
      <c r="AB977" s="2" t="s">
        <v>6967</v>
      </c>
      <c r="AC977" s="2" t="s">
        <v>2146</v>
      </c>
      <c r="AO977" s="2" t="s">
        <v>1368</v>
      </c>
      <c r="AQ977" s="2" t="s">
        <v>8575</v>
      </c>
    </row>
    <row r="978" ht="15.75" customHeight="1">
      <c r="A978" s="2" t="s">
        <v>8576</v>
      </c>
      <c r="B978" s="2" t="s">
        <v>1361</v>
      </c>
      <c r="C978" s="2">
        <v>2010.0</v>
      </c>
      <c r="D978" s="2" t="s">
        <v>8577</v>
      </c>
      <c r="E978" s="2" t="s">
        <v>8578</v>
      </c>
      <c r="F978" s="2" t="s">
        <v>1510</v>
      </c>
      <c r="H978" s="2" t="s">
        <v>1511</v>
      </c>
      <c r="I978" s="2" t="s">
        <v>8579</v>
      </c>
      <c r="J978" s="12" t="str">
        <f>VLOOKUP(I978,'Copy of Enriched Data - IPBES G'!$L$2:$L$229,1,false)</f>
        <v>#N/A</v>
      </c>
      <c r="K978" s="2" t="s">
        <v>8580</v>
      </c>
      <c r="L978" s="2" t="s">
        <v>8581</v>
      </c>
      <c r="M978" s="2" t="s">
        <v>1449</v>
      </c>
      <c r="N978" s="2" t="s">
        <v>1385</v>
      </c>
      <c r="O978" s="2" t="s">
        <v>1386</v>
      </c>
      <c r="Q978" s="2" t="s">
        <v>8582</v>
      </c>
      <c r="S978" s="2" t="s">
        <v>8583</v>
      </c>
      <c r="T978" s="2">
        <v>327.0</v>
      </c>
      <c r="AO978" s="2" t="s">
        <v>1368</v>
      </c>
    </row>
    <row r="979" ht="15.75" customHeight="1">
      <c r="A979" s="2" t="s">
        <v>8587</v>
      </c>
      <c r="B979" s="2" t="s">
        <v>1361</v>
      </c>
      <c r="C979" s="2">
        <v>2013.0</v>
      </c>
      <c r="D979" s="2" t="s">
        <v>8588</v>
      </c>
      <c r="E979" s="2" t="s">
        <v>8589</v>
      </c>
      <c r="F979" s="2" t="s">
        <v>3247</v>
      </c>
      <c r="H979" s="2" t="s">
        <v>3248</v>
      </c>
      <c r="I979" s="2" t="s">
        <v>8590</v>
      </c>
      <c r="J979" s="12" t="str">
        <f>VLOOKUP(I979,'Copy of Enriched Data - IPBES G'!$L$2:$L$229,1,false)</f>
        <v>#N/A</v>
      </c>
      <c r="L979" s="2" t="s">
        <v>8591</v>
      </c>
      <c r="M979" s="2" t="s">
        <v>2209</v>
      </c>
      <c r="N979" s="2" t="s">
        <v>1385</v>
      </c>
      <c r="O979" s="2" t="s">
        <v>1386</v>
      </c>
      <c r="Q979" s="2" t="s">
        <v>8592</v>
      </c>
      <c r="S979" s="2" t="s">
        <v>2840</v>
      </c>
      <c r="T979" s="2">
        <v>110.0</v>
      </c>
      <c r="AO979" s="2" t="s">
        <v>1368</v>
      </c>
    </row>
    <row r="980" ht="15.75" customHeight="1">
      <c r="A980" s="2" t="s">
        <v>8593</v>
      </c>
      <c r="B980" s="2" t="s">
        <v>1361</v>
      </c>
      <c r="C980" s="2">
        <v>2008.0</v>
      </c>
      <c r="D980" s="2" t="s">
        <v>8594</v>
      </c>
      <c r="E980" s="2" t="s">
        <v>8595</v>
      </c>
      <c r="F980" s="2" t="s">
        <v>2205</v>
      </c>
      <c r="H980" s="2" t="s">
        <v>2206</v>
      </c>
      <c r="I980" s="2" t="s">
        <v>8596</v>
      </c>
      <c r="J980" s="12" t="str">
        <f>VLOOKUP(I980,'Copy of Enriched Data - IPBES G'!$L$2:$L$229,1,false)</f>
        <v>#N/A</v>
      </c>
      <c r="L980" s="2" t="s">
        <v>8597</v>
      </c>
      <c r="M980" s="2" t="s">
        <v>1458</v>
      </c>
      <c r="N980" s="2" t="s">
        <v>1385</v>
      </c>
      <c r="O980" s="2" t="s">
        <v>1386</v>
      </c>
      <c r="Q980" s="2" t="s">
        <v>8598</v>
      </c>
      <c r="S980" s="2" t="s">
        <v>1462</v>
      </c>
      <c r="T980" s="2">
        <v>32.0</v>
      </c>
      <c r="AO980" s="2" t="s">
        <v>1368</v>
      </c>
    </row>
    <row r="981" ht="15.75" customHeight="1">
      <c r="A981" s="2" t="s">
        <v>8599</v>
      </c>
      <c r="B981" s="2" t="s">
        <v>1361</v>
      </c>
      <c r="C981" s="2">
        <v>2009.0</v>
      </c>
      <c r="D981" s="2" t="s">
        <v>8600</v>
      </c>
      <c r="E981" s="2" t="s">
        <v>8601</v>
      </c>
      <c r="F981" s="2" t="s">
        <v>6894</v>
      </c>
      <c r="I981" s="2" t="s">
        <v>8602</v>
      </c>
      <c r="J981" s="12" t="str">
        <f>VLOOKUP(I981,'Copy of Enriched Data - IPBES G'!$L$2:$L$229,1,false)</f>
        <v>#N/A</v>
      </c>
      <c r="L981" s="2" t="s">
        <v>8603</v>
      </c>
      <c r="M981" s="2" t="s">
        <v>6148</v>
      </c>
      <c r="N981" s="2" t="s">
        <v>1385</v>
      </c>
      <c r="O981" s="2" t="s">
        <v>1386</v>
      </c>
      <c r="Q981" s="2" t="s">
        <v>8604</v>
      </c>
      <c r="S981" s="2" t="s">
        <v>4806</v>
      </c>
      <c r="T981" s="2">
        <v>43.0</v>
      </c>
      <c r="AO981" s="2" t="s">
        <v>1368</v>
      </c>
    </row>
    <row r="982" ht="15.75" customHeight="1">
      <c r="A982" s="2" t="s">
        <v>8605</v>
      </c>
      <c r="B982" s="2" t="s">
        <v>1361</v>
      </c>
      <c r="C982" s="2">
        <v>2001.0</v>
      </c>
      <c r="D982" s="2" t="s">
        <v>8606</v>
      </c>
      <c r="E982" s="2" t="s">
        <v>8607</v>
      </c>
      <c r="F982" s="2" t="s">
        <v>8608</v>
      </c>
      <c r="H982" s="2" t="s">
        <v>8609</v>
      </c>
      <c r="I982" s="2" t="s">
        <v>8610</v>
      </c>
      <c r="J982" s="12" t="str">
        <f>VLOOKUP(I982,'Copy of Enriched Data - IPBES G'!$L$2:$L$229,1,false)</f>
        <v>#N/A</v>
      </c>
      <c r="L982" s="2" t="s">
        <v>8611</v>
      </c>
      <c r="M982" s="2" t="s">
        <v>1414</v>
      </c>
      <c r="N982" s="2" t="s">
        <v>1385</v>
      </c>
      <c r="O982" s="2" t="s">
        <v>1386</v>
      </c>
      <c r="Q982" s="2" t="s">
        <v>8612</v>
      </c>
      <c r="S982" s="2" t="s">
        <v>1462</v>
      </c>
      <c r="T982" s="2">
        <v>53.0</v>
      </c>
      <c r="AO982" s="2" t="s">
        <v>1368</v>
      </c>
    </row>
    <row r="983" ht="15.75" customHeight="1">
      <c r="A983" s="2" t="s">
        <v>8613</v>
      </c>
      <c r="B983" s="2" t="s">
        <v>1361</v>
      </c>
      <c r="C983" s="2">
        <v>2016.0</v>
      </c>
      <c r="D983" s="2" t="s">
        <v>8614</v>
      </c>
      <c r="E983" s="2" t="s">
        <v>8615</v>
      </c>
      <c r="F983" s="2" t="s">
        <v>5470</v>
      </c>
      <c r="I983" s="2" t="s">
        <v>8616</v>
      </c>
      <c r="J983" s="12" t="str">
        <f>VLOOKUP(I983,'Copy of Enriched Data - IPBES G'!$L$2:$L$229,1,false)</f>
        <v>#N/A</v>
      </c>
      <c r="M983" s="2" t="s">
        <v>1502</v>
      </c>
      <c r="N983" s="2" t="s">
        <v>1385</v>
      </c>
      <c r="O983" s="2" t="s">
        <v>1386</v>
      </c>
      <c r="Q983" s="2" t="s">
        <v>8617</v>
      </c>
      <c r="S983" s="2" t="s">
        <v>1600</v>
      </c>
      <c r="T983" s="2">
        <v>83.0</v>
      </c>
      <c r="AO983" s="2" t="s">
        <v>1368</v>
      </c>
    </row>
    <row r="984" ht="15.75" customHeight="1">
      <c r="A984" s="2" t="s">
        <v>8618</v>
      </c>
      <c r="B984" s="2" t="s">
        <v>1361</v>
      </c>
      <c r="C984" s="2">
        <v>2014.0</v>
      </c>
      <c r="D984" s="2" t="s">
        <v>8619</v>
      </c>
      <c r="E984" s="2" t="s">
        <v>8620</v>
      </c>
      <c r="F984" s="2" t="s">
        <v>1789</v>
      </c>
      <c r="H984" s="2" t="s">
        <v>1790</v>
      </c>
      <c r="I984" s="2" t="s">
        <v>8621</v>
      </c>
      <c r="J984" s="12" t="str">
        <f>VLOOKUP(I984,'Copy of Enriched Data - IPBES G'!$L$2:$L$229,1,false)</f>
        <v>#N/A</v>
      </c>
      <c r="L984" s="2" t="s">
        <v>8622</v>
      </c>
      <c r="M984" s="2" t="s">
        <v>1476</v>
      </c>
      <c r="N984" s="2" t="s">
        <v>1385</v>
      </c>
      <c r="O984" s="2" t="s">
        <v>1386</v>
      </c>
      <c r="AO984" s="2" t="s">
        <v>1368</v>
      </c>
    </row>
    <row r="985" ht="15.75" customHeight="1">
      <c r="A985" s="2" t="s">
        <v>8623</v>
      </c>
      <c r="B985" s="2" t="s">
        <v>1361</v>
      </c>
      <c r="C985" s="2">
        <v>2016.0</v>
      </c>
      <c r="D985" s="2" t="s">
        <v>8624</v>
      </c>
      <c r="E985" s="2" t="s">
        <v>8625</v>
      </c>
      <c r="F985" s="2" t="s">
        <v>1760</v>
      </c>
      <c r="H985" s="2" t="s">
        <v>1761</v>
      </c>
      <c r="I985" s="2" t="s">
        <v>8626</v>
      </c>
      <c r="J985" s="12" t="str">
        <f>VLOOKUP(I985,'Copy of Enriched Data - IPBES G'!$L$2:$L$229,1,false)</f>
        <v>#N/A</v>
      </c>
      <c r="L985" s="2" t="s">
        <v>8627</v>
      </c>
      <c r="M985" s="2" t="s">
        <v>1502</v>
      </c>
      <c r="N985" s="2" t="s">
        <v>1385</v>
      </c>
      <c r="O985" s="2" t="s">
        <v>1386</v>
      </c>
      <c r="AO985" s="2" t="s">
        <v>1368</v>
      </c>
    </row>
    <row r="986" ht="15.75" customHeight="1">
      <c r="A986" s="2" t="s">
        <v>8637</v>
      </c>
      <c r="B986" s="2" t="s">
        <v>1361</v>
      </c>
      <c r="C986" s="2">
        <v>2012.0</v>
      </c>
      <c r="D986" s="2" t="s">
        <v>8638</v>
      </c>
      <c r="E986" s="2" t="s">
        <v>8639</v>
      </c>
      <c r="F986" s="2" t="s">
        <v>1789</v>
      </c>
      <c r="H986" s="2" t="s">
        <v>1790</v>
      </c>
      <c r="I986" s="2" t="s">
        <v>8640</v>
      </c>
      <c r="J986" s="12" t="str">
        <f>VLOOKUP(I986,'Copy of Enriched Data - IPBES G'!$L$2:$L$229,1,false)</f>
        <v>#N/A</v>
      </c>
      <c r="L986" s="2" t="s">
        <v>8641</v>
      </c>
      <c r="M986" s="2" t="s">
        <v>1405</v>
      </c>
      <c r="N986" s="2" t="s">
        <v>1385</v>
      </c>
      <c r="O986" s="2" t="s">
        <v>1386</v>
      </c>
      <c r="AO986" s="2" t="s">
        <v>1368</v>
      </c>
    </row>
    <row r="987" ht="15.75" customHeight="1">
      <c r="A987" s="2" t="s">
        <v>8642</v>
      </c>
      <c r="B987" s="2" t="s">
        <v>1361</v>
      </c>
      <c r="C987" s="2">
        <v>2003.0</v>
      </c>
      <c r="D987" s="2" t="s">
        <v>8643</v>
      </c>
      <c r="E987" s="2" t="s">
        <v>8644</v>
      </c>
      <c r="F987" s="2" t="s">
        <v>8645</v>
      </c>
      <c r="H987" s="2" t="s">
        <v>2509</v>
      </c>
      <c r="I987" s="2" t="s">
        <v>8646</v>
      </c>
      <c r="J987" s="12" t="str">
        <f>VLOOKUP(I987,'Copy of Enriched Data - IPBES G'!$L$2:$L$229,1,false)</f>
        <v>#N/A</v>
      </c>
      <c r="M987" s="2" t="s">
        <v>1606</v>
      </c>
      <c r="N987" s="2" t="s">
        <v>1385</v>
      </c>
      <c r="O987" s="2" t="s">
        <v>1386</v>
      </c>
      <c r="Q987" s="2" t="s">
        <v>8647</v>
      </c>
      <c r="S987" s="2" t="s">
        <v>2271</v>
      </c>
      <c r="T987" s="2">
        <v>18.0</v>
      </c>
      <c r="AO987" s="2" t="s">
        <v>1368</v>
      </c>
    </row>
    <row r="988" ht="15.75" customHeight="1">
      <c r="A988" s="2" t="s">
        <v>8648</v>
      </c>
      <c r="B988" s="2" t="s">
        <v>1361</v>
      </c>
      <c r="C988" s="2">
        <v>1998.0</v>
      </c>
      <c r="D988" s="2" t="s">
        <v>8649</v>
      </c>
      <c r="E988" s="2" t="s">
        <v>8650</v>
      </c>
      <c r="F988" s="2" t="s">
        <v>1760</v>
      </c>
      <c r="H988" s="2" t="s">
        <v>1761</v>
      </c>
      <c r="I988" s="2" t="s">
        <v>8651</v>
      </c>
      <c r="J988" s="12" t="str">
        <f>VLOOKUP(I988,'Copy of Enriched Data - IPBES G'!$L$2:$L$229,1,false)</f>
        <v>#N/A</v>
      </c>
      <c r="L988" s="2" t="s">
        <v>8652</v>
      </c>
      <c r="M988" s="2" t="s">
        <v>1958</v>
      </c>
      <c r="N988" s="2" t="s">
        <v>1385</v>
      </c>
      <c r="O988" s="2" t="s">
        <v>1386</v>
      </c>
      <c r="AO988" s="2" t="s">
        <v>1368</v>
      </c>
    </row>
    <row r="989" ht="15.75" customHeight="1">
      <c r="A989" s="2" t="s">
        <v>8653</v>
      </c>
      <c r="B989" s="2" t="s">
        <v>1396</v>
      </c>
      <c r="C989" s="2">
        <v>2009.0</v>
      </c>
      <c r="D989" s="2" t="s">
        <v>8654</v>
      </c>
      <c r="E989" s="2" t="s">
        <v>8655</v>
      </c>
      <c r="J989" s="12" t="str">
        <f>VLOOKUP(I989,'Copy of Enriched Data - IPBES G'!$L$2:$L$229,1,false)</f>
        <v>#N/A</v>
      </c>
      <c r="M989" s="2" t="s">
        <v>1364</v>
      </c>
      <c r="N989" s="2" t="s">
        <v>1385</v>
      </c>
      <c r="O989" s="2" t="s">
        <v>1386</v>
      </c>
      <c r="AB989" s="2" t="s">
        <v>3653</v>
      </c>
      <c r="AO989" s="2" t="s">
        <v>1368</v>
      </c>
    </row>
    <row r="990" ht="15.75" customHeight="1">
      <c r="A990" s="2" t="s">
        <v>8656</v>
      </c>
      <c r="B990" s="2" t="s">
        <v>1361</v>
      </c>
      <c r="C990" s="2">
        <v>2015.0</v>
      </c>
      <c r="D990" s="2" t="s">
        <v>8657</v>
      </c>
      <c r="E990" s="2" t="s">
        <v>8658</v>
      </c>
      <c r="F990" s="2" t="s">
        <v>1876</v>
      </c>
      <c r="H990" s="2" t="s">
        <v>6702</v>
      </c>
      <c r="I990" s="2" t="s">
        <v>8659</v>
      </c>
      <c r="J990" s="12" t="str">
        <f>VLOOKUP(I990,'Copy of Enriched Data - IPBES G'!$L$2:$L$229,1,false)</f>
        <v>#N/A</v>
      </c>
      <c r="L990" s="2" t="s">
        <v>8660</v>
      </c>
      <c r="M990" s="2" t="s">
        <v>1373</v>
      </c>
      <c r="N990" s="2" t="s">
        <v>1385</v>
      </c>
      <c r="O990" s="2" t="s">
        <v>1386</v>
      </c>
      <c r="AO990" s="2" t="s">
        <v>1368</v>
      </c>
    </row>
    <row r="991" ht="15.75" customHeight="1">
      <c r="A991" s="2" t="s">
        <v>8661</v>
      </c>
      <c r="B991" s="2" t="s">
        <v>1766</v>
      </c>
      <c r="C991" s="2">
        <v>1977.0</v>
      </c>
      <c r="D991" s="2" t="s">
        <v>8662</v>
      </c>
      <c r="E991" s="2" t="s">
        <v>8663</v>
      </c>
      <c r="G991" s="2" t="s">
        <v>8664</v>
      </c>
      <c r="J991" s="12" t="str">
        <f>VLOOKUP(I991,'Copy of Enriched Data - IPBES G'!$L$2:$L$229,1,false)</f>
        <v>#N/A</v>
      </c>
      <c r="M991" s="2" t="s">
        <v>8665</v>
      </c>
      <c r="N991" s="2" t="s">
        <v>1385</v>
      </c>
      <c r="O991" s="2" t="s">
        <v>1386</v>
      </c>
      <c r="Q991" s="2" t="s">
        <v>8666</v>
      </c>
      <c r="T991" s="2">
        <v>10.0</v>
      </c>
      <c r="AB991" s="2" t="s">
        <v>7553</v>
      </c>
      <c r="AO991" s="2" t="s">
        <v>1368</v>
      </c>
      <c r="AQ991" s="2" t="s">
        <v>8667</v>
      </c>
    </row>
    <row r="992" ht="15.75" customHeight="1">
      <c r="A992" s="2" t="s">
        <v>8668</v>
      </c>
      <c r="B992" s="2" t="s">
        <v>1396</v>
      </c>
      <c r="C992" s="2">
        <v>2004.0</v>
      </c>
      <c r="D992" s="2" t="s">
        <v>8669</v>
      </c>
      <c r="E992" s="2" t="s">
        <v>8670</v>
      </c>
      <c r="J992" s="12" t="str">
        <f>VLOOKUP(I992,'Copy of Enriched Data - IPBES G'!$L$2:$L$229,1,false)</f>
        <v>#N/A</v>
      </c>
      <c r="M992" s="2" t="s">
        <v>2373</v>
      </c>
      <c r="N992" s="2" t="s">
        <v>1385</v>
      </c>
      <c r="O992" s="2" t="s">
        <v>1386</v>
      </c>
      <c r="R992" s="2">
        <v>575.0</v>
      </c>
      <c r="AB992" s="2" t="s">
        <v>2430</v>
      </c>
      <c r="AO992" s="2" t="s">
        <v>1368</v>
      </c>
    </row>
    <row r="993" ht="15.75" customHeight="1">
      <c r="A993" s="2" t="s">
        <v>8671</v>
      </c>
      <c r="B993" s="2" t="s">
        <v>1361</v>
      </c>
      <c r="C993" s="2">
        <v>2018.0</v>
      </c>
      <c r="D993" s="2" t="s">
        <v>8672</v>
      </c>
      <c r="E993" s="2" t="s">
        <v>8673</v>
      </c>
      <c r="F993" s="2" t="s">
        <v>7793</v>
      </c>
      <c r="H993" s="2" t="s">
        <v>8674</v>
      </c>
      <c r="I993" s="2" t="s">
        <v>8675</v>
      </c>
      <c r="J993" s="12" t="str">
        <f>VLOOKUP(I993,'Copy of Enriched Data - IPBES G'!$L$2:$L$229,1,false)</f>
        <v>#N/A</v>
      </c>
      <c r="K993" s="2" t="s">
        <v>8676</v>
      </c>
      <c r="M993" s="2" t="s">
        <v>2883</v>
      </c>
      <c r="N993" s="2" t="s">
        <v>1385</v>
      </c>
      <c r="O993" s="2" t="s">
        <v>1386</v>
      </c>
      <c r="Q993" s="2" t="s">
        <v>8677</v>
      </c>
      <c r="S993" s="2" t="s">
        <v>1480</v>
      </c>
      <c r="T993" s="2">
        <v>108.0</v>
      </c>
      <c r="AO993" s="2" t="s">
        <v>1368</v>
      </c>
    </row>
    <row r="994" ht="15.75" customHeight="1">
      <c r="A994" s="2" t="s">
        <v>8678</v>
      </c>
      <c r="B994" s="2" t="s">
        <v>1396</v>
      </c>
      <c r="C994" s="2">
        <v>2000.0</v>
      </c>
      <c r="D994" s="2" t="s">
        <v>8679</v>
      </c>
      <c r="E994" s="2" t="s">
        <v>8680</v>
      </c>
      <c r="J994" s="12" t="str">
        <f>VLOOKUP(I994,'Copy of Enriched Data - IPBES G'!$L$2:$L$229,1,false)</f>
        <v>#N/A</v>
      </c>
      <c r="M994" s="2" t="s">
        <v>2429</v>
      </c>
      <c r="N994" s="2" t="s">
        <v>1385</v>
      </c>
      <c r="O994" s="2" t="s">
        <v>1386</v>
      </c>
      <c r="AB994" s="2" t="s">
        <v>8681</v>
      </c>
      <c r="AO994" s="2" t="s">
        <v>1368</v>
      </c>
    </row>
    <row r="995" ht="15.75" customHeight="1">
      <c r="A995" s="2" t="s">
        <v>8688</v>
      </c>
      <c r="B995" s="2" t="s">
        <v>1361</v>
      </c>
      <c r="C995" s="2">
        <v>2016.0</v>
      </c>
      <c r="D995" s="2" t="s">
        <v>8689</v>
      </c>
      <c r="E995" s="2" t="s">
        <v>8690</v>
      </c>
      <c r="F995" s="2" t="s">
        <v>5645</v>
      </c>
      <c r="H995" s="2" t="s">
        <v>8691</v>
      </c>
      <c r="I995" s="2" t="s">
        <v>8692</v>
      </c>
      <c r="J995" s="12" t="str">
        <f>VLOOKUP(I995,'Copy of Enriched Data - IPBES G'!$L$2:$L$229,1,false)</f>
        <v>#N/A</v>
      </c>
      <c r="M995" s="2" t="s">
        <v>1502</v>
      </c>
      <c r="N995" s="2" t="s">
        <v>1385</v>
      </c>
      <c r="O995" s="2" t="s">
        <v>1386</v>
      </c>
      <c r="Q995" s="2" t="s">
        <v>2671</v>
      </c>
      <c r="AO995" s="2" t="s">
        <v>1368</v>
      </c>
    </row>
    <row r="996" ht="15.75" customHeight="1">
      <c r="A996" s="2" t="s">
        <v>8693</v>
      </c>
      <c r="B996" s="2" t="s">
        <v>1361</v>
      </c>
      <c r="C996" s="2">
        <v>1988.0</v>
      </c>
      <c r="D996" s="2" t="s">
        <v>8694</v>
      </c>
      <c r="E996" s="2" t="s">
        <v>8695</v>
      </c>
      <c r="F996" s="2" t="s">
        <v>1425</v>
      </c>
      <c r="H996" s="2" t="s">
        <v>1738</v>
      </c>
      <c r="I996" s="2" t="s">
        <v>8696</v>
      </c>
      <c r="J996" s="12" t="str">
        <f>VLOOKUP(I996,'Copy of Enriched Data - IPBES G'!$L$2:$L$229,1,false)</f>
        <v>#N/A</v>
      </c>
      <c r="L996" s="2" t="s">
        <v>8697</v>
      </c>
      <c r="M996" s="2" t="s">
        <v>4055</v>
      </c>
      <c r="N996" s="2" t="s">
        <v>1385</v>
      </c>
      <c r="O996" s="2" t="s">
        <v>1386</v>
      </c>
      <c r="Q996" s="2" t="s">
        <v>4212</v>
      </c>
      <c r="S996" s="2" t="s">
        <v>1462</v>
      </c>
      <c r="T996" s="2">
        <v>15.0</v>
      </c>
      <c r="AO996" s="2" t="s">
        <v>1368</v>
      </c>
    </row>
    <row r="997" ht="15.75" customHeight="1">
      <c r="A997" s="2" t="s">
        <v>8698</v>
      </c>
      <c r="B997" s="2" t="s">
        <v>1396</v>
      </c>
      <c r="C997" s="2">
        <v>1993.0</v>
      </c>
      <c r="D997" s="2" t="s">
        <v>8699</v>
      </c>
      <c r="E997" s="2" t="s">
        <v>8700</v>
      </c>
      <c r="J997" s="12" t="str">
        <f>VLOOKUP(I997,'Copy of Enriched Data - IPBES G'!$L$2:$L$229,1,false)</f>
        <v>#N/A</v>
      </c>
      <c r="M997" s="2" t="s">
        <v>2735</v>
      </c>
      <c r="N997" s="2" t="s">
        <v>1385</v>
      </c>
      <c r="O997" s="2" t="s">
        <v>1386</v>
      </c>
      <c r="AB997" s="2" t="s">
        <v>8701</v>
      </c>
      <c r="AO997" s="2" t="s">
        <v>1368</v>
      </c>
    </row>
    <row r="998" ht="15.75" customHeight="1">
      <c r="A998" s="2" t="s">
        <v>8702</v>
      </c>
      <c r="B998" s="2" t="s">
        <v>1396</v>
      </c>
      <c r="C998" s="2">
        <v>1992.0</v>
      </c>
      <c r="D998" s="2" t="s">
        <v>8703</v>
      </c>
      <c r="E998" s="2" t="s">
        <v>8704</v>
      </c>
      <c r="J998" s="12" t="str">
        <f>VLOOKUP(I998,'Copy of Enriched Data - IPBES G'!$L$2:$L$229,1,false)</f>
        <v>#N/A</v>
      </c>
      <c r="M998" s="2" t="s">
        <v>3458</v>
      </c>
      <c r="N998" s="2" t="s">
        <v>1385</v>
      </c>
      <c r="O998" s="2" t="s">
        <v>1386</v>
      </c>
      <c r="T998" s="2">
        <v>904.0</v>
      </c>
      <c r="AB998" s="2" t="s">
        <v>1406</v>
      </c>
      <c r="AO998" s="2" t="s">
        <v>1368</v>
      </c>
    </row>
    <row r="999" ht="15.75" customHeight="1">
      <c r="A999" s="2" t="s">
        <v>8705</v>
      </c>
      <c r="B999" s="2" t="s">
        <v>1361</v>
      </c>
      <c r="C999" s="2">
        <v>2013.0</v>
      </c>
      <c r="D999" s="2" t="s">
        <v>8706</v>
      </c>
      <c r="E999" s="2" t="s">
        <v>8707</v>
      </c>
      <c r="F999" s="2" t="s">
        <v>4205</v>
      </c>
      <c r="H999" s="2" t="s">
        <v>4206</v>
      </c>
      <c r="I999" s="2" t="s">
        <v>8708</v>
      </c>
      <c r="J999" s="12" t="str">
        <f>VLOOKUP(I999,'Copy of Enriched Data - IPBES G'!$L$2:$L$229,1,false)</f>
        <v>#N/A</v>
      </c>
      <c r="L999" s="2" t="s">
        <v>8709</v>
      </c>
      <c r="M999" s="2" t="s">
        <v>1429</v>
      </c>
      <c r="N999" s="2" t="s">
        <v>1385</v>
      </c>
      <c r="O999" s="2" t="s">
        <v>1386</v>
      </c>
      <c r="AO999" s="2" t="s">
        <v>1368</v>
      </c>
    </row>
    <row r="1000" ht="15.75" customHeight="1">
      <c r="A1000" s="2" t="s">
        <v>8714</v>
      </c>
      <c r="B1000" s="2" t="s">
        <v>1396</v>
      </c>
      <c r="C1000" s="2">
        <v>1975.0</v>
      </c>
      <c r="D1000" s="2" t="s">
        <v>8715</v>
      </c>
      <c r="E1000" s="2" t="s">
        <v>8716</v>
      </c>
      <c r="G1000" s="2" t="s">
        <v>8717</v>
      </c>
      <c r="J1000" s="12" t="str">
        <f>VLOOKUP(I1000,'Copy of Enriched Data - IPBES G'!$L$2:$L$229,1,false)</f>
        <v>#N/A</v>
      </c>
      <c r="M1000" s="2" t="s">
        <v>8718</v>
      </c>
      <c r="N1000" s="2" t="s">
        <v>1385</v>
      </c>
      <c r="O1000" s="2" t="s">
        <v>1386</v>
      </c>
      <c r="R1000" s="2">
        <v>301.0</v>
      </c>
      <c r="AB1000" s="2" t="s">
        <v>8719</v>
      </c>
      <c r="AO1000" s="2" t="s">
        <v>1368</v>
      </c>
    </row>
    <row r="1001" ht="15.75" customHeight="1">
      <c r="A1001" s="2" t="s">
        <v>8720</v>
      </c>
      <c r="B1001" s="2" t="s">
        <v>1396</v>
      </c>
      <c r="C1001" s="2">
        <v>1987.0</v>
      </c>
      <c r="D1001" s="2" t="s">
        <v>8721</v>
      </c>
      <c r="E1001" s="2" t="s">
        <v>8722</v>
      </c>
      <c r="G1001" s="2" t="s">
        <v>8723</v>
      </c>
      <c r="J1001" s="12" t="str">
        <f>VLOOKUP(I1001,'Copy of Enriched Data - IPBES G'!$L$2:$L$229,1,false)</f>
        <v>#N/A</v>
      </c>
      <c r="M1001" s="2" t="s">
        <v>8724</v>
      </c>
      <c r="N1001" s="2" t="s">
        <v>1385</v>
      </c>
      <c r="O1001" s="2" t="s">
        <v>1386</v>
      </c>
      <c r="X1001" s="2" t="s">
        <v>8725</v>
      </c>
      <c r="AB1001" s="2" t="s">
        <v>3197</v>
      </c>
      <c r="AO1001" s="2" t="s">
        <v>1368</v>
      </c>
    </row>
    <row r="1002" ht="15.75" customHeight="1">
      <c r="A1002" s="2" t="s">
        <v>8726</v>
      </c>
      <c r="B1002" s="2" t="s">
        <v>1623</v>
      </c>
      <c r="C1002" s="2">
        <v>2015.0</v>
      </c>
      <c r="D1002" s="2" t="s">
        <v>8727</v>
      </c>
      <c r="E1002" s="2" t="s">
        <v>8728</v>
      </c>
      <c r="J1002" s="12" t="str">
        <f>VLOOKUP(I1002,'Copy of Enriched Data - IPBES G'!$L$2:$L$229,1,false)</f>
        <v>#N/A</v>
      </c>
      <c r="M1002" s="2" t="s">
        <v>1373</v>
      </c>
      <c r="N1002" s="2" t="s">
        <v>1385</v>
      </c>
      <c r="O1002" s="2" t="s">
        <v>1386</v>
      </c>
      <c r="AB1002" s="2" t="s">
        <v>1653</v>
      </c>
      <c r="AO1002" s="2" t="s">
        <v>1368</v>
      </c>
    </row>
    <row r="1003" ht="15.75" customHeight="1">
      <c r="A1003" s="2" t="s">
        <v>8729</v>
      </c>
      <c r="B1003" s="2" t="s">
        <v>1361</v>
      </c>
      <c r="C1003" s="2">
        <v>2010.0</v>
      </c>
      <c r="D1003" s="2" t="s">
        <v>8730</v>
      </c>
      <c r="E1003" s="2" t="s">
        <v>8731</v>
      </c>
      <c r="F1003" s="2" t="s">
        <v>5645</v>
      </c>
      <c r="H1003" s="2" t="s">
        <v>8732</v>
      </c>
      <c r="I1003" s="2" t="s">
        <v>8733</v>
      </c>
      <c r="J1003" s="12" t="str">
        <f>VLOOKUP(I1003,'Copy of Enriched Data - IPBES G'!$L$2:$L$229,1,false)</f>
        <v>#N/A</v>
      </c>
      <c r="L1003" s="2" t="s">
        <v>8734</v>
      </c>
      <c r="M1003" s="2" t="s">
        <v>1449</v>
      </c>
      <c r="N1003" s="2" t="s">
        <v>1385</v>
      </c>
      <c r="O1003" s="2" t="s">
        <v>1386</v>
      </c>
      <c r="AO1003" s="2" t="s">
        <v>1368</v>
      </c>
    </row>
    <row r="1004" ht="15.75" customHeight="1">
      <c r="A1004" s="2" t="s">
        <v>8735</v>
      </c>
      <c r="B1004" s="2" t="s">
        <v>1361</v>
      </c>
      <c r="C1004" s="2">
        <v>2017.0</v>
      </c>
      <c r="D1004" s="2" t="s">
        <v>8736</v>
      </c>
      <c r="E1004" s="2" t="s">
        <v>8737</v>
      </c>
      <c r="F1004" s="2" t="s">
        <v>1789</v>
      </c>
      <c r="H1004" s="2" t="s">
        <v>7029</v>
      </c>
      <c r="I1004" s="2" t="s">
        <v>8738</v>
      </c>
      <c r="J1004" s="12" t="str">
        <f>VLOOKUP(I1004,'Copy of Enriched Data - IPBES G'!$L$2:$L$229,1,false)</f>
        <v>#N/A</v>
      </c>
      <c r="L1004" s="2" t="s">
        <v>8739</v>
      </c>
      <c r="M1004" s="2" t="s">
        <v>1658</v>
      </c>
      <c r="N1004" s="2" t="s">
        <v>1385</v>
      </c>
      <c r="O1004" s="2" t="s">
        <v>1386</v>
      </c>
      <c r="Q1004" s="2" t="s">
        <v>8740</v>
      </c>
      <c r="T1004" s="2">
        <v>43.0</v>
      </c>
      <c r="AO1004" s="2" t="s">
        <v>1368</v>
      </c>
    </row>
    <row r="1005" ht="15.75" customHeight="1">
      <c r="A1005" s="2" t="s">
        <v>8741</v>
      </c>
      <c r="B1005" s="2" t="s">
        <v>1361</v>
      </c>
      <c r="C1005" s="2">
        <v>2010.0</v>
      </c>
      <c r="D1005" s="2" t="s">
        <v>8742</v>
      </c>
      <c r="E1005" s="2" t="s">
        <v>8743</v>
      </c>
      <c r="F1005" s="2" t="s">
        <v>1587</v>
      </c>
      <c r="H1005" s="2" t="s">
        <v>8744</v>
      </c>
      <c r="I1005" s="2" t="s">
        <v>8745</v>
      </c>
      <c r="J1005" s="12" t="str">
        <f>VLOOKUP(I1005,'Copy of Enriched Data - IPBES G'!$L$2:$L$229,1,false)</f>
        <v>#N/A</v>
      </c>
      <c r="L1005" s="2" t="s">
        <v>8746</v>
      </c>
      <c r="M1005" s="2" t="s">
        <v>1449</v>
      </c>
      <c r="N1005" s="2" t="s">
        <v>1385</v>
      </c>
      <c r="O1005" s="2" t="s">
        <v>1386</v>
      </c>
      <c r="Q1005" s="2" t="s">
        <v>8747</v>
      </c>
      <c r="S1005" s="2" t="s">
        <v>1937</v>
      </c>
      <c r="T1005" s="2">
        <v>24.0</v>
      </c>
      <c r="AO1005" s="2" t="s">
        <v>1368</v>
      </c>
    </row>
    <row r="1006" ht="15.75" customHeight="1">
      <c r="A1006" s="2" t="s">
        <v>8748</v>
      </c>
      <c r="B1006" s="2" t="s">
        <v>1361</v>
      </c>
      <c r="C1006" s="2">
        <v>2007.0</v>
      </c>
      <c r="D1006" s="2" t="s">
        <v>8749</v>
      </c>
      <c r="E1006" s="2" t="s">
        <v>8750</v>
      </c>
      <c r="F1006" s="2" t="s">
        <v>8751</v>
      </c>
      <c r="I1006" s="2" t="s">
        <v>8752</v>
      </c>
      <c r="J1006" s="12" t="str">
        <f>VLOOKUP(I1006,'Copy of Enriched Data - IPBES G'!$L$2:$L$229,1,false)</f>
        <v>#N/A</v>
      </c>
      <c r="L1006" s="2" t="s">
        <v>8753</v>
      </c>
      <c r="M1006" s="2" t="s">
        <v>2380</v>
      </c>
      <c r="N1006" s="2" t="s">
        <v>1385</v>
      </c>
      <c r="O1006" s="2" t="s">
        <v>1386</v>
      </c>
      <c r="Q1006" s="2" t="s">
        <v>8754</v>
      </c>
      <c r="S1006" s="2" t="s">
        <v>1506</v>
      </c>
      <c r="T1006" s="2">
        <v>48.0</v>
      </c>
      <c r="AO1006" s="2" t="s">
        <v>1368</v>
      </c>
    </row>
    <row r="1007" ht="15.75" customHeight="1">
      <c r="A1007" s="2" t="s">
        <v>8755</v>
      </c>
      <c r="B1007" s="2" t="s">
        <v>1361</v>
      </c>
      <c r="C1007" s="2">
        <v>2017.0</v>
      </c>
      <c r="D1007" s="2" t="s">
        <v>8756</v>
      </c>
      <c r="E1007" s="2" t="s">
        <v>8757</v>
      </c>
      <c r="F1007" s="2" t="s">
        <v>1688</v>
      </c>
      <c r="H1007" s="2" t="s">
        <v>1689</v>
      </c>
      <c r="I1007" s="2" t="s">
        <v>8758</v>
      </c>
      <c r="J1007" s="12" t="str">
        <f>VLOOKUP(I1007,'Copy of Enriched Data - IPBES G'!$L$2:$L$229,1,false)</f>
        <v>#N/A</v>
      </c>
      <c r="L1007" s="2" t="s">
        <v>8759</v>
      </c>
      <c r="M1007" s="2" t="s">
        <v>1658</v>
      </c>
      <c r="N1007" s="2" t="s">
        <v>1385</v>
      </c>
      <c r="O1007" s="2" t="s">
        <v>1386</v>
      </c>
      <c r="AO1007" s="2" t="s">
        <v>1368</v>
      </c>
    </row>
    <row r="1008" ht="15.75" customHeight="1">
      <c r="A1008" s="2" t="s">
        <v>8760</v>
      </c>
      <c r="B1008" s="2" t="s">
        <v>1396</v>
      </c>
      <c r="C1008" s="2">
        <v>1996.0</v>
      </c>
      <c r="D1008" s="2" t="s">
        <v>8761</v>
      </c>
      <c r="E1008" s="2" t="s">
        <v>8762</v>
      </c>
      <c r="J1008" s="12" t="str">
        <f>VLOOKUP(I1008,'Copy of Enriched Data - IPBES G'!$L$2:$L$229,1,false)</f>
        <v>#N/A</v>
      </c>
      <c r="M1008" s="2" t="s">
        <v>2492</v>
      </c>
      <c r="N1008" s="2" t="s">
        <v>1385</v>
      </c>
      <c r="O1008" s="2" t="s">
        <v>1386</v>
      </c>
      <c r="AB1008" s="2" t="s">
        <v>8763</v>
      </c>
      <c r="AO1008" s="2" t="s">
        <v>1368</v>
      </c>
    </row>
    <row r="1009" ht="15.75" customHeight="1">
      <c r="A1009" s="2" t="s">
        <v>8764</v>
      </c>
      <c r="B1009" s="2" t="s">
        <v>1766</v>
      </c>
      <c r="C1009" s="2">
        <v>2001.0</v>
      </c>
      <c r="D1009" s="2" t="s">
        <v>8765</v>
      </c>
      <c r="E1009" s="2" t="s">
        <v>8766</v>
      </c>
      <c r="F1009" s="2" t="s">
        <v>8767</v>
      </c>
      <c r="J1009" s="12" t="str">
        <f>VLOOKUP(I1009,'Copy of Enriched Data - IPBES G'!$L$2:$L$229,1,false)</f>
        <v>#N/A</v>
      </c>
      <c r="M1009" s="2" t="s">
        <v>1414</v>
      </c>
      <c r="N1009" s="2" t="s">
        <v>1385</v>
      </c>
      <c r="O1009" s="2" t="s">
        <v>1386</v>
      </c>
      <c r="Q1009" s="2" t="s">
        <v>8768</v>
      </c>
      <c r="AB1009" s="2" t="s">
        <v>2187</v>
      </c>
      <c r="AC1009" s="2" t="s">
        <v>7184</v>
      </c>
      <c r="AO1009" s="2" t="s">
        <v>1368</v>
      </c>
      <c r="AQ1009" s="2" t="s">
        <v>8769</v>
      </c>
    </row>
    <row r="1010" ht="15.75" customHeight="1">
      <c r="A1010" s="2" t="s">
        <v>8770</v>
      </c>
      <c r="B1010" s="2" t="s">
        <v>1766</v>
      </c>
      <c r="C1010" s="2">
        <v>2003.0</v>
      </c>
      <c r="D1010" s="2" t="s">
        <v>8771</v>
      </c>
      <c r="E1010" s="2" t="s">
        <v>8772</v>
      </c>
      <c r="F1010" s="2" t="s">
        <v>8773</v>
      </c>
      <c r="J1010" s="12" t="str">
        <f>VLOOKUP(I1010,'Copy of Enriched Data - IPBES G'!$L$2:$L$229,1,false)</f>
        <v>#N/A</v>
      </c>
      <c r="M1010" s="2" t="s">
        <v>1606</v>
      </c>
      <c r="N1010" s="2" t="s">
        <v>1385</v>
      </c>
      <c r="O1010" s="2" t="s">
        <v>1386</v>
      </c>
      <c r="T1010" s="2">
        <v>1.0</v>
      </c>
      <c r="AB1010" s="2" t="s">
        <v>8774</v>
      </c>
      <c r="AO1010" s="2" t="s">
        <v>1368</v>
      </c>
      <c r="AQ1010" s="2" t="s">
        <v>8775</v>
      </c>
    </row>
    <row r="1011" ht="15.75" customHeight="1">
      <c r="A1011" s="2" t="s">
        <v>8779</v>
      </c>
      <c r="B1011" s="2" t="s">
        <v>1361</v>
      </c>
      <c r="C1011" s="2">
        <v>2004.0</v>
      </c>
      <c r="D1011" s="2" t="s">
        <v>8780</v>
      </c>
      <c r="E1011" s="2" t="s">
        <v>8781</v>
      </c>
      <c r="F1011" s="2" t="s">
        <v>1425</v>
      </c>
      <c r="H1011" s="2" t="s">
        <v>1426</v>
      </c>
      <c r="I1011" s="2" t="s">
        <v>8782</v>
      </c>
      <c r="J1011" s="12" t="str">
        <f>VLOOKUP(I1011,'Copy of Enriched Data - IPBES G'!$L$2:$L$229,1,false)</f>
        <v>#N/A</v>
      </c>
      <c r="L1011" s="2" t="s">
        <v>8783</v>
      </c>
      <c r="M1011" s="2" t="s">
        <v>2373</v>
      </c>
      <c r="N1011" s="2" t="s">
        <v>1385</v>
      </c>
      <c r="O1011" s="2" t="s">
        <v>1386</v>
      </c>
      <c r="Q1011" s="2" t="s">
        <v>8784</v>
      </c>
      <c r="S1011" s="2" t="s">
        <v>1453</v>
      </c>
      <c r="T1011" s="2">
        <v>48.0</v>
      </c>
      <c r="AO1011" s="2" t="s">
        <v>1368</v>
      </c>
    </row>
    <row r="1012" ht="15.75" customHeight="1">
      <c r="A1012" s="2" t="s">
        <v>8785</v>
      </c>
      <c r="B1012" s="2" t="s">
        <v>1361</v>
      </c>
      <c r="C1012" s="2">
        <v>2012.0</v>
      </c>
      <c r="D1012" s="2" t="s">
        <v>8786</v>
      </c>
      <c r="E1012" s="2" t="s">
        <v>8787</v>
      </c>
      <c r="F1012" s="2" t="s">
        <v>1863</v>
      </c>
      <c r="H1012" s="2" t="s">
        <v>1864</v>
      </c>
      <c r="I1012" s="2" t="s">
        <v>8788</v>
      </c>
      <c r="J1012" s="12" t="str">
        <f>VLOOKUP(I1012,'Copy of Enriched Data - IPBES G'!$L$2:$L$229,1,false)</f>
        <v>#N/A</v>
      </c>
      <c r="L1012" s="2" t="s">
        <v>8789</v>
      </c>
      <c r="M1012" s="2" t="s">
        <v>1405</v>
      </c>
      <c r="N1012" s="2" t="s">
        <v>1385</v>
      </c>
      <c r="O1012" s="2" t="s">
        <v>1386</v>
      </c>
      <c r="AO1012" s="2" t="s">
        <v>1368</v>
      </c>
    </row>
    <row r="1013" ht="15.75" customHeight="1">
      <c r="A1013" s="2" t="s">
        <v>8790</v>
      </c>
      <c r="B1013" s="2" t="s">
        <v>1766</v>
      </c>
      <c r="C1013" s="2">
        <v>2009.0</v>
      </c>
      <c r="D1013" s="2" t="s">
        <v>8791</v>
      </c>
      <c r="E1013" s="2" t="s">
        <v>8792</v>
      </c>
      <c r="F1013" s="2" t="s">
        <v>8793</v>
      </c>
      <c r="G1013" s="2" t="s">
        <v>8794</v>
      </c>
      <c r="J1013" s="12" t="str">
        <f>VLOOKUP(I1013,'Copy of Enriched Data - IPBES G'!$L$2:$L$229,1,false)</f>
        <v>#N/A</v>
      </c>
      <c r="M1013" s="2" t="s">
        <v>1364</v>
      </c>
      <c r="N1013" s="2" t="s">
        <v>1385</v>
      </c>
      <c r="O1013" s="2" t="s">
        <v>1386</v>
      </c>
      <c r="AB1013" s="2" t="s">
        <v>8795</v>
      </c>
      <c r="AO1013" s="2" t="s">
        <v>1368</v>
      </c>
      <c r="AQ1013" s="2" t="s">
        <v>8796</v>
      </c>
    </row>
    <row r="1014" ht="15.75" customHeight="1">
      <c r="A1014" s="2" t="s">
        <v>8797</v>
      </c>
      <c r="B1014" s="2" t="s">
        <v>1361</v>
      </c>
      <c r="C1014" s="2">
        <v>2002.0</v>
      </c>
      <c r="D1014" s="2" t="s">
        <v>8780</v>
      </c>
      <c r="E1014" s="2" t="s">
        <v>8798</v>
      </c>
      <c r="F1014" s="2" t="s">
        <v>2676</v>
      </c>
      <c r="H1014" s="2" t="s">
        <v>8799</v>
      </c>
      <c r="I1014" s="2" t="s">
        <v>8800</v>
      </c>
      <c r="J1014" s="12" t="str">
        <f>VLOOKUP(I1014,'Copy of Enriched Data - IPBES G'!$L$2:$L$229,1,false)</f>
        <v>#N/A</v>
      </c>
      <c r="L1014" s="2" t="s">
        <v>8801</v>
      </c>
      <c r="M1014" s="2" t="s">
        <v>1493</v>
      </c>
      <c r="N1014" s="2" t="s">
        <v>1385</v>
      </c>
      <c r="O1014" s="2" t="s">
        <v>1386</v>
      </c>
      <c r="Q1014" s="2" t="s">
        <v>8802</v>
      </c>
      <c r="S1014" s="2" t="s">
        <v>1600</v>
      </c>
      <c r="T1014" s="2">
        <v>84.0</v>
      </c>
      <c r="AO1014" s="2" t="s">
        <v>1368</v>
      </c>
    </row>
    <row r="1015" ht="15.75" customHeight="1">
      <c r="A1015" s="2" t="s">
        <v>8803</v>
      </c>
      <c r="B1015" s="2" t="s">
        <v>1361</v>
      </c>
      <c r="C1015" s="2">
        <v>2002.0</v>
      </c>
      <c r="D1015" s="2" t="s">
        <v>8804</v>
      </c>
      <c r="E1015" s="2" t="s">
        <v>8805</v>
      </c>
      <c r="F1015" s="2" t="s">
        <v>8806</v>
      </c>
      <c r="H1015" s="2" t="s">
        <v>8807</v>
      </c>
      <c r="I1015" s="2" t="s">
        <v>8808</v>
      </c>
      <c r="J1015" s="12" t="str">
        <f>VLOOKUP(I1015,'Copy of Enriched Data - IPBES G'!$L$2:$L$229,1,false)</f>
        <v>#N/A</v>
      </c>
      <c r="L1015" s="2" t="s">
        <v>8809</v>
      </c>
      <c r="M1015" s="2" t="s">
        <v>8810</v>
      </c>
      <c r="N1015" s="2" t="s">
        <v>1385</v>
      </c>
      <c r="O1015" s="2" t="s">
        <v>1386</v>
      </c>
      <c r="Q1015" s="2" t="s">
        <v>8811</v>
      </c>
      <c r="S1015" s="2" t="s">
        <v>1480</v>
      </c>
      <c r="T1015" s="2">
        <v>34.0</v>
      </c>
      <c r="AO1015" s="2" t="s">
        <v>1368</v>
      </c>
    </row>
    <row r="1016" ht="15.75" customHeight="1">
      <c r="A1016" s="2" t="s">
        <v>8812</v>
      </c>
      <c r="B1016" s="2" t="s">
        <v>2615</v>
      </c>
      <c r="C1016" s="2">
        <v>2017.0</v>
      </c>
      <c r="D1016" s="2" t="s">
        <v>8813</v>
      </c>
      <c r="E1016" s="2" t="s">
        <v>8814</v>
      </c>
      <c r="J1016" s="12" t="str">
        <f>VLOOKUP(I1016,'Copy of Enriched Data - IPBES G'!$L$2:$L$229,1,false)</f>
        <v>#N/A</v>
      </c>
      <c r="M1016" s="2" t="s">
        <v>1658</v>
      </c>
      <c r="N1016" s="2" t="s">
        <v>1385</v>
      </c>
      <c r="O1016" s="2" t="s">
        <v>1386</v>
      </c>
      <c r="AB1016" s="2" t="s">
        <v>8815</v>
      </c>
      <c r="AO1016" s="2" t="s">
        <v>1368</v>
      </c>
      <c r="AQ1016" s="2" t="s">
        <v>8816</v>
      </c>
    </row>
    <row r="1017" ht="15.75" customHeight="1">
      <c r="A1017" s="2" t="s">
        <v>8817</v>
      </c>
      <c r="B1017" s="2" t="s">
        <v>1361</v>
      </c>
      <c r="C1017" s="2">
        <v>2008.0</v>
      </c>
      <c r="D1017" s="2" t="s">
        <v>8818</v>
      </c>
      <c r="E1017" s="2" t="s">
        <v>8819</v>
      </c>
      <c r="F1017" s="2" t="s">
        <v>1510</v>
      </c>
      <c r="I1017" s="2" t="s">
        <v>8820</v>
      </c>
      <c r="J1017" s="12" t="str">
        <f>VLOOKUP(I1017,'Copy of Enriched Data - IPBES G'!$L$2:$L$229,1,false)</f>
        <v>#N/A</v>
      </c>
      <c r="M1017" s="2" t="s">
        <v>1458</v>
      </c>
      <c r="N1017" s="2" t="s">
        <v>8821</v>
      </c>
      <c r="O1017" s="2" t="s">
        <v>8822</v>
      </c>
      <c r="Q1017" s="2" t="s">
        <v>8823</v>
      </c>
      <c r="S1017" s="2">
        <v>5864.0</v>
      </c>
      <c r="T1017" s="2">
        <v>319.0</v>
      </c>
      <c r="AO1017" s="2" t="s">
        <v>1368</v>
      </c>
    </row>
    <row r="1018" ht="15.75" customHeight="1">
      <c r="A1018" s="2" t="s">
        <v>8824</v>
      </c>
      <c r="B1018" s="2" t="s">
        <v>1361</v>
      </c>
      <c r="C1018" s="2">
        <v>1988.0</v>
      </c>
      <c r="D1018" s="2" t="s">
        <v>8825</v>
      </c>
      <c r="E1018" s="2" t="s">
        <v>8826</v>
      </c>
      <c r="F1018" s="2" t="s">
        <v>8827</v>
      </c>
      <c r="J1018" s="12" t="str">
        <f>VLOOKUP(I1018,'Copy of Enriched Data - IPBES G'!$L$2:$L$229,1,false)</f>
        <v>#N/A</v>
      </c>
      <c r="M1018" s="2" t="s">
        <v>4055</v>
      </c>
      <c r="N1018" s="2" t="s">
        <v>2081</v>
      </c>
      <c r="O1018" s="2" t="s">
        <v>2082</v>
      </c>
      <c r="Q1018" s="2" t="s">
        <v>8828</v>
      </c>
      <c r="S1018" s="2">
        <v>4.0</v>
      </c>
      <c r="T1018" s="2">
        <v>2.0</v>
      </c>
      <c r="AO1018" s="2" t="s">
        <v>1368</v>
      </c>
    </row>
    <row r="1019" ht="15.75" customHeight="1">
      <c r="A1019" s="2" t="s">
        <v>8829</v>
      </c>
      <c r="B1019" s="2" t="s">
        <v>1361</v>
      </c>
      <c r="C1019" s="2">
        <v>2010.0</v>
      </c>
      <c r="D1019" s="2" t="s">
        <v>8830</v>
      </c>
      <c r="E1019" s="2" t="s">
        <v>8831</v>
      </c>
      <c r="F1019" s="2" t="s">
        <v>8832</v>
      </c>
      <c r="I1019" s="2" t="s">
        <v>8833</v>
      </c>
      <c r="J1019" s="12" t="str">
        <f>VLOOKUP(I1019,'Copy of Enriched Data - IPBES G'!$L$2:$L$229,1,false)</f>
        <v>#N/A</v>
      </c>
      <c r="M1019" s="2" t="s">
        <v>1449</v>
      </c>
      <c r="N1019" s="2" t="s">
        <v>8834</v>
      </c>
      <c r="O1019" s="2" t="s">
        <v>8835</v>
      </c>
      <c r="Q1019" s="2" t="s">
        <v>8836</v>
      </c>
      <c r="S1019" s="2">
        <v>1684.0</v>
      </c>
      <c r="T1019" s="2">
        <v>277.0</v>
      </c>
      <c r="AO1019" s="2" t="s">
        <v>1368</v>
      </c>
    </row>
    <row r="1020" ht="15.75" customHeight="1">
      <c r="A1020" s="2" t="s">
        <v>8837</v>
      </c>
      <c r="B1020" s="2" t="s">
        <v>8838</v>
      </c>
      <c r="C1020" s="2">
        <v>2016.0</v>
      </c>
      <c r="D1020" s="2" t="s">
        <v>8839</v>
      </c>
      <c r="E1020" s="2" t="s">
        <v>8840</v>
      </c>
      <c r="J1020" s="12" t="str">
        <f>VLOOKUP(I1020,'Copy of Enriched Data - IPBES G'!$L$2:$L$229,1,false)</f>
        <v>#N/A</v>
      </c>
      <c r="K1020" s="2" t="s">
        <v>8841</v>
      </c>
      <c r="M1020" s="2" t="s">
        <v>5488</v>
      </c>
      <c r="N1020" s="2" t="s">
        <v>1385</v>
      </c>
      <c r="O1020" s="2" t="s">
        <v>1386</v>
      </c>
      <c r="AC1020" s="2" t="s">
        <v>5295</v>
      </c>
      <c r="AO1020" s="2" t="s">
        <v>1368</v>
      </c>
    </row>
    <row r="1021" ht="15.75" customHeight="1">
      <c r="A1021" s="2" t="s">
        <v>8842</v>
      </c>
      <c r="B1021" s="2" t="s">
        <v>1396</v>
      </c>
      <c r="C1021" s="2">
        <v>2010.0</v>
      </c>
      <c r="D1021" s="2" t="s">
        <v>8843</v>
      </c>
      <c r="E1021" s="2" t="s">
        <v>8844</v>
      </c>
      <c r="J1021" s="12" t="str">
        <f>VLOOKUP(I1021,'Copy of Enriched Data - IPBES G'!$L$2:$L$229,1,false)</f>
        <v>#N/A</v>
      </c>
      <c r="M1021" s="2" t="s">
        <v>1449</v>
      </c>
      <c r="N1021" s="2" t="s">
        <v>1385</v>
      </c>
      <c r="O1021" s="2" t="s">
        <v>1386</v>
      </c>
      <c r="AB1021" s="2" t="s">
        <v>8845</v>
      </c>
      <c r="AC1021" s="2" t="s">
        <v>8846</v>
      </c>
      <c r="AO1021" s="2" t="s">
        <v>1368</v>
      </c>
    </row>
    <row r="1022" ht="15.75" customHeight="1">
      <c r="A1022" s="2" t="s">
        <v>8847</v>
      </c>
      <c r="B1022" s="2" t="s">
        <v>1396</v>
      </c>
      <c r="C1022" s="2">
        <v>2013.0</v>
      </c>
      <c r="D1022" s="2" t="s">
        <v>8848</v>
      </c>
      <c r="E1022" s="2" t="s">
        <v>8849</v>
      </c>
      <c r="G1022" s="2" t="s">
        <v>8850</v>
      </c>
      <c r="J1022" s="12" t="str">
        <f>VLOOKUP(I1022,'Copy of Enriched Data - IPBES G'!$L$2:$L$229,1,false)</f>
        <v>#N/A</v>
      </c>
      <c r="M1022" s="2" t="s">
        <v>1429</v>
      </c>
      <c r="N1022" s="2" t="s">
        <v>1385</v>
      </c>
      <c r="O1022" s="2" t="s">
        <v>1386</v>
      </c>
      <c r="AB1022" s="2" t="s">
        <v>8851</v>
      </c>
      <c r="AC1022" s="2" t="s">
        <v>8852</v>
      </c>
      <c r="AO1022" s="2" t="s">
        <v>1368</v>
      </c>
    </row>
    <row r="1023" ht="15.75" customHeight="1">
      <c r="A1023" s="2" t="s">
        <v>8853</v>
      </c>
      <c r="B1023" s="2" t="s">
        <v>1766</v>
      </c>
      <c r="C1023" s="2">
        <v>2018.0</v>
      </c>
      <c r="D1023" s="2" t="s">
        <v>8854</v>
      </c>
      <c r="E1023" s="2" t="s">
        <v>8855</v>
      </c>
      <c r="J1023" s="12" t="str">
        <f>VLOOKUP(I1023,'Copy of Enriched Data - IPBES G'!$L$2:$L$229,1,false)</f>
        <v>#N/A</v>
      </c>
      <c r="M1023" s="2" t="s">
        <v>1420</v>
      </c>
      <c r="N1023" s="2" t="s">
        <v>1385</v>
      </c>
      <c r="O1023" s="2" t="s">
        <v>1386</v>
      </c>
      <c r="Q1023" s="2" t="s">
        <v>8856</v>
      </c>
      <c r="AO1023" s="2" t="s">
        <v>1368</v>
      </c>
    </row>
    <row r="1024" ht="15.75" customHeight="1">
      <c r="A1024" s="2" t="s">
        <v>8857</v>
      </c>
      <c r="B1024" s="2" t="s">
        <v>1361</v>
      </c>
      <c r="C1024" s="2">
        <v>2004.0</v>
      </c>
      <c r="D1024" s="2" t="s">
        <v>8858</v>
      </c>
      <c r="E1024" s="2" t="s">
        <v>8859</v>
      </c>
      <c r="F1024" s="2" t="s">
        <v>8860</v>
      </c>
      <c r="H1024" s="2" t="s">
        <v>8861</v>
      </c>
      <c r="I1024" s="2" t="s">
        <v>8862</v>
      </c>
      <c r="J1024" s="12" t="str">
        <f>VLOOKUP(I1024,'Copy of Enriched Data - IPBES G'!$L$2:$L$229,1,false)</f>
        <v>#N/A</v>
      </c>
      <c r="M1024" s="2" t="s">
        <v>2373</v>
      </c>
      <c r="N1024" s="2" t="s">
        <v>1385</v>
      </c>
      <c r="O1024" s="2" t="s">
        <v>1386</v>
      </c>
      <c r="Q1024" s="2" t="s">
        <v>8863</v>
      </c>
      <c r="S1024" s="2">
        <v>4.0</v>
      </c>
      <c r="T1024" s="2">
        <v>5.0</v>
      </c>
      <c r="AO1024" s="2" t="s">
        <v>1368</v>
      </c>
    </row>
    <row r="1025" ht="15.75" customHeight="1">
      <c r="A1025" s="2" t="s">
        <v>8864</v>
      </c>
      <c r="B1025" s="2" t="s">
        <v>1396</v>
      </c>
      <c r="C1025" s="2">
        <v>2004.0</v>
      </c>
      <c r="D1025" s="2" t="s">
        <v>8865</v>
      </c>
      <c r="E1025" s="2" t="s">
        <v>8866</v>
      </c>
      <c r="J1025" s="12" t="str">
        <f>VLOOKUP(I1025,'Copy of Enriched Data - IPBES G'!$L$2:$L$229,1,false)</f>
        <v>#N/A</v>
      </c>
      <c r="M1025" s="2" t="s">
        <v>2373</v>
      </c>
      <c r="N1025" s="2" t="s">
        <v>1385</v>
      </c>
      <c r="O1025" s="2" t="s">
        <v>1386</v>
      </c>
      <c r="AB1025" s="2" t="s">
        <v>8867</v>
      </c>
      <c r="AO1025" s="2" t="s">
        <v>1368</v>
      </c>
    </row>
    <row r="1026" ht="15.75" customHeight="1">
      <c r="A1026" s="2" t="s">
        <v>8868</v>
      </c>
      <c r="B1026" s="2" t="s">
        <v>1361</v>
      </c>
      <c r="C1026" s="2">
        <v>2018.0</v>
      </c>
      <c r="D1026" s="2" t="s">
        <v>8869</v>
      </c>
      <c r="E1026" s="2" t="s">
        <v>8870</v>
      </c>
      <c r="F1026" s="2" t="s">
        <v>8871</v>
      </c>
      <c r="H1026" s="2" t="s">
        <v>8872</v>
      </c>
      <c r="I1026" s="2" t="s">
        <v>8873</v>
      </c>
      <c r="J1026" s="12" t="str">
        <f>VLOOKUP(I1026,'Copy of Enriched Data - IPBES G'!$L$2:$L$229,1,false)</f>
        <v>#N/A</v>
      </c>
      <c r="K1026" s="2" t="s">
        <v>8874</v>
      </c>
      <c r="M1026" s="2" t="s">
        <v>8875</v>
      </c>
      <c r="N1026" s="2" t="s">
        <v>1385</v>
      </c>
      <c r="O1026" s="2" t="s">
        <v>1386</v>
      </c>
      <c r="Q1026" s="2" t="s">
        <v>8876</v>
      </c>
      <c r="S1026" s="2">
        <v>5.0</v>
      </c>
      <c r="T1026" s="2">
        <v>48.0</v>
      </c>
      <c r="AO1026" s="2" t="s">
        <v>1368</v>
      </c>
    </row>
    <row r="1027" ht="15.75" customHeight="1">
      <c r="A1027" s="2" t="s">
        <v>8877</v>
      </c>
      <c r="B1027" s="2" t="s">
        <v>1361</v>
      </c>
      <c r="C1027" s="2">
        <v>2016.0</v>
      </c>
      <c r="D1027" s="2" t="s">
        <v>8878</v>
      </c>
      <c r="E1027" s="2" t="s">
        <v>8879</v>
      </c>
      <c r="F1027" s="2" t="s">
        <v>8880</v>
      </c>
      <c r="I1027" s="2" t="s">
        <v>8881</v>
      </c>
      <c r="J1027" s="12" t="str">
        <f>VLOOKUP(I1027,'Copy of Enriched Data - IPBES G'!$L$2:$L$229,1,false)</f>
        <v>#N/A</v>
      </c>
      <c r="M1027" s="2">
        <v>2016.0</v>
      </c>
      <c r="N1027" s="2" t="s">
        <v>8882</v>
      </c>
      <c r="O1027" s="2" t="s">
        <v>8883</v>
      </c>
      <c r="Q1027" s="2" t="s">
        <v>8884</v>
      </c>
      <c r="S1027" s="2">
        <v>2.0</v>
      </c>
      <c r="T1027" s="2">
        <v>13.0</v>
      </c>
      <c r="AO1027" s="2" t="s">
        <v>1368</v>
      </c>
    </row>
    <row r="1028" ht="15.75" customHeight="1">
      <c r="A1028" s="2" t="s">
        <v>8885</v>
      </c>
      <c r="B1028" s="2" t="s">
        <v>1361</v>
      </c>
      <c r="C1028" s="2">
        <v>2003.0</v>
      </c>
      <c r="D1028" s="2" t="s">
        <v>8886</v>
      </c>
      <c r="E1028" s="2" t="s">
        <v>8887</v>
      </c>
      <c r="F1028" s="2" t="s">
        <v>8888</v>
      </c>
      <c r="I1028" s="2" t="s">
        <v>8889</v>
      </c>
      <c r="J1028" s="12" t="str">
        <f>VLOOKUP(I1028,'Copy of Enriched Data - IPBES G'!$L$2:$L$229,1,false)</f>
        <v>#N/A</v>
      </c>
      <c r="M1028" s="2">
        <v>2003.0</v>
      </c>
      <c r="N1028" s="2" t="s">
        <v>8890</v>
      </c>
      <c r="O1028" s="2" t="s">
        <v>8891</v>
      </c>
      <c r="Q1028" s="2" t="s">
        <v>8892</v>
      </c>
      <c r="S1028" s="2">
        <v>2.0</v>
      </c>
      <c r="T1028" s="2">
        <v>12.0</v>
      </c>
      <c r="AO1028" s="2" t="s">
        <v>1368</v>
      </c>
    </row>
    <row r="1029" ht="15.75" customHeight="1">
      <c r="A1029" s="2" t="s">
        <v>8893</v>
      </c>
      <c r="B1029" s="2" t="s">
        <v>1361</v>
      </c>
      <c r="C1029" s="2">
        <v>2017.0</v>
      </c>
      <c r="D1029" s="2" t="s">
        <v>8894</v>
      </c>
      <c r="E1029" s="2" t="s">
        <v>8895</v>
      </c>
      <c r="F1029" s="2" t="s">
        <v>1500</v>
      </c>
      <c r="I1029" s="2" t="s">
        <v>8896</v>
      </c>
      <c r="J1029" s="12" t="str">
        <f>VLOOKUP(I1029,'Copy of Enriched Data - IPBES G'!$L$2:$L$229,1,false)</f>
        <v>#N/A</v>
      </c>
      <c r="M1029" s="2">
        <v>2017.0</v>
      </c>
      <c r="N1029" s="2" t="s">
        <v>8897</v>
      </c>
      <c r="O1029" s="2" t="s">
        <v>8898</v>
      </c>
      <c r="Q1029" s="2" t="s">
        <v>8899</v>
      </c>
      <c r="S1029" s="2">
        <v>3.0</v>
      </c>
      <c r="T1029" s="2">
        <v>68.0</v>
      </c>
      <c r="AO1029" s="2" t="s">
        <v>1368</v>
      </c>
    </row>
    <row r="1030" ht="15.75" customHeight="1">
      <c r="A1030" s="2" t="s">
        <v>8900</v>
      </c>
      <c r="B1030" s="2" t="s">
        <v>1361</v>
      </c>
      <c r="C1030" s="2">
        <v>2014.0</v>
      </c>
      <c r="D1030" s="2" t="s">
        <v>8901</v>
      </c>
      <c r="E1030" s="2" t="s">
        <v>8902</v>
      </c>
      <c r="F1030" s="2" t="s">
        <v>8903</v>
      </c>
      <c r="J1030" s="12" t="str">
        <f>VLOOKUP(I1030,'Copy of Enriched Data - IPBES G'!$L$2:$L$229,1,false)</f>
        <v>#N/A</v>
      </c>
      <c r="M1030" s="2">
        <v>2014.0</v>
      </c>
      <c r="N1030" s="2" t="s">
        <v>8904</v>
      </c>
      <c r="O1030" s="2" t="s">
        <v>8905</v>
      </c>
      <c r="Q1030" s="2" t="s">
        <v>8906</v>
      </c>
      <c r="S1030" s="2">
        <v>44.0</v>
      </c>
      <c r="T1030" s="2">
        <v>22.0</v>
      </c>
      <c r="AO1030" s="2" t="s">
        <v>1368</v>
      </c>
    </row>
    <row r="1031" ht="15.75" customHeight="1">
      <c r="A1031" s="2" t="s">
        <v>8907</v>
      </c>
      <c r="B1031" s="2" t="s">
        <v>1361</v>
      </c>
      <c r="C1031" s="2">
        <v>2018.0</v>
      </c>
      <c r="D1031" s="2" t="s">
        <v>8908</v>
      </c>
      <c r="E1031" s="2" t="s">
        <v>8909</v>
      </c>
      <c r="F1031" s="2" t="s">
        <v>1789</v>
      </c>
      <c r="I1031" s="2" t="s">
        <v>8910</v>
      </c>
      <c r="J1031" s="12" t="str">
        <f>VLOOKUP(I1031,'Copy of Enriched Data - IPBES G'!$L$2:$L$229,1,false)</f>
        <v>#N/A</v>
      </c>
      <c r="M1031" s="2">
        <v>2018.0</v>
      </c>
      <c r="N1031" s="2" t="s">
        <v>8911</v>
      </c>
      <c r="O1031" s="2" t="s">
        <v>8912</v>
      </c>
      <c r="Q1031" s="2" t="s">
        <v>8913</v>
      </c>
      <c r="T1031" s="2">
        <v>52.0</v>
      </c>
      <c r="AO1031" s="2" t="s">
        <v>1368</v>
      </c>
    </row>
    <row r="1032" ht="15.75" customHeight="1">
      <c r="A1032" s="2" t="s">
        <v>8914</v>
      </c>
      <c r="B1032" s="2" t="s">
        <v>1396</v>
      </c>
      <c r="C1032" s="2">
        <v>2015.0</v>
      </c>
      <c r="D1032" s="2" t="s">
        <v>8915</v>
      </c>
      <c r="E1032" s="2" t="s">
        <v>8916</v>
      </c>
      <c r="J1032" s="12" t="str">
        <f>VLOOKUP(I1032,'Copy of Enriched Data - IPBES G'!$L$2:$L$229,1,false)</f>
        <v>#N/A</v>
      </c>
      <c r="K1032" s="2" t="s">
        <v>8917</v>
      </c>
      <c r="L1032" s="2" t="s">
        <v>8918</v>
      </c>
      <c r="M1032" s="2">
        <v>2015.0</v>
      </c>
      <c r="N1032" s="2" t="s">
        <v>1385</v>
      </c>
      <c r="O1032" s="2" t="s">
        <v>1386</v>
      </c>
      <c r="R1032" s="2" t="s">
        <v>8919</v>
      </c>
      <c r="AB1032" s="2" t="s">
        <v>5287</v>
      </c>
      <c r="AO1032" s="2" t="s">
        <v>1368</v>
      </c>
    </row>
    <row r="1033" ht="15.75" customHeight="1">
      <c r="A1033" s="2" t="s">
        <v>8920</v>
      </c>
      <c r="B1033" s="2" t="s">
        <v>1396</v>
      </c>
      <c r="C1033" s="2">
        <v>2016.0</v>
      </c>
      <c r="D1033" s="2" t="s">
        <v>8921</v>
      </c>
      <c r="E1033" s="2" t="s">
        <v>8922</v>
      </c>
      <c r="G1033" s="2" t="s">
        <v>8923</v>
      </c>
      <c r="J1033" s="12" t="str">
        <f>VLOOKUP(I1033,'Copy of Enriched Data - IPBES G'!$L$2:$L$229,1,false)</f>
        <v>#N/A</v>
      </c>
      <c r="M1033" s="2">
        <v>2016.0</v>
      </c>
      <c r="N1033" s="2" t="s">
        <v>1385</v>
      </c>
      <c r="O1033" s="2" t="s">
        <v>1386</v>
      </c>
      <c r="AB1033" s="2" t="s">
        <v>8924</v>
      </c>
      <c r="AO1033" s="2" t="s">
        <v>1368</v>
      </c>
    </row>
    <row r="1034" ht="15.75" customHeight="1">
      <c r="A1034" s="2" t="s">
        <v>8925</v>
      </c>
      <c r="B1034" s="2" t="s">
        <v>1396</v>
      </c>
      <c r="C1034" s="2">
        <v>2007.0</v>
      </c>
      <c r="D1034" s="2" t="s">
        <v>8926</v>
      </c>
      <c r="E1034" s="2" t="s">
        <v>8927</v>
      </c>
      <c r="J1034" s="12" t="str">
        <f>VLOOKUP(I1034,'Copy of Enriched Data - IPBES G'!$L$2:$L$229,1,false)</f>
        <v>#N/A</v>
      </c>
      <c r="M1034" s="2">
        <v>2007.0</v>
      </c>
      <c r="N1034" s="2" t="s">
        <v>1385</v>
      </c>
      <c r="O1034" s="2" t="s">
        <v>1386</v>
      </c>
      <c r="AB1034" s="2" t="s">
        <v>2187</v>
      </c>
      <c r="AO1034" s="2" t="s">
        <v>1368</v>
      </c>
    </row>
    <row r="1035" ht="15.75" customHeight="1">
      <c r="A1035" s="2" t="s">
        <v>8928</v>
      </c>
      <c r="B1035" s="2" t="s">
        <v>1396</v>
      </c>
      <c r="C1035" s="2">
        <v>2015.0</v>
      </c>
      <c r="D1035" s="2" t="s">
        <v>8929</v>
      </c>
      <c r="E1035" s="2" t="s">
        <v>8930</v>
      </c>
      <c r="J1035" s="12" t="str">
        <f>VLOOKUP(I1035,'Copy of Enriched Data - IPBES G'!$L$2:$L$229,1,false)</f>
        <v>#N/A</v>
      </c>
      <c r="M1035" s="2">
        <v>2015.0</v>
      </c>
      <c r="N1035" s="2" t="s">
        <v>1385</v>
      </c>
      <c r="O1035" s="2" t="s">
        <v>1386</v>
      </c>
      <c r="AB1035" s="2" t="s">
        <v>2145</v>
      </c>
      <c r="AO1035" s="2" t="s">
        <v>1368</v>
      </c>
    </row>
    <row r="1036" ht="15.75" customHeight="1">
      <c r="A1036" s="2" t="s">
        <v>8931</v>
      </c>
      <c r="B1036" s="2" t="s">
        <v>1396</v>
      </c>
      <c r="C1036" s="2">
        <v>2007.0</v>
      </c>
      <c r="D1036" s="2" t="s">
        <v>7245</v>
      </c>
      <c r="E1036" s="2" t="s">
        <v>8932</v>
      </c>
      <c r="G1036" s="2" t="s">
        <v>8933</v>
      </c>
      <c r="J1036" s="12" t="str">
        <f>VLOOKUP(I1036,'Copy of Enriched Data - IPBES G'!$L$2:$L$229,1,false)</f>
        <v>#N/A</v>
      </c>
      <c r="L1036" s="2" t="s">
        <v>8934</v>
      </c>
      <c r="M1036" s="2">
        <v>2007.0</v>
      </c>
      <c r="N1036" s="2" t="s">
        <v>1385</v>
      </c>
      <c r="O1036" s="2" t="s">
        <v>1386</v>
      </c>
      <c r="R1036" s="2" t="s">
        <v>6830</v>
      </c>
      <c r="AB1036" s="2" t="s">
        <v>8935</v>
      </c>
      <c r="AO1036" s="2" t="s">
        <v>1368</v>
      </c>
    </row>
    <row r="1037" ht="15.75" customHeight="1">
      <c r="A1037" s="2" t="s">
        <v>8944</v>
      </c>
      <c r="B1037" s="2" t="s">
        <v>1361</v>
      </c>
      <c r="C1037" s="2">
        <v>2015.0</v>
      </c>
      <c r="D1037" s="2" t="s">
        <v>8945</v>
      </c>
      <c r="E1037" s="2" t="s">
        <v>8946</v>
      </c>
      <c r="F1037" s="2" t="s">
        <v>2641</v>
      </c>
      <c r="H1037" s="2" t="s">
        <v>5876</v>
      </c>
      <c r="I1037" s="2" t="s">
        <v>8947</v>
      </c>
      <c r="J1037" s="12" t="str">
        <f>VLOOKUP(I1037,'Copy of Enriched Data - IPBES G'!$L$2:$L$229,1,false)</f>
        <v>#N/A</v>
      </c>
      <c r="K1037" s="2" t="s">
        <v>8948</v>
      </c>
      <c r="L1037" s="2" t="s">
        <v>8949</v>
      </c>
      <c r="M1037" s="2" t="s">
        <v>5974</v>
      </c>
      <c r="N1037" s="2" t="s">
        <v>1385</v>
      </c>
      <c r="O1037" s="2" t="s">
        <v>1386</v>
      </c>
      <c r="P1037" s="2" t="s">
        <v>8950</v>
      </c>
      <c r="Q1037" s="2" t="s">
        <v>8951</v>
      </c>
      <c r="S1037" s="2">
        <v>1.0</v>
      </c>
      <c r="T1037" s="2">
        <v>10.0</v>
      </c>
      <c r="V1037" s="2" t="s">
        <v>5884</v>
      </c>
      <c r="AD1037" s="2" t="s">
        <v>1540</v>
      </c>
      <c r="AI1037" s="2" t="s">
        <v>8952</v>
      </c>
      <c r="AO1037" s="2" t="s">
        <v>1368</v>
      </c>
    </row>
    <row r="1038" ht="15.75" customHeight="1">
      <c r="A1038" s="2" t="s">
        <v>8957</v>
      </c>
      <c r="B1038" s="2" t="s">
        <v>1361</v>
      </c>
      <c r="C1038" s="2">
        <v>2018.0</v>
      </c>
      <c r="D1038" s="2" t="s">
        <v>8958</v>
      </c>
      <c r="E1038" s="2" t="s">
        <v>8959</v>
      </c>
      <c r="J1038" s="12" t="str">
        <f>VLOOKUP(I1038,'Copy of Enriched Data - IPBES G'!$L$2:$L$229,1,false)</f>
        <v>#N/A</v>
      </c>
      <c r="M1038" s="2" t="s">
        <v>1420</v>
      </c>
      <c r="N1038" s="2" t="s">
        <v>1385</v>
      </c>
      <c r="O1038" s="2" t="s">
        <v>1386</v>
      </c>
      <c r="AO1038" s="2" t="s">
        <v>1368</v>
      </c>
    </row>
    <row r="1039" ht="15.75" customHeight="1">
      <c r="A1039" s="2" t="s">
        <v>8960</v>
      </c>
      <c r="B1039" s="2" t="s">
        <v>1396</v>
      </c>
      <c r="C1039" s="2">
        <v>2012.0</v>
      </c>
      <c r="D1039" s="2" t="s">
        <v>8958</v>
      </c>
      <c r="E1039" s="2" t="s">
        <v>8961</v>
      </c>
      <c r="J1039" s="12" t="str">
        <f>VLOOKUP(I1039,'Copy of Enriched Data - IPBES G'!$L$2:$L$229,1,false)</f>
        <v>#N/A</v>
      </c>
      <c r="M1039" s="2" t="s">
        <v>1405</v>
      </c>
      <c r="N1039" s="2" t="s">
        <v>1385</v>
      </c>
      <c r="O1039" s="2" t="s">
        <v>1386</v>
      </c>
      <c r="AB1039" s="2" t="s">
        <v>8962</v>
      </c>
      <c r="AO1039" s="2" t="s">
        <v>1368</v>
      </c>
    </row>
    <row r="1040" ht="15.75" customHeight="1">
      <c r="A1040" s="2" t="s">
        <v>8963</v>
      </c>
      <c r="B1040" s="2" t="s">
        <v>1396</v>
      </c>
      <c r="C1040" s="2">
        <v>2012.0</v>
      </c>
      <c r="D1040" s="2" t="s">
        <v>8964</v>
      </c>
      <c r="E1040" s="2" t="s">
        <v>8965</v>
      </c>
      <c r="G1040" s="2" t="s">
        <v>8966</v>
      </c>
      <c r="J1040" s="12" t="str">
        <f>VLOOKUP(I1040,'Copy of Enriched Data - IPBES G'!$L$2:$L$229,1,false)</f>
        <v>#N/A</v>
      </c>
      <c r="L1040" s="2" t="s">
        <v>8967</v>
      </c>
      <c r="M1040" s="2" t="s">
        <v>1405</v>
      </c>
      <c r="N1040" s="2" t="s">
        <v>1385</v>
      </c>
      <c r="O1040" s="2" t="s">
        <v>1386</v>
      </c>
      <c r="AO1040" s="2" t="s">
        <v>1368</v>
      </c>
    </row>
    <row r="1041" ht="15.75" customHeight="1">
      <c r="A1041" s="2" t="s">
        <v>8968</v>
      </c>
      <c r="B1041" s="2" t="s">
        <v>1396</v>
      </c>
      <c r="C1041" s="2">
        <v>1995.0</v>
      </c>
      <c r="D1041" s="2" t="s">
        <v>8969</v>
      </c>
      <c r="E1041" s="2" t="s">
        <v>8970</v>
      </c>
      <c r="J1041" s="12" t="str">
        <f>VLOOKUP(I1041,'Copy of Enriched Data - IPBES G'!$L$2:$L$229,1,false)</f>
        <v>#N/A</v>
      </c>
      <c r="M1041" s="2" t="s">
        <v>2089</v>
      </c>
      <c r="N1041" s="2" t="s">
        <v>1385</v>
      </c>
      <c r="O1041" s="2" t="s">
        <v>1386</v>
      </c>
      <c r="AB1041" s="2" t="s">
        <v>7249</v>
      </c>
      <c r="AC1041" s="2" t="s">
        <v>7321</v>
      </c>
      <c r="AO1041" s="2" t="s">
        <v>1368</v>
      </c>
    </row>
    <row r="1042" ht="15.75" customHeight="1">
      <c r="A1042" s="2" t="s">
        <v>8971</v>
      </c>
      <c r="B1042" s="2" t="s">
        <v>1766</v>
      </c>
      <c r="C1042" s="2">
        <v>2016.0</v>
      </c>
      <c r="D1042" s="2" t="s">
        <v>8972</v>
      </c>
      <c r="E1042" s="2" t="s">
        <v>8973</v>
      </c>
      <c r="G1042" s="2" t="s">
        <v>8974</v>
      </c>
      <c r="J1042" s="12" t="str">
        <f>VLOOKUP(I1042,'Copy of Enriched Data - IPBES G'!$L$2:$L$229,1,false)</f>
        <v>#N/A</v>
      </c>
      <c r="K1042" s="2" t="s">
        <v>8975</v>
      </c>
      <c r="L1042" s="2" t="s">
        <v>8976</v>
      </c>
      <c r="M1042" s="2" t="s">
        <v>1502</v>
      </c>
      <c r="N1042" s="2" t="s">
        <v>1385</v>
      </c>
      <c r="O1042" s="2" t="s">
        <v>1386</v>
      </c>
      <c r="Q1042" s="2" t="s">
        <v>8977</v>
      </c>
      <c r="AB1042" s="2" t="s">
        <v>4506</v>
      </c>
      <c r="AC1042" s="2" t="s">
        <v>2146</v>
      </c>
      <c r="AO1042" s="2" t="s">
        <v>1368</v>
      </c>
      <c r="AQ1042" s="2" t="s">
        <v>8978</v>
      </c>
    </row>
    <row r="1043" ht="15.75" customHeight="1">
      <c r="A1043" s="2" t="s">
        <v>8979</v>
      </c>
      <c r="B1043" s="2" t="s">
        <v>1361</v>
      </c>
      <c r="C1043" s="2">
        <v>2004.0</v>
      </c>
      <c r="D1043" s="2" t="s">
        <v>8980</v>
      </c>
      <c r="E1043" s="2" t="s">
        <v>8981</v>
      </c>
      <c r="F1043" s="2" t="s">
        <v>1500</v>
      </c>
      <c r="H1043" s="2" t="s">
        <v>8982</v>
      </c>
      <c r="I1043" s="2" t="s">
        <v>8983</v>
      </c>
      <c r="J1043" s="12" t="str">
        <f>VLOOKUP(I1043,'Copy of Enriched Data - IPBES G'!$L$2:$L$229,1,false)</f>
        <v>#N/A</v>
      </c>
      <c r="L1043" s="2" t="s">
        <v>8984</v>
      </c>
      <c r="M1043" s="2" t="s">
        <v>2373</v>
      </c>
      <c r="N1043" s="2" t="s">
        <v>1385</v>
      </c>
      <c r="O1043" s="2" t="s">
        <v>1386</v>
      </c>
      <c r="Q1043" s="2" t="s">
        <v>8985</v>
      </c>
      <c r="S1043" s="2">
        <v>2.0</v>
      </c>
      <c r="T1043" s="2">
        <v>29.0</v>
      </c>
      <c r="AO1043" s="2" t="s">
        <v>1368</v>
      </c>
    </row>
    <row r="1044" ht="15.75" customHeight="1">
      <c r="A1044" s="2" t="s">
        <v>8986</v>
      </c>
      <c r="B1044" s="2" t="s">
        <v>1361</v>
      </c>
      <c r="C1044" s="2">
        <v>2007.0</v>
      </c>
      <c r="D1044" s="2" t="s">
        <v>8987</v>
      </c>
      <c r="E1044" s="2" t="s">
        <v>8988</v>
      </c>
      <c r="F1044" s="2" t="s">
        <v>1760</v>
      </c>
      <c r="I1044" s="2" t="s">
        <v>8989</v>
      </c>
      <c r="J1044" s="12" t="str">
        <f>VLOOKUP(I1044,'Copy of Enriched Data - IPBES G'!$L$2:$L$229,1,false)</f>
        <v>#N/A</v>
      </c>
      <c r="M1044" s="2" t="s">
        <v>2380</v>
      </c>
      <c r="N1044" s="2" t="s">
        <v>1385</v>
      </c>
      <c r="O1044" s="2" t="s">
        <v>1386</v>
      </c>
      <c r="Q1044" s="2" t="s">
        <v>8990</v>
      </c>
      <c r="T1044" s="2">
        <v>60.0</v>
      </c>
      <c r="AO1044" s="2" t="s">
        <v>1368</v>
      </c>
    </row>
    <row r="1045" ht="15.75" customHeight="1">
      <c r="A1045" s="2" t="s">
        <v>8991</v>
      </c>
      <c r="B1045" s="2" t="s">
        <v>1361</v>
      </c>
      <c r="C1045" s="2">
        <v>2016.0</v>
      </c>
      <c r="D1045" s="2" t="s">
        <v>8992</v>
      </c>
      <c r="E1045" s="2" t="s">
        <v>8993</v>
      </c>
      <c r="F1045" s="2" t="s">
        <v>1688</v>
      </c>
      <c r="I1045" s="2" t="s">
        <v>8994</v>
      </c>
      <c r="J1045" s="12" t="str">
        <f>VLOOKUP(I1045,'Copy of Enriched Data - IPBES G'!$L$2:$L$229,1,false)</f>
        <v>#N/A</v>
      </c>
      <c r="M1045" s="2" t="s">
        <v>1502</v>
      </c>
      <c r="N1045" s="2" t="s">
        <v>8995</v>
      </c>
      <c r="O1045" s="2" t="s">
        <v>8996</v>
      </c>
      <c r="Q1045" s="2" t="s">
        <v>8997</v>
      </c>
      <c r="S1045" s="2" t="s">
        <v>3628</v>
      </c>
      <c r="T1045" s="2">
        <v>113.0</v>
      </c>
      <c r="AO1045" s="2" t="s">
        <v>1368</v>
      </c>
    </row>
    <row r="1046" ht="15.75" customHeight="1">
      <c r="A1046" s="2" t="s">
        <v>8998</v>
      </c>
      <c r="B1046" s="2" t="s">
        <v>2615</v>
      </c>
      <c r="C1046" s="2">
        <v>1999.0</v>
      </c>
      <c r="D1046" s="2" t="s">
        <v>8999</v>
      </c>
      <c r="E1046" s="2" t="s">
        <v>9000</v>
      </c>
      <c r="J1046" s="12" t="str">
        <f>VLOOKUP(I1046,'Copy of Enriched Data - IPBES G'!$L$2:$L$229,1,false)</f>
        <v>#N/A</v>
      </c>
      <c r="K1046" s="2" t="s">
        <v>9001</v>
      </c>
      <c r="L1046" s="2" t="s">
        <v>9002</v>
      </c>
      <c r="M1046" s="2" t="s">
        <v>1434</v>
      </c>
      <c r="N1046" s="2" t="s">
        <v>9003</v>
      </c>
      <c r="O1046" s="2" t="s">
        <v>9004</v>
      </c>
      <c r="X1046" s="2" t="s">
        <v>9005</v>
      </c>
      <c r="AO1046" s="2" t="s">
        <v>1368</v>
      </c>
    </row>
    <row r="1047" ht="15.75" customHeight="1">
      <c r="A1047" s="2" t="s">
        <v>9006</v>
      </c>
      <c r="B1047" s="2" t="s">
        <v>1361</v>
      </c>
      <c r="C1047" s="2">
        <v>2014.0</v>
      </c>
      <c r="D1047" s="2" t="s">
        <v>9007</v>
      </c>
      <c r="E1047" s="2" t="s">
        <v>9008</v>
      </c>
      <c r="F1047" s="2" t="s">
        <v>9009</v>
      </c>
      <c r="I1047" s="2" t="s">
        <v>9010</v>
      </c>
      <c r="J1047" s="12" t="str">
        <f>VLOOKUP(I1047,'Copy of Enriched Data - IPBES G'!$L$2:$L$229,1,false)</f>
        <v>#N/A</v>
      </c>
      <c r="M1047" s="2" t="s">
        <v>1476</v>
      </c>
      <c r="N1047" s="2" t="s">
        <v>9011</v>
      </c>
      <c r="O1047" s="2" t="s">
        <v>9012</v>
      </c>
      <c r="Q1047" s="2" t="s">
        <v>9013</v>
      </c>
      <c r="AO1047" s="2" t="s">
        <v>1368</v>
      </c>
    </row>
    <row r="1048" ht="15.75" customHeight="1">
      <c r="A1048" s="2" t="s">
        <v>9014</v>
      </c>
      <c r="B1048" s="2" t="s">
        <v>1361</v>
      </c>
      <c r="C1048" s="2">
        <v>2010.0</v>
      </c>
      <c r="D1048" s="2" t="s">
        <v>9015</v>
      </c>
      <c r="E1048" s="2" t="s">
        <v>9016</v>
      </c>
      <c r="F1048" s="2" t="s">
        <v>1760</v>
      </c>
      <c r="I1048" s="2" t="s">
        <v>9017</v>
      </c>
      <c r="J1048" s="12" t="str">
        <f>VLOOKUP(I1048,'Copy of Enriched Data - IPBES G'!$L$2:$L$229,1,false)</f>
        <v>#N/A</v>
      </c>
      <c r="M1048" s="2" t="s">
        <v>1449</v>
      </c>
      <c r="N1048" s="2" t="s">
        <v>9018</v>
      </c>
      <c r="O1048" s="2" t="s">
        <v>9019</v>
      </c>
      <c r="Q1048" s="2" t="s">
        <v>9020</v>
      </c>
      <c r="S1048" s="2" t="s">
        <v>2271</v>
      </c>
      <c r="T1048" s="2">
        <v>69.0</v>
      </c>
      <c r="AO1048" s="2" t="s">
        <v>1368</v>
      </c>
    </row>
    <row r="1049" ht="15.75" customHeight="1">
      <c r="A1049" s="2" t="s">
        <v>9021</v>
      </c>
      <c r="B1049" s="2" t="s">
        <v>1361</v>
      </c>
      <c r="C1049" s="2">
        <v>2007.0</v>
      </c>
      <c r="D1049" s="2" t="s">
        <v>9022</v>
      </c>
      <c r="E1049" s="2" t="s">
        <v>9023</v>
      </c>
      <c r="F1049" s="2" t="s">
        <v>6488</v>
      </c>
      <c r="I1049" s="2" t="s">
        <v>9024</v>
      </c>
      <c r="J1049" s="12" t="str">
        <f>VLOOKUP(I1049,'Copy of Enriched Data - IPBES G'!$L$2:$L$229,1,false)</f>
        <v>#N/A</v>
      </c>
      <c r="M1049" s="2" t="s">
        <v>2380</v>
      </c>
      <c r="N1049" s="2" t="s">
        <v>7359</v>
      </c>
      <c r="O1049" s="2" t="s">
        <v>7360</v>
      </c>
      <c r="Q1049" s="2" t="s">
        <v>9025</v>
      </c>
      <c r="S1049" s="2" t="s">
        <v>1462</v>
      </c>
      <c r="T1049" s="2">
        <v>9.0</v>
      </c>
      <c r="AO1049" s="2" t="s">
        <v>1368</v>
      </c>
    </row>
    <row r="1050" ht="15.75" customHeight="1">
      <c r="A1050" s="2" t="s">
        <v>9026</v>
      </c>
      <c r="B1050" s="2" t="s">
        <v>1361</v>
      </c>
      <c r="C1050" s="2">
        <v>1996.0</v>
      </c>
      <c r="D1050" s="2" t="s">
        <v>9027</v>
      </c>
      <c r="E1050" s="2" t="s">
        <v>9028</v>
      </c>
      <c r="F1050" s="2" t="s">
        <v>9029</v>
      </c>
      <c r="J1050" s="12" t="str">
        <f>VLOOKUP(I1050,'Copy of Enriched Data - IPBES G'!$L$2:$L$229,1,false)</f>
        <v>#N/A</v>
      </c>
      <c r="M1050" s="2" t="s">
        <v>2492</v>
      </c>
      <c r="N1050" s="2" t="s">
        <v>9030</v>
      </c>
      <c r="O1050" s="2" t="s">
        <v>9031</v>
      </c>
      <c r="Q1050" s="2" t="s">
        <v>9032</v>
      </c>
      <c r="S1050" s="2" t="s">
        <v>1462</v>
      </c>
      <c r="T1050" s="2">
        <v>34.0</v>
      </c>
      <c r="AO1050" s="2" t="s">
        <v>1368</v>
      </c>
    </row>
    <row r="1051" ht="15.75" customHeight="1">
      <c r="A1051" s="2" t="s">
        <v>9033</v>
      </c>
      <c r="B1051" s="2" t="s">
        <v>1361</v>
      </c>
      <c r="C1051" s="2">
        <v>1982.0</v>
      </c>
      <c r="D1051" s="2" t="s">
        <v>9034</v>
      </c>
      <c r="E1051" s="2" t="s">
        <v>9035</v>
      </c>
      <c r="F1051" s="2" t="s">
        <v>9036</v>
      </c>
      <c r="I1051" s="2" t="s">
        <v>9037</v>
      </c>
      <c r="J1051" s="12" t="str">
        <f>VLOOKUP(I1051,'Copy of Enriched Data - IPBES G'!$L$2:$L$229,1,false)</f>
        <v>#N/A</v>
      </c>
      <c r="M1051" s="2" t="s">
        <v>9038</v>
      </c>
      <c r="N1051" s="2" t="s">
        <v>9039</v>
      </c>
      <c r="O1051" s="2" t="s">
        <v>9040</v>
      </c>
      <c r="Q1051" s="2" t="s">
        <v>9041</v>
      </c>
      <c r="S1051" s="2" t="s">
        <v>1453</v>
      </c>
      <c r="T1051" s="2">
        <v>6.0</v>
      </c>
      <c r="AO1051" s="2" t="s">
        <v>1368</v>
      </c>
    </row>
    <row r="1052" ht="15.75" customHeight="1">
      <c r="A1052" s="2" t="s">
        <v>9042</v>
      </c>
      <c r="B1052" s="2" t="s">
        <v>1361</v>
      </c>
      <c r="C1052" s="2">
        <v>1972.0</v>
      </c>
      <c r="D1052" s="2" t="s">
        <v>9043</v>
      </c>
      <c r="E1052" s="2" t="s">
        <v>9044</v>
      </c>
      <c r="F1052" s="2" t="s">
        <v>5295</v>
      </c>
      <c r="J1052" s="12" t="str">
        <f>VLOOKUP(I1052,'Copy of Enriched Data - IPBES G'!$L$2:$L$229,1,false)</f>
        <v>#N/A</v>
      </c>
      <c r="M1052" s="2" t="s">
        <v>6522</v>
      </c>
      <c r="N1052" s="2" t="s">
        <v>9045</v>
      </c>
      <c r="O1052" s="2" t="s">
        <v>9046</v>
      </c>
      <c r="Q1052" s="2" t="s">
        <v>9047</v>
      </c>
      <c r="T1052" s="2">
        <v>102.0</v>
      </c>
      <c r="AO1052" s="2" t="s">
        <v>1368</v>
      </c>
    </row>
    <row r="1053" ht="15.75" customHeight="1">
      <c r="A1053" s="2" t="s">
        <v>9048</v>
      </c>
      <c r="B1053" s="2" t="s">
        <v>1361</v>
      </c>
      <c r="C1053" s="2">
        <v>2009.0</v>
      </c>
      <c r="D1053" s="2" t="s">
        <v>9049</v>
      </c>
      <c r="E1053" s="2" t="s">
        <v>9050</v>
      </c>
      <c r="F1053" s="2" t="s">
        <v>9051</v>
      </c>
      <c r="J1053" s="12" t="str">
        <f>VLOOKUP(I1053,'Copy of Enriched Data - IPBES G'!$L$2:$L$229,1,false)</f>
        <v>#N/A</v>
      </c>
      <c r="M1053" s="2" t="s">
        <v>1364</v>
      </c>
      <c r="N1053" s="2" t="s">
        <v>9052</v>
      </c>
      <c r="O1053" s="2" t="s">
        <v>9053</v>
      </c>
      <c r="AO1053" s="2" t="s">
        <v>1368</v>
      </c>
    </row>
    <row r="1054" ht="15.75" customHeight="1">
      <c r="A1054" s="2" t="s">
        <v>9054</v>
      </c>
      <c r="B1054" s="2" t="s">
        <v>1361</v>
      </c>
      <c r="C1054" s="2">
        <v>2008.0</v>
      </c>
      <c r="D1054" s="2" t="s">
        <v>9055</v>
      </c>
      <c r="E1054" s="2" t="s">
        <v>9056</v>
      </c>
      <c r="F1054" s="2" t="s">
        <v>2036</v>
      </c>
      <c r="I1054" s="2" t="s">
        <v>9057</v>
      </c>
      <c r="J1054" s="12" t="str">
        <f>VLOOKUP(I1054,'Copy of Enriched Data - IPBES G'!$L$2:$L$229,1,false)</f>
        <v>#N/A</v>
      </c>
      <c r="M1054" s="2" t="s">
        <v>1458</v>
      </c>
      <c r="N1054" s="2" t="s">
        <v>9058</v>
      </c>
      <c r="O1054" s="2" t="s">
        <v>9059</v>
      </c>
      <c r="Q1054" s="2" t="s">
        <v>9060</v>
      </c>
      <c r="S1054" s="2" t="s">
        <v>1537</v>
      </c>
      <c r="T1054" s="2">
        <v>58.0</v>
      </c>
      <c r="AO1054" s="2" t="s">
        <v>1368</v>
      </c>
    </row>
    <row r="1055" ht="15.75" customHeight="1">
      <c r="A1055" s="2" t="s">
        <v>9061</v>
      </c>
      <c r="B1055" s="2" t="s">
        <v>1361</v>
      </c>
      <c r="C1055" s="2">
        <v>2003.0</v>
      </c>
      <c r="D1055" s="2" t="s">
        <v>9062</v>
      </c>
      <c r="E1055" s="2" t="s">
        <v>9063</v>
      </c>
      <c r="F1055" s="2" t="s">
        <v>9064</v>
      </c>
      <c r="J1055" s="12" t="str">
        <f>VLOOKUP(I1055,'Copy of Enriched Data - IPBES G'!$L$2:$L$229,1,false)</f>
        <v>#N/A</v>
      </c>
      <c r="M1055" s="2" t="s">
        <v>1606</v>
      </c>
      <c r="N1055" s="2" t="s">
        <v>9065</v>
      </c>
      <c r="O1055" s="2" t="s">
        <v>9066</v>
      </c>
      <c r="Q1055" s="2" t="s">
        <v>9067</v>
      </c>
      <c r="S1055" s="2" t="s">
        <v>1453</v>
      </c>
      <c r="T1055" s="2">
        <v>6.0</v>
      </c>
      <c r="AO1055" s="2" t="s">
        <v>1368</v>
      </c>
    </row>
    <row r="1056" ht="15.75" customHeight="1">
      <c r="A1056" s="2" t="s">
        <v>9068</v>
      </c>
      <c r="B1056" s="2" t="s">
        <v>1361</v>
      </c>
      <c r="C1056" s="2">
        <v>2015.0</v>
      </c>
      <c r="D1056" s="2" t="s">
        <v>9069</v>
      </c>
      <c r="E1056" s="2" t="s">
        <v>9070</v>
      </c>
      <c r="F1056" s="2" t="s">
        <v>6436</v>
      </c>
      <c r="I1056" s="2" t="s">
        <v>9071</v>
      </c>
      <c r="J1056" s="12" t="str">
        <f>VLOOKUP(I1056,'Copy of Enriched Data - IPBES G'!$L$2:$L$229,1,false)</f>
        <v>#N/A</v>
      </c>
      <c r="M1056" s="2" t="s">
        <v>1373</v>
      </c>
      <c r="N1056" s="2" t="s">
        <v>9072</v>
      </c>
      <c r="O1056" s="2" t="s">
        <v>9073</v>
      </c>
      <c r="Q1056" s="2" t="s">
        <v>9074</v>
      </c>
      <c r="S1056" s="2" t="s">
        <v>1506</v>
      </c>
      <c r="T1056" s="2">
        <v>23.0</v>
      </c>
      <c r="AO1056" s="2" t="s">
        <v>1368</v>
      </c>
    </row>
    <row r="1057" ht="15.75" customHeight="1">
      <c r="A1057" s="2" t="s">
        <v>9075</v>
      </c>
      <c r="B1057" s="2" t="s">
        <v>1361</v>
      </c>
      <c r="C1057" s="2">
        <v>2012.0</v>
      </c>
      <c r="D1057" s="2" t="s">
        <v>9076</v>
      </c>
      <c r="E1057" s="2" t="s">
        <v>9077</v>
      </c>
      <c r="F1057" s="2" t="s">
        <v>1980</v>
      </c>
      <c r="I1057" s="2" t="s">
        <v>9078</v>
      </c>
      <c r="J1057" s="12" t="str">
        <f>VLOOKUP(I1057,'Copy of Enriched Data - IPBES G'!$L$2:$L$229,1,false)</f>
        <v>#N/A</v>
      </c>
      <c r="M1057" s="2" t="s">
        <v>1405</v>
      </c>
      <c r="N1057" s="2" t="s">
        <v>9079</v>
      </c>
      <c r="O1057" s="2" t="s">
        <v>9080</v>
      </c>
      <c r="Q1057" s="2" t="s">
        <v>9081</v>
      </c>
      <c r="S1057" s="2" t="s">
        <v>1600</v>
      </c>
      <c r="T1057" s="2">
        <v>43.0</v>
      </c>
      <c r="AO1057" s="2" t="s">
        <v>1368</v>
      </c>
    </row>
    <row r="1058" ht="15.75" customHeight="1">
      <c r="A1058" s="2" t="s">
        <v>9082</v>
      </c>
      <c r="B1058" s="2" t="s">
        <v>1361</v>
      </c>
      <c r="C1058" s="2">
        <v>2000.0</v>
      </c>
      <c r="D1058" s="2" t="s">
        <v>9083</v>
      </c>
      <c r="E1058" s="2" t="s">
        <v>9084</v>
      </c>
      <c r="F1058" s="2" t="s">
        <v>9085</v>
      </c>
      <c r="J1058" s="12" t="str">
        <f>VLOOKUP(I1058,'Copy of Enriched Data - IPBES G'!$L$2:$L$229,1,false)</f>
        <v>#N/A</v>
      </c>
      <c r="M1058" s="2" t="s">
        <v>2429</v>
      </c>
      <c r="N1058" s="2" t="s">
        <v>9086</v>
      </c>
      <c r="O1058" s="2" t="s">
        <v>9087</v>
      </c>
      <c r="Q1058" s="2" t="s">
        <v>9088</v>
      </c>
      <c r="S1058" s="2" t="s">
        <v>2237</v>
      </c>
      <c r="T1058" s="2">
        <v>78.0</v>
      </c>
      <c r="AO1058" s="2" t="s">
        <v>1368</v>
      </c>
    </row>
    <row r="1059" ht="15.75" customHeight="1">
      <c r="A1059" s="2" t="s">
        <v>9089</v>
      </c>
      <c r="B1059" s="2" t="s">
        <v>1361</v>
      </c>
      <c r="C1059" s="2">
        <v>2007.0</v>
      </c>
      <c r="D1059" s="2" t="s">
        <v>9090</v>
      </c>
      <c r="E1059" s="2" t="s">
        <v>9091</v>
      </c>
      <c r="F1059" s="2" t="s">
        <v>9092</v>
      </c>
      <c r="I1059" s="2" t="s">
        <v>9093</v>
      </c>
      <c r="J1059" s="12" t="str">
        <f>VLOOKUP(I1059,'Copy of Enriched Data - IPBES G'!$L$2:$L$229,1,false)</f>
        <v>#N/A</v>
      </c>
      <c r="M1059" s="2" t="s">
        <v>2380</v>
      </c>
      <c r="N1059" s="2" t="s">
        <v>9094</v>
      </c>
      <c r="O1059" s="2" t="s">
        <v>9095</v>
      </c>
      <c r="Q1059" s="2" t="s">
        <v>9096</v>
      </c>
      <c r="S1059" s="2" t="s">
        <v>1462</v>
      </c>
      <c r="T1059" s="2">
        <v>19.0</v>
      </c>
      <c r="AO1059" s="2" t="s">
        <v>1368</v>
      </c>
    </row>
    <row r="1060" ht="15.75" customHeight="1">
      <c r="A1060" s="2" t="s">
        <v>9097</v>
      </c>
      <c r="B1060" s="2" t="s">
        <v>1361</v>
      </c>
      <c r="C1060" s="2">
        <v>1999.0</v>
      </c>
      <c r="D1060" s="2" t="s">
        <v>9098</v>
      </c>
      <c r="E1060" s="2" t="s">
        <v>9099</v>
      </c>
      <c r="F1060" s="2" t="s">
        <v>2020</v>
      </c>
      <c r="I1060" s="2" t="s">
        <v>9100</v>
      </c>
      <c r="J1060" s="12" t="str">
        <f>VLOOKUP(I1060,'Copy of Enriched Data - IPBES G'!$L$2:$L$229,1,false)</f>
        <v>#N/A</v>
      </c>
      <c r="M1060" s="2" t="s">
        <v>1434</v>
      </c>
      <c r="N1060" s="2" t="s">
        <v>9101</v>
      </c>
      <c r="O1060" s="2" t="s">
        <v>9102</v>
      </c>
      <c r="Q1060" s="2" t="s">
        <v>9103</v>
      </c>
      <c r="S1060" s="2" t="s">
        <v>1462</v>
      </c>
      <c r="T1060" s="2">
        <v>15.0</v>
      </c>
      <c r="AO1060" s="2" t="s">
        <v>1368</v>
      </c>
    </row>
    <row r="1061" ht="15.75" customHeight="1">
      <c r="A1061" s="2" t="s">
        <v>9104</v>
      </c>
      <c r="B1061" s="2" t="s">
        <v>1361</v>
      </c>
      <c r="C1061" s="2">
        <v>1998.0</v>
      </c>
      <c r="D1061" s="2" t="s">
        <v>9105</v>
      </c>
      <c r="E1061" s="2" t="s">
        <v>9106</v>
      </c>
      <c r="F1061" s="2" t="s">
        <v>9107</v>
      </c>
      <c r="I1061" s="2" t="s">
        <v>9108</v>
      </c>
      <c r="J1061" s="12" t="str">
        <f>VLOOKUP(I1061,'Copy of Enriched Data - IPBES G'!$L$2:$L$229,1,false)</f>
        <v>#N/A</v>
      </c>
      <c r="M1061" s="2" t="s">
        <v>1958</v>
      </c>
      <c r="N1061" s="2" t="s">
        <v>9109</v>
      </c>
      <c r="O1061" s="2" t="s">
        <v>9110</v>
      </c>
      <c r="Q1061" s="2" t="s">
        <v>9111</v>
      </c>
      <c r="S1061" s="2" t="s">
        <v>1937</v>
      </c>
      <c r="T1061" s="2">
        <v>18.0</v>
      </c>
      <c r="AO1061" s="2" t="s">
        <v>1368</v>
      </c>
    </row>
    <row r="1062" ht="15.75" customHeight="1">
      <c r="A1062" s="2" t="s">
        <v>9112</v>
      </c>
      <c r="B1062" s="2" t="s">
        <v>1361</v>
      </c>
      <c r="C1062" s="2">
        <v>2010.0</v>
      </c>
      <c r="D1062" s="2" t="s">
        <v>9113</v>
      </c>
      <c r="E1062" s="2" t="s">
        <v>9114</v>
      </c>
      <c r="F1062" s="2" t="s">
        <v>9115</v>
      </c>
      <c r="I1062" s="2" t="s">
        <v>9116</v>
      </c>
      <c r="J1062" s="12" t="str">
        <f>VLOOKUP(I1062,'Copy of Enriched Data - IPBES G'!$L$2:$L$229,1,false)</f>
        <v>#N/A</v>
      </c>
      <c r="M1062" s="2" t="s">
        <v>1449</v>
      </c>
      <c r="N1062" s="2" t="s">
        <v>3388</v>
      </c>
      <c r="O1062" s="2" t="s">
        <v>3389</v>
      </c>
      <c r="Q1062" s="2" t="s">
        <v>9117</v>
      </c>
      <c r="S1062" s="2" t="s">
        <v>1600</v>
      </c>
      <c r="T1062" s="2">
        <v>12.0</v>
      </c>
      <c r="AO1062" s="2" t="s">
        <v>1368</v>
      </c>
    </row>
    <row r="1063" ht="15.75" customHeight="1">
      <c r="A1063" s="2" t="s">
        <v>9118</v>
      </c>
      <c r="B1063" s="2" t="s">
        <v>1361</v>
      </c>
      <c r="C1063" s="2">
        <v>2017.0</v>
      </c>
      <c r="D1063" s="2" t="s">
        <v>9119</v>
      </c>
      <c r="E1063" s="2" t="s">
        <v>9120</v>
      </c>
      <c r="F1063" s="2" t="s">
        <v>9121</v>
      </c>
      <c r="J1063" s="12" t="str">
        <f>VLOOKUP(I1063,'Copy of Enriched Data - IPBES G'!$L$2:$L$229,1,false)</f>
        <v>#N/A</v>
      </c>
      <c r="M1063" s="2" t="s">
        <v>1658</v>
      </c>
      <c r="N1063" s="2" t="s">
        <v>9122</v>
      </c>
      <c r="O1063" s="2" t="s">
        <v>9123</v>
      </c>
      <c r="AO1063" s="2" t="s">
        <v>1368</v>
      </c>
    </row>
    <row r="1064" ht="15.75" customHeight="1">
      <c r="A1064" s="2" t="s">
        <v>9124</v>
      </c>
      <c r="B1064" s="2" t="s">
        <v>1361</v>
      </c>
      <c r="C1064" s="2">
        <v>2001.0</v>
      </c>
      <c r="D1064" s="2" t="s">
        <v>9125</v>
      </c>
      <c r="E1064" s="2" t="s">
        <v>9126</v>
      </c>
      <c r="F1064" s="2" t="s">
        <v>9127</v>
      </c>
      <c r="I1064" s="2" t="s">
        <v>9128</v>
      </c>
      <c r="J1064" s="12" t="str">
        <f>VLOOKUP(I1064,'Copy of Enriched Data - IPBES G'!$L$2:$L$229,1,false)</f>
        <v>#N/A</v>
      </c>
      <c r="M1064" s="2" t="s">
        <v>1414</v>
      </c>
      <c r="N1064" s="2" t="s">
        <v>9129</v>
      </c>
      <c r="O1064" s="2" t="s">
        <v>9130</v>
      </c>
      <c r="Q1064" s="2" t="s">
        <v>9131</v>
      </c>
      <c r="S1064" s="2" t="s">
        <v>1453</v>
      </c>
      <c r="T1064" s="2">
        <v>53.0</v>
      </c>
      <c r="AO1064" s="2" t="s">
        <v>1368</v>
      </c>
    </row>
    <row r="1065" ht="15.75" customHeight="1">
      <c r="A1065" s="2" t="s">
        <v>9132</v>
      </c>
      <c r="B1065" s="2" t="s">
        <v>1361</v>
      </c>
      <c r="C1065" s="2">
        <v>2001.0</v>
      </c>
      <c r="D1065" s="2" t="s">
        <v>9133</v>
      </c>
      <c r="E1065" s="2" t="s">
        <v>9134</v>
      </c>
      <c r="F1065" s="2" t="s">
        <v>1941</v>
      </c>
      <c r="I1065" s="2" t="s">
        <v>9135</v>
      </c>
      <c r="J1065" s="12" t="str">
        <f>VLOOKUP(I1065,'Copy of Enriched Data - IPBES G'!$L$2:$L$229,1,false)</f>
        <v>#N/A</v>
      </c>
      <c r="M1065" s="2" t="s">
        <v>1414</v>
      </c>
      <c r="N1065" s="2" t="s">
        <v>9136</v>
      </c>
      <c r="O1065" s="2" t="s">
        <v>9137</v>
      </c>
      <c r="Q1065" s="2" t="s">
        <v>9138</v>
      </c>
      <c r="S1065" s="2" t="s">
        <v>1453</v>
      </c>
      <c r="T1065" s="2">
        <v>35.0</v>
      </c>
      <c r="AO1065" s="2" t="s">
        <v>1368</v>
      </c>
    </row>
    <row r="1066" ht="15.75" customHeight="1">
      <c r="A1066" s="2" t="s">
        <v>9139</v>
      </c>
      <c r="B1066" s="2" t="s">
        <v>1361</v>
      </c>
      <c r="C1066" s="2">
        <v>2017.0</v>
      </c>
      <c r="D1066" s="2" t="s">
        <v>9140</v>
      </c>
      <c r="E1066" s="2" t="s">
        <v>9141</v>
      </c>
      <c r="F1066" s="2" t="s">
        <v>9142</v>
      </c>
      <c r="I1066" s="2" t="s">
        <v>9143</v>
      </c>
      <c r="J1066" s="12" t="str">
        <f>VLOOKUP(I1066,'Copy of Enriched Data - IPBES G'!$L$2:$L$229,1,false)</f>
        <v>#N/A</v>
      </c>
      <c r="M1066" s="2" t="s">
        <v>1658</v>
      </c>
      <c r="N1066" s="2" t="s">
        <v>9144</v>
      </c>
      <c r="O1066" s="2" t="s">
        <v>9145</v>
      </c>
      <c r="S1066" s="2" t="s">
        <v>1453</v>
      </c>
      <c r="T1066" s="2">
        <v>11.0</v>
      </c>
      <c r="AO1066" s="2" t="s">
        <v>1368</v>
      </c>
    </row>
    <row r="1067" ht="15.75" customHeight="1">
      <c r="A1067" s="2" t="s">
        <v>9146</v>
      </c>
      <c r="B1067" s="2" t="s">
        <v>1361</v>
      </c>
      <c r="C1067" s="2">
        <v>2011.0</v>
      </c>
      <c r="D1067" s="2" t="s">
        <v>9147</v>
      </c>
      <c r="E1067" s="2" t="s">
        <v>9148</v>
      </c>
      <c r="J1067" s="12" t="str">
        <f>VLOOKUP(I1067,'Copy of Enriched Data - IPBES G'!$L$2:$L$229,1,false)</f>
        <v>#N/A</v>
      </c>
      <c r="M1067" s="2" t="s">
        <v>1627</v>
      </c>
      <c r="N1067" s="2" t="s">
        <v>4666</v>
      </c>
      <c r="O1067" s="2" t="s">
        <v>4667</v>
      </c>
      <c r="AO1067" s="2" t="s">
        <v>1368</v>
      </c>
    </row>
    <row r="1068" ht="15.75" customHeight="1">
      <c r="A1068" s="2" t="s">
        <v>9149</v>
      </c>
      <c r="B1068" s="2" t="s">
        <v>1361</v>
      </c>
      <c r="C1068" s="2">
        <v>2015.0</v>
      </c>
      <c r="D1068" s="2" t="s">
        <v>9150</v>
      </c>
      <c r="E1068" s="2" t="s">
        <v>9151</v>
      </c>
      <c r="J1068" s="12" t="str">
        <f>VLOOKUP(I1068,'Copy of Enriched Data - IPBES G'!$L$2:$L$229,1,false)</f>
        <v>#N/A</v>
      </c>
      <c r="K1068" s="2" t="s">
        <v>9152</v>
      </c>
      <c r="M1068" s="2" t="s">
        <v>1373</v>
      </c>
      <c r="N1068" s="2" t="s">
        <v>9153</v>
      </c>
      <c r="O1068" s="2" t="s">
        <v>9154</v>
      </c>
      <c r="AO1068" s="2" t="s">
        <v>1368</v>
      </c>
    </row>
    <row r="1069" ht="15.75" customHeight="1">
      <c r="A1069" s="2" t="s">
        <v>9155</v>
      </c>
      <c r="B1069" s="2" t="s">
        <v>1361</v>
      </c>
      <c r="C1069" s="2">
        <v>2000.0</v>
      </c>
      <c r="D1069" s="2" t="s">
        <v>9156</v>
      </c>
      <c r="E1069" s="2" t="s">
        <v>9157</v>
      </c>
      <c r="F1069" s="2" t="s">
        <v>9158</v>
      </c>
      <c r="I1069" s="2" t="s">
        <v>9159</v>
      </c>
      <c r="J1069" s="12" t="str">
        <f>VLOOKUP(I1069,'Copy of Enriched Data - IPBES G'!$L$2:$L$229,1,false)</f>
        <v>#N/A</v>
      </c>
      <c r="M1069" s="2" t="s">
        <v>2429</v>
      </c>
      <c r="N1069" s="2" t="s">
        <v>9160</v>
      </c>
      <c r="O1069" s="2" t="s">
        <v>9161</v>
      </c>
      <c r="Q1069" s="2" t="s">
        <v>9162</v>
      </c>
      <c r="AO1069" s="2" t="s">
        <v>1368</v>
      </c>
    </row>
    <row r="1070" ht="15.75" customHeight="1">
      <c r="A1070" s="2" t="s">
        <v>9163</v>
      </c>
      <c r="B1070" s="2" t="s">
        <v>1361</v>
      </c>
      <c r="C1070" s="2">
        <v>2004.0</v>
      </c>
      <c r="D1070" s="2" t="s">
        <v>9164</v>
      </c>
      <c r="E1070" s="2" t="s">
        <v>9165</v>
      </c>
      <c r="F1070" s="2" t="s">
        <v>9166</v>
      </c>
      <c r="I1070" s="2" t="s">
        <v>9167</v>
      </c>
      <c r="J1070" s="12" t="str">
        <f>VLOOKUP(I1070,'Copy of Enriched Data - IPBES G'!$L$2:$L$229,1,false)</f>
        <v>#N/A</v>
      </c>
      <c r="M1070" s="2" t="s">
        <v>2373</v>
      </c>
      <c r="N1070" s="2" t="s">
        <v>9168</v>
      </c>
      <c r="O1070" s="2" t="s">
        <v>9169</v>
      </c>
      <c r="Q1070" s="2" t="s">
        <v>9170</v>
      </c>
      <c r="S1070" s="2" t="s">
        <v>5423</v>
      </c>
      <c r="T1070" s="2">
        <v>120.0</v>
      </c>
      <c r="AO1070" s="2" t="s">
        <v>1368</v>
      </c>
    </row>
    <row r="1071" ht="15.75" customHeight="1">
      <c r="A1071" s="2" t="s">
        <v>9171</v>
      </c>
      <c r="B1071" s="2" t="s">
        <v>1361</v>
      </c>
      <c r="C1071" s="2">
        <v>2009.0</v>
      </c>
      <c r="D1071" s="2" t="s">
        <v>9172</v>
      </c>
      <c r="E1071" s="2" t="s">
        <v>9173</v>
      </c>
      <c r="F1071" s="2" t="s">
        <v>9174</v>
      </c>
      <c r="I1071" s="2" t="s">
        <v>9175</v>
      </c>
      <c r="J1071" s="12" t="str">
        <f>VLOOKUP(I1071,'Copy of Enriched Data - IPBES G'!$L$2:$L$229,1,false)</f>
        <v>#N/A</v>
      </c>
      <c r="M1071" s="2" t="s">
        <v>1364</v>
      </c>
      <c r="N1071" s="2" t="s">
        <v>9176</v>
      </c>
      <c r="O1071" s="2" t="s">
        <v>9177</v>
      </c>
      <c r="Q1071" s="2" t="s">
        <v>9178</v>
      </c>
      <c r="S1071" s="2" t="s">
        <v>1600</v>
      </c>
      <c r="T1071" s="2">
        <v>58.0</v>
      </c>
      <c r="AO1071" s="2" t="s">
        <v>1368</v>
      </c>
    </row>
    <row r="1072" ht="15.75" customHeight="1">
      <c r="A1072" s="2" t="s">
        <v>9197</v>
      </c>
      <c r="B1072" s="2" t="s">
        <v>1361</v>
      </c>
      <c r="C1072" s="2">
        <v>1999.0</v>
      </c>
      <c r="D1072" s="2" t="s">
        <v>9198</v>
      </c>
      <c r="E1072" s="2" t="s">
        <v>9199</v>
      </c>
      <c r="F1072" s="2" t="s">
        <v>9200</v>
      </c>
      <c r="H1072" s="2" t="s">
        <v>9201</v>
      </c>
      <c r="I1072" s="2" t="s">
        <v>9202</v>
      </c>
      <c r="J1072" s="12" t="str">
        <f>VLOOKUP(I1072,'Copy of Enriched Data - IPBES G'!$L$2:$L$229,1,false)</f>
        <v>#N/A</v>
      </c>
      <c r="L1072" s="2" t="s">
        <v>9203</v>
      </c>
      <c r="M1072" s="2" t="s">
        <v>1434</v>
      </c>
      <c r="N1072" s="2" t="s">
        <v>9204</v>
      </c>
      <c r="O1072" s="2" t="s">
        <v>9205</v>
      </c>
      <c r="Q1072" s="2" t="s">
        <v>9206</v>
      </c>
      <c r="S1072" s="2" t="s">
        <v>1506</v>
      </c>
      <c r="T1072" s="2">
        <v>52.0</v>
      </c>
      <c r="AO1072" s="2" t="s">
        <v>1368</v>
      </c>
    </row>
    <row r="1073" ht="15.75" customHeight="1">
      <c r="A1073" s="2" t="s">
        <v>9207</v>
      </c>
      <c r="B1073" s="2" t="s">
        <v>1361</v>
      </c>
      <c r="C1073" s="2">
        <v>2008.0</v>
      </c>
      <c r="D1073" s="2" t="s">
        <v>9198</v>
      </c>
      <c r="E1073" s="2" t="s">
        <v>9208</v>
      </c>
      <c r="F1073" s="2" t="s">
        <v>3274</v>
      </c>
      <c r="J1073" s="12" t="str">
        <f>VLOOKUP(I1073,'Copy of Enriched Data - IPBES G'!$L$2:$L$229,1,false)</f>
        <v>#N/A</v>
      </c>
      <c r="M1073" s="2" t="s">
        <v>1458</v>
      </c>
      <c r="N1073" s="2" t="s">
        <v>9209</v>
      </c>
      <c r="O1073" s="2" t="s">
        <v>9210</v>
      </c>
      <c r="Q1073" s="2" t="s">
        <v>9211</v>
      </c>
      <c r="AO1073" s="2" t="s">
        <v>1368</v>
      </c>
    </row>
    <row r="1074" ht="15.75" customHeight="1">
      <c r="A1074" s="2" t="s">
        <v>9212</v>
      </c>
      <c r="B1074" s="2" t="s">
        <v>1361</v>
      </c>
      <c r="C1074" s="2">
        <v>2003.0</v>
      </c>
      <c r="D1074" s="2" t="s">
        <v>9213</v>
      </c>
      <c r="E1074" s="2" t="s">
        <v>9214</v>
      </c>
      <c r="F1074" s="2" t="s">
        <v>9215</v>
      </c>
      <c r="I1074" s="2" t="s">
        <v>9216</v>
      </c>
      <c r="J1074" s="12" t="str">
        <f>VLOOKUP(I1074,'Copy of Enriched Data - IPBES G'!$L$2:$L$229,1,false)</f>
        <v>#N/A</v>
      </c>
      <c r="M1074" s="2" t="s">
        <v>1606</v>
      </c>
      <c r="N1074" s="2" t="s">
        <v>9217</v>
      </c>
      <c r="O1074" s="2" t="s">
        <v>9218</v>
      </c>
      <c r="Q1074" s="2" t="s">
        <v>9219</v>
      </c>
      <c r="S1074" s="2" t="s">
        <v>1462</v>
      </c>
      <c r="T1074" s="2">
        <v>67.0</v>
      </c>
      <c r="AO1074" s="2" t="s">
        <v>1368</v>
      </c>
    </row>
    <row r="1075" ht="15.75" customHeight="1">
      <c r="A1075" s="2" t="s">
        <v>9220</v>
      </c>
      <c r="B1075" s="2" t="s">
        <v>1361</v>
      </c>
      <c r="C1075" s="2">
        <v>1999.0</v>
      </c>
      <c r="D1075" s="2" t="s">
        <v>9221</v>
      </c>
      <c r="E1075" s="2" t="s">
        <v>9222</v>
      </c>
      <c r="F1075" s="2" t="s">
        <v>950</v>
      </c>
      <c r="J1075" s="12" t="str">
        <f>VLOOKUP(I1075,'Copy of Enriched Data - IPBES G'!$L$2:$L$229,1,false)</f>
        <v>#N/A</v>
      </c>
      <c r="M1075" s="2" t="s">
        <v>1434</v>
      </c>
      <c r="N1075" s="2" t="s">
        <v>9223</v>
      </c>
      <c r="O1075" s="2" t="s">
        <v>9224</v>
      </c>
      <c r="Q1075" s="2" t="s">
        <v>9225</v>
      </c>
      <c r="AO1075" s="2" t="s">
        <v>1368</v>
      </c>
    </row>
    <row r="1076" ht="15.75" customHeight="1">
      <c r="A1076" s="2" t="s">
        <v>9226</v>
      </c>
      <c r="B1076" s="2" t="s">
        <v>1361</v>
      </c>
      <c r="C1076" s="2">
        <v>2009.0</v>
      </c>
      <c r="D1076" s="2" t="s">
        <v>9227</v>
      </c>
      <c r="E1076" s="2" t="s">
        <v>9228</v>
      </c>
      <c r="F1076" s="2" t="s">
        <v>2525</v>
      </c>
      <c r="I1076" s="2" t="s">
        <v>9229</v>
      </c>
      <c r="J1076" s="12" t="str">
        <f>VLOOKUP(I1076,'Copy of Enriched Data - IPBES G'!$L$2:$L$229,1,false)</f>
        <v>#N/A</v>
      </c>
      <c r="M1076" s="2" t="s">
        <v>1364</v>
      </c>
      <c r="N1076" s="2" t="s">
        <v>9230</v>
      </c>
      <c r="O1076" s="2" t="s">
        <v>9231</v>
      </c>
      <c r="Q1076" s="2" t="s">
        <v>9232</v>
      </c>
      <c r="S1076" s="2" t="s">
        <v>1462</v>
      </c>
      <c r="T1076" s="2">
        <v>19.0</v>
      </c>
      <c r="AO1076" s="2" t="s">
        <v>1368</v>
      </c>
    </row>
    <row r="1077" ht="15.75" customHeight="1">
      <c r="A1077" s="2" t="s">
        <v>9233</v>
      </c>
      <c r="B1077" s="2" t="s">
        <v>1361</v>
      </c>
      <c r="C1077" s="2">
        <v>2014.0</v>
      </c>
      <c r="D1077" s="2" t="s">
        <v>9234</v>
      </c>
      <c r="E1077" s="2" t="s">
        <v>9235</v>
      </c>
      <c r="F1077" s="2" t="s">
        <v>4137</v>
      </c>
      <c r="I1077" s="2" t="s">
        <v>9236</v>
      </c>
      <c r="J1077" s="12" t="str">
        <f>VLOOKUP(I1077,'Copy of Enriched Data - IPBES G'!$L$2:$L$229,1,false)</f>
        <v>#N/A</v>
      </c>
      <c r="M1077" s="2" t="s">
        <v>1476</v>
      </c>
      <c r="N1077" s="2" t="s">
        <v>9237</v>
      </c>
      <c r="O1077" s="2" t="s">
        <v>9238</v>
      </c>
      <c r="Q1077" s="2" t="s">
        <v>4248</v>
      </c>
      <c r="T1077" s="2">
        <v>145.0</v>
      </c>
      <c r="AO1077" s="2" t="s">
        <v>1368</v>
      </c>
    </row>
    <row r="1078" ht="15.75" customHeight="1">
      <c r="A1078" s="2" t="s">
        <v>9239</v>
      </c>
      <c r="B1078" s="2" t="s">
        <v>1361</v>
      </c>
      <c r="C1078" s="2">
        <v>2012.0</v>
      </c>
      <c r="D1078" s="2" t="s">
        <v>9240</v>
      </c>
      <c r="E1078" s="2" t="s">
        <v>9241</v>
      </c>
      <c r="F1078" s="2" t="s">
        <v>9242</v>
      </c>
      <c r="H1078" s="2" t="s">
        <v>9243</v>
      </c>
      <c r="J1078" s="12" t="str">
        <f>VLOOKUP(I1078,'Copy of Enriched Data - IPBES G'!$L$2:$L$229,1,false)</f>
        <v>#N/A</v>
      </c>
      <c r="M1078" s="2" t="s">
        <v>1405</v>
      </c>
      <c r="N1078" s="2" t="s">
        <v>4754</v>
      </c>
      <c r="O1078" s="2" t="s">
        <v>4755</v>
      </c>
      <c r="Q1078" s="2" t="s">
        <v>9244</v>
      </c>
      <c r="T1078" s="2">
        <v>74.0</v>
      </c>
      <c r="AO1078" s="2" t="s">
        <v>1368</v>
      </c>
    </row>
    <row r="1079" ht="15.75" customHeight="1">
      <c r="A1079" s="2" t="s">
        <v>9245</v>
      </c>
      <c r="B1079" s="2" t="s">
        <v>1361</v>
      </c>
      <c r="C1079" s="2">
        <v>2002.0</v>
      </c>
      <c r="D1079" s="2" t="s">
        <v>9246</v>
      </c>
      <c r="E1079" s="2" t="s">
        <v>9247</v>
      </c>
      <c r="F1079" s="2" t="s">
        <v>3632</v>
      </c>
      <c r="H1079" s="2" t="s">
        <v>3633</v>
      </c>
      <c r="J1079" s="12" t="str">
        <f>VLOOKUP(I1079,'Copy of Enriched Data - IPBES G'!$L$2:$L$229,1,false)</f>
        <v>#N/A</v>
      </c>
      <c r="M1079" s="2" t="s">
        <v>1493</v>
      </c>
      <c r="N1079" s="2" t="s">
        <v>7996</v>
      </c>
      <c r="O1079" s="2" t="s">
        <v>7997</v>
      </c>
      <c r="Q1079" s="2" t="s">
        <v>9248</v>
      </c>
      <c r="S1079" s="2" t="s">
        <v>1506</v>
      </c>
      <c r="T1079" s="2">
        <v>28.0</v>
      </c>
      <c r="AO1079" s="2" t="s">
        <v>1368</v>
      </c>
    </row>
    <row r="1080" ht="15.75" customHeight="1">
      <c r="A1080" s="2" t="s">
        <v>9249</v>
      </c>
      <c r="B1080" s="2" t="s">
        <v>1361</v>
      </c>
      <c r="C1080" s="2">
        <v>2018.0</v>
      </c>
      <c r="D1080" s="2" t="s">
        <v>9250</v>
      </c>
      <c r="E1080" s="2" t="s">
        <v>9251</v>
      </c>
      <c r="F1080" s="2" t="s">
        <v>1707</v>
      </c>
      <c r="H1080" s="2" t="s">
        <v>1708</v>
      </c>
      <c r="I1080" s="2" t="s">
        <v>9252</v>
      </c>
      <c r="J1080" s="12" t="str">
        <f>VLOOKUP(I1080,'Copy of Enriched Data - IPBES G'!$L$2:$L$229,1,false)</f>
        <v>#N/A</v>
      </c>
      <c r="K1080" s="2" t="s">
        <v>9253</v>
      </c>
      <c r="M1080" s="2" t="s">
        <v>2909</v>
      </c>
      <c r="N1080" s="2" t="s">
        <v>9254</v>
      </c>
      <c r="O1080" s="2" t="s">
        <v>9255</v>
      </c>
      <c r="P1080" s="2" t="s">
        <v>2862</v>
      </c>
      <c r="Q1080" s="2" t="s">
        <v>9256</v>
      </c>
      <c r="S1080" s="2" t="s">
        <v>1443</v>
      </c>
      <c r="T1080" s="2">
        <v>2.0</v>
      </c>
      <c r="V1080" s="2" t="s">
        <v>2888</v>
      </c>
      <c r="AD1080" s="2" t="s">
        <v>1540</v>
      </c>
      <c r="AI1080" s="2" t="s">
        <v>1541</v>
      </c>
      <c r="AO1080" s="2" t="s">
        <v>1885</v>
      </c>
    </row>
    <row r="1081" ht="15.75" customHeight="1">
      <c r="A1081" s="2" t="s">
        <v>9257</v>
      </c>
      <c r="B1081" s="2" t="s">
        <v>1361</v>
      </c>
      <c r="C1081" s="2">
        <v>2005.0</v>
      </c>
      <c r="D1081" s="2" t="s">
        <v>9258</v>
      </c>
      <c r="E1081" s="2" t="s">
        <v>9259</v>
      </c>
      <c r="F1081" s="2" t="s">
        <v>9260</v>
      </c>
      <c r="H1081" s="2" t="s">
        <v>9261</v>
      </c>
      <c r="I1081" s="2" t="s">
        <v>9262</v>
      </c>
      <c r="J1081" s="12" t="str">
        <f>VLOOKUP(I1081,'Copy of Enriched Data - IPBES G'!$L$2:$L$229,1,false)</f>
        <v>#N/A</v>
      </c>
      <c r="K1081" s="2" t="s">
        <v>9263</v>
      </c>
      <c r="L1081" s="2" t="s">
        <v>9264</v>
      </c>
      <c r="M1081" s="2" t="s">
        <v>9265</v>
      </c>
      <c r="N1081" s="2" t="s">
        <v>9266</v>
      </c>
      <c r="O1081" s="2" t="s">
        <v>9267</v>
      </c>
      <c r="P1081" s="2" t="s">
        <v>9268</v>
      </c>
      <c r="Q1081" s="2" t="s">
        <v>9269</v>
      </c>
      <c r="S1081" s="2" t="s">
        <v>1462</v>
      </c>
      <c r="T1081" s="2">
        <v>34.0</v>
      </c>
      <c r="V1081" s="2" t="s">
        <v>9270</v>
      </c>
      <c r="AD1081" s="2" t="s">
        <v>1540</v>
      </c>
      <c r="AI1081" s="2" t="s">
        <v>1541</v>
      </c>
      <c r="AO1081" s="2" t="s">
        <v>8021</v>
      </c>
    </row>
    <row r="1082" ht="15.75" customHeight="1">
      <c r="A1082" s="2" t="s">
        <v>9271</v>
      </c>
      <c r="B1082" s="2" t="s">
        <v>1361</v>
      </c>
      <c r="C1082" s="2">
        <v>2016.0</v>
      </c>
      <c r="D1082" s="2" t="s">
        <v>9272</v>
      </c>
      <c r="E1082" s="2" t="s">
        <v>9273</v>
      </c>
      <c r="F1082" s="2" t="s">
        <v>7296</v>
      </c>
      <c r="H1082" s="2" t="s">
        <v>9274</v>
      </c>
      <c r="I1082" s="2" t="s">
        <v>9275</v>
      </c>
      <c r="J1082" s="12" t="str">
        <f>VLOOKUP(I1082,'Copy of Enriched Data - IPBES G'!$L$2:$L$229,1,false)</f>
        <v>#N/A</v>
      </c>
      <c r="K1082" s="2" t="s">
        <v>9276</v>
      </c>
      <c r="M1082" s="2" t="s">
        <v>9277</v>
      </c>
      <c r="N1082" s="2" t="s">
        <v>9278</v>
      </c>
      <c r="O1082" s="2" t="s">
        <v>9279</v>
      </c>
      <c r="P1082" s="2" t="s">
        <v>5916</v>
      </c>
      <c r="Q1082" s="2" t="s">
        <v>9280</v>
      </c>
      <c r="S1082" s="2" t="s">
        <v>1600</v>
      </c>
      <c r="T1082" s="2">
        <v>43.0</v>
      </c>
      <c r="V1082" s="2" t="s">
        <v>7296</v>
      </c>
      <c r="AD1082" s="2" t="s">
        <v>1540</v>
      </c>
      <c r="AI1082" s="2" t="s">
        <v>1541</v>
      </c>
      <c r="AO1082" s="2" t="s">
        <v>8021</v>
      </c>
    </row>
    <row r="1083" ht="15.75" customHeight="1">
      <c r="A1083" s="2" t="s">
        <v>9281</v>
      </c>
      <c r="B1083" s="2" t="s">
        <v>1361</v>
      </c>
      <c r="C1083" s="2">
        <v>2011.0</v>
      </c>
      <c r="D1083" s="2" t="s">
        <v>9282</v>
      </c>
      <c r="E1083" s="2" t="s">
        <v>9283</v>
      </c>
      <c r="F1083" s="2" t="s">
        <v>9284</v>
      </c>
      <c r="H1083" s="2" t="s">
        <v>9285</v>
      </c>
      <c r="I1083" s="2" t="s">
        <v>9286</v>
      </c>
      <c r="J1083" s="12" t="str">
        <f>VLOOKUP(I1083,'Copy of Enriched Data - IPBES G'!$L$2:$L$229,1,false)</f>
        <v>#N/A</v>
      </c>
      <c r="K1083" s="2" t="s">
        <v>9287</v>
      </c>
      <c r="L1083" s="2" t="s">
        <v>9288</v>
      </c>
      <c r="M1083" s="2" t="s">
        <v>9289</v>
      </c>
      <c r="N1083" s="2" t="s">
        <v>9290</v>
      </c>
      <c r="O1083" s="2" t="s">
        <v>9291</v>
      </c>
      <c r="P1083" s="2" t="s">
        <v>9292</v>
      </c>
      <c r="Q1083" s="2" t="s">
        <v>2899</v>
      </c>
      <c r="S1083" s="2" t="s">
        <v>1462</v>
      </c>
      <c r="T1083" s="2">
        <v>7.0</v>
      </c>
      <c r="V1083" s="2" t="s">
        <v>9293</v>
      </c>
      <c r="W1083" s="2" t="s">
        <v>9294</v>
      </c>
      <c r="AD1083" s="2" t="s">
        <v>1540</v>
      </c>
      <c r="AI1083" s="2" t="s">
        <v>1541</v>
      </c>
      <c r="AO1083" s="2" t="s">
        <v>8021</v>
      </c>
    </row>
    <row r="1084" ht="15.75" customHeight="1">
      <c r="A1084" s="2" t="s">
        <v>9295</v>
      </c>
      <c r="B1084" s="2" t="s">
        <v>1396</v>
      </c>
      <c r="C1084" s="2">
        <v>2002.0</v>
      </c>
      <c r="D1084" s="2" t="s">
        <v>9296</v>
      </c>
      <c r="E1084" s="2" t="s">
        <v>9297</v>
      </c>
      <c r="J1084" s="12" t="str">
        <f>VLOOKUP(I1084,'Copy of Enriched Data - IPBES G'!$L$2:$L$229,1,false)</f>
        <v>#N/A</v>
      </c>
      <c r="K1084" s="2" t="s">
        <v>9298</v>
      </c>
      <c r="M1084" s="2" t="s">
        <v>1493</v>
      </c>
      <c r="N1084" s="2" t="s">
        <v>9299</v>
      </c>
      <c r="O1084" s="2" t="s">
        <v>9300</v>
      </c>
      <c r="AB1084" s="2" t="s">
        <v>9301</v>
      </c>
      <c r="AD1084" s="2" t="s">
        <v>1540</v>
      </c>
      <c r="AO1084" s="2" t="s">
        <v>9302</v>
      </c>
    </row>
    <row r="1085" ht="15.75" customHeight="1">
      <c r="A1085" s="2" t="s">
        <v>9303</v>
      </c>
      <c r="B1085" s="2" t="s">
        <v>1623</v>
      </c>
      <c r="C1085" s="2">
        <v>1992.0</v>
      </c>
      <c r="D1085" s="2" t="s">
        <v>9304</v>
      </c>
      <c r="E1085" s="2" t="s">
        <v>9305</v>
      </c>
      <c r="J1085" s="12" t="str">
        <f>VLOOKUP(I1085,'Copy of Enriched Data - IPBES G'!$L$2:$L$229,1,false)</f>
        <v>#N/A</v>
      </c>
      <c r="K1085" s="2" t="s">
        <v>9306</v>
      </c>
      <c r="M1085" s="2" t="s">
        <v>3458</v>
      </c>
      <c r="N1085" s="2" t="s">
        <v>9307</v>
      </c>
      <c r="O1085" s="2" t="s">
        <v>9308</v>
      </c>
      <c r="Q1085" s="2" t="s">
        <v>9309</v>
      </c>
      <c r="AO1085" s="2" t="s">
        <v>1609</v>
      </c>
    </row>
    <row r="1086" ht="15.75" customHeight="1">
      <c r="A1086" s="2" t="s">
        <v>9316</v>
      </c>
      <c r="B1086" s="2" t="s">
        <v>1361</v>
      </c>
      <c r="C1086" s="2">
        <v>2011.0</v>
      </c>
      <c r="D1086" s="2" t="s">
        <v>9317</v>
      </c>
      <c r="E1086" s="2" t="s">
        <v>9318</v>
      </c>
      <c r="F1086" s="2" t="s">
        <v>9319</v>
      </c>
      <c r="H1086" s="2" t="s">
        <v>9320</v>
      </c>
      <c r="I1086" s="2" t="s">
        <v>9321</v>
      </c>
      <c r="J1086" s="12" t="str">
        <f>VLOOKUP(I1086,'Copy of Enriched Data - IPBES G'!$L$2:$L$229,1,false)</f>
        <v>#N/A</v>
      </c>
      <c r="K1086" s="2" t="s">
        <v>9322</v>
      </c>
      <c r="M1086" s="2" t="s">
        <v>9323</v>
      </c>
      <c r="N1086" s="2" t="s">
        <v>9324</v>
      </c>
      <c r="O1086" s="2" t="s">
        <v>9325</v>
      </c>
      <c r="P1086" s="2" t="s">
        <v>9326</v>
      </c>
      <c r="Q1086" s="2" t="s">
        <v>9327</v>
      </c>
      <c r="S1086" s="2" t="s">
        <v>1462</v>
      </c>
      <c r="T1086" s="2">
        <v>16.0</v>
      </c>
      <c r="V1086" s="2" t="s">
        <v>9319</v>
      </c>
      <c r="W1086" s="2" t="s">
        <v>9328</v>
      </c>
      <c r="AD1086" s="2" t="s">
        <v>1540</v>
      </c>
      <c r="AI1086" s="2" t="s">
        <v>1541</v>
      </c>
      <c r="AO1086" s="2" t="s">
        <v>1885</v>
      </c>
    </row>
    <row r="1087" ht="15.75" customHeight="1">
      <c r="A1087" s="2" t="s">
        <v>9329</v>
      </c>
      <c r="B1087" s="2" t="s">
        <v>1361</v>
      </c>
      <c r="C1087" s="2">
        <v>2009.0</v>
      </c>
      <c r="D1087" s="2" t="s">
        <v>9330</v>
      </c>
      <c r="E1087" s="2" t="s">
        <v>9331</v>
      </c>
      <c r="F1087" s="2" t="s">
        <v>9332</v>
      </c>
      <c r="H1087" s="2" t="s">
        <v>9333</v>
      </c>
      <c r="I1087" s="2" t="s">
        <v>9334</v>
      </c>
      <c r="J1087" s="12" t="str">
        <f>VLOOKUP(I1087,'Copy of Enriched Data - IPBES G'!$L$2:$L$229,1,false)</f>
        <v>#N/A</v>
      </c>
      <c r="L1087" s="2" t="s">
        <v>9335</v>
      </c>
      <c r="M1087" s="2" t="s">
        <v>1364</v>
      </c>
      <c r="N1087" s="2" t="s">
        <v>1385</v>
      </c>
      <c r="O1087" s="2" t="s">
        <v>1386</v>
      </c>
      <c r="Q1087" s="2" t="s">
        <v>9336</v>
      </c>
      <c r="S1087" s="2" t="s">
        <v>1480</v>
      </c>
      <c r="T1087" s="2">
        <v>35.0</v>
      </c>
      <c r="AO1087" s="2" t="s">
        <v>1368</v>
      </c>
    </row>
    <row r="1088" ht="15.75" customHeight="1">
      <c r="A1088" s="2" t="s">
        <v>9343</v>
      </c>
      <c r="B1088" s="2" t="s">
        <v>1361</v>
      </c>
      <c r="C1088" s="2">
        <v>2014.0</v>
      </c>
      <c r="D1088" s="2" t="s">
        <v>9344</v>
      </c>
      <c r="E1088" s="2" t="s">
        <v>9345</v>
      </c>
      <c r="F1088" s="2" t="s">
        <v>1789</v>
      </c>
      <c r="H1088" s="2" t="s">
        <v>1790</v>
      </c>
      <c r="I1088" s="2" t="s">
        <v>9346</v>
      </c>
      <c r="J1088" s="12" t="str">
        <f>VLOOKUP(I1088,'Copy of Enriched Data - IPBES G'!$L$2:$L$229,1,false)</f>
        <v>#N/A</v>
      </c>
      <c r="L1088" s="2" t="s">
        <v>9347</v>
      </c>
      <c r="M1088" s="2" t="s">
        <v>1476</v>
      </c>
      <c r="N1088" s="2" t="s">
        <v>1385</v>
      </c>
      <c r="O1088" s="2" t="s">
        <v>1386</v>
      </c>
      <c r="AO1088" s="2" t="s">
        <v>1368</v>
      </c>
    </row>
    <row r="1089" ht="15.75" customHeight="1">
      <c r="A1089" s="2" t="s">
        <v>9348</v>
      </c>
      <c r="B1089" s="2" t="s">
        <v>1361</v>
      </c>
      <c r="C1089" s="2">
        <v>2014.0</v>
      </c>
      <c r="D1089" s="2" t="s">
        <v>9349</v>
      </c>
      <c r="E1089" s="2" t="s">
        <v>9350</v>
      </c>
      <c r="F1089" s="2" t="s">
        <v>1510</v>
      </c>
      <c r="H1089" s="2" t="s">
        <v>1546</v>
      </c>
      <c r="I1089" s="2" t="s">
        <v>9351</v>
      </c>
      <c r="J1089" s="12" t="str">
        <f>VLOOKUP(I1089,'Copy of Enriched Data - IPBES G'!$L$2:$L$229,1,false)</f>
        <v>#N/A</v>
      </c>
      <c r="K1089" s="2" t="s">
        <v>9352</v>
      </c>
      <c r="L1089" s="2" t="s">
        <v>9353</v>
      </c>
      <c r="M1089" s="2" t="s">
        <v>9354</v>
      </c>
      <c r="N1089" s="2" t="s">
        <v>1385</v>
      </c>
      <c r="O1089" s="2" t="s">
        <v>1386</v>
      </c>
      <c r="P1089" s="2" t="s">
        <v>2134</v>
      </c>
      <c r="Q1089" s="2" t="s">
        <v>9355</v>
      </c>
      <c r="S1089" s="2" t="s">
        <v>9356</v>
      </c>
      <c r="T1089" s="2">
        <v>345.0</v>
      </c>
      <c r="V1089" s="2" t="s">
        <v>1510</v>
      </c>
      <c r="AD1089" s="2" t="s">
        <v>1540</v>
      </c>
      <c r="AI1089" s="2" t="s">
        <v>1541</v>
      </c>
      <c r="AO1089" s="2" t="s">
        <v>1542</v>
      </c>
    </row>
    <row r="1090" ht="15.75" customHeight="1">
      <c r="A1090" s="2" t="s">
        <v>9357</v>
      </c>
      <c r="B1090" s="2" t="s">
        <v>1361</v>
      </c>
      <c r="C1090" s="2">
        <v>2016.0</v>
      </c>
      <c r="D1090" s="2" t="s">
        <v>9358</v>
      </c>
      <c r="E1090" s="2" t="s">
        <v>9359</v>
      </c>
      <c r="F1090" s="2" t="s">
        <v>9360</v>
      </c>
      <c r="H1090" s="2" t="s">
        <v>9361</v>
      </c>
      <c r="I1090" s="2" t="s">
        <v>9362</v>
      </c>
      <c r="J1090" s="12" t="str">
        <f>VLOOKUP(I1090,'Copy of Enriched Data - IPBES G'!$L$2:$L$229,1,false)</f>
        <v>#N/A</v>
      </c>
      <c r="L1090" s="2" t="s">
        <v>9363</v>
      </c>
      <c r="M1090" s="2" t="s">
        <v>1502</v>
      </c>
      <c r="N1090" s="2" t="s">
        <v>1385</v>
      </c>
      <c r="O1090" s="2" t="s">
        <v>1386</v>
      </c>
      <c r="Q1090" s="2" t="s">
        <v>2354</v>
      </c>
      <c r="S1090" s="2" t="s">
        <v>1453</v>
      </c>
      <c r="T1090" s="2">
        <v>24.0</v>
      </c>
      <c r="AO1090" s="2" t="s">
        <v>3748</v>
      </c>
    </row>
    <row r="1091" ht="15.75" customHeight="1">
      <c r="A1091" s="2" t="s">
        <v>9364</v>
      </c>
      <c r="B1091" s="2" t="s">
        <v>1361</v>
      </c>
      <c r="C1091" s="2">
        <v>2016.0</v>
      </c>
      <c r="D1091" s="2" t="s">
        <v>9365</v>
      </c>
      <c r="E1091" s="2" t="s">
        <v>9366</v>
      </c>
      <c r="F1091" s="2" t="s">
        <v>2053</v>
      </c>
      <c r="H1091" s="2" t="s">
        <v>8028</v>
      </c>
      <c r="I1091" s="2" t="s">
        <v>9367</v>
      </c>
      <c r="J1091" s="12" t="str">
        <f>VLOOKUP(I1091,'Copy of Enriched Data - IPBES G'!$L$2:$L$229,1,false)</f>
        <v>#N/A</v>
      </c>
      <c r="L1091" s="2" t="s">
        <v>9368</v>
      </c>
      <c r="M1091" s="2" t="s">
        <v>1502</v>
      </c>
      <c r="N1091" s="2" t="s">
        <v>1385</v>
      </c>
      <c r="O1091" s="2" t="s">
        <v>1386</v>
      </c>
      <c r="Q1091" s="2" t="s">
        <v>9369</v>
      </c>
      <c r="S1091" s="2" t="s">
        <v>1462</v>
      </c>
      <c r="T1091" s="2">
        <v>14.0</v>
      </c>
      <c r="AO1091" s="2" t="s">
        <v>1621</v>
      </c>
    </row>
    <row r="1092" ht="15.75" customHeight="1">
      <c r="A1092" s="2" t="s">
        <v>9370</v>
      </c>
      <c r="B1092" s="2" t="s">
        <v>1361</v>
      </c>
      <c r="C1092" s="2">
        <v>2017.0</v>
      </c>
      <c r="D1092" s="2" t="s">
        <v>9371</v>
      </c>
      <c r="E1092" s="2" t="s">
        <v>9372</v>
      </c>
      <c r="F1092" s="2" t="s">
        <v>1789</v>
      </c>
      <c r="H1092" s="2" t="s">
        <v>1790</v>
      </c>
      <c r="I1092" s="2" t="s">
        <v>9373</v>
      </c>
      <c r="J1092" s="12" t="str">
        <f>VLOOKUP(I1092,'Copy of Enriched Data - IPBES G'!$L$2:$L$229,1,false)</f>
        <v>#N/A</v>
      </c>
      <c r="L1092" s="2" t="s">
        <v>9374</v>
      </c>
      <c r="M1092" s="2" t="s">
        <v>1658</v>
      </c>
      <c r="N1092" s="2" t="s">
        <v>1385</v>
      </c>
      <c r="O1092" s="2" t="s">
        <v>1386</v>
      </c>
      <c r="Q1092" s="2" t="s">
        <v>9375</v>
      </c>
      <c r="S1092" s="2" t="s">
        <v>5633</v>
      </c>
      <c r="T1092" s="2">
        <v>47.0</v>
      </c>
      <c r="AO1092" s="2" t="s">
        <v>1368</v>
      </c>
    </row>
    <row r="1093" ht="15.75" customHeight="1">
      <c r="A1093" s="2" t="s">
        <v>9376</v>
      </c>
      <c r="B1093" s="2" t="s">
        <v>2986</v>
      </c>
      <c r="C1093" s="2">
        <v>2006.0</v>
      </c>
      <c r="D1093" s="2" t="s">
        <v>9377</v>
      </c>
      <c r="E1093" s="2" t="s">
        <v>9378</v>
      </c>
      <c r="F1093" s="2" t="s">
        <v>9379</v>
      </c>
      <c r="J1093" s="12" t="str">
        <f>VLOOKUP(I1093,'Copy of Enriched Data - IPBES G'!$L$2:$L$229,1,false)</f>
        <v>#N/A</v>
      </c>
      <c r="K1093" s="2" t="s">
        <v>9380</v>
      </c>
      <c r="M1093" s="2" t="s">
        <v>1727</v>
      </c>
      <c r="N1093" s="2" t="s">
        <v>1385</v>
      </c>
      <c r="O1093" s="2" t="s">
        <v>1386</v>
      </c>
      <c r="AO1093" s="2" t="s">
        <v>1368</v>
      </c>
    </row>
    <row r="1094" ht="15.75" customHeight="1">
      <c r="A1094" s="2" t="s">
        <v>9381</v>
      </c>
      <c r="B1094" s="2" t="s">
        <v>1396</v>
      </c>
      <c r="C1094" s="2">
        <v>1986.0</v>
      </c>
      <c r="D1094" s="2" t="s">
        <v>9382</v>
      </c>
      <c r="E1094" s="2" t="s">
        <v>9383</v>
      </c>
      <c r="J1094" s="12" t="str">
        <f>VLOOKUP(I1094,'Copy of Enriched Data - IPBES G'!$L$2:$L$229,1,false)</f>
        <v>#N/A</v>
      </c>
      <c r="M1094" s="2" t="s">
        <v>3288</v>
      </c>
      <c r="N1094" s="2" t="s">
        <v>1385</v>
      </c>
      <c r="O1094" s="2" t="s">
        <v>1386</v>
      </c>
      <c r="AB1094" s="2" t="s">
        <v>9384</v>
      </c>
      <c r="AO1094" s="2" t="s">
        <v>1368</v>
      </c>
    </row>
    <row r="1095" ht="15.75" customHeight="1">
      <c r="A1095" s="2" t="s">
        <v>9385</v>
      </c>
      <c r="B1095" s="2" t="s">
        <v>1623</v>
      </c>
      <c r="C1095" s="2">
        <v>2006.0</v>
      </c>
      <c r="D1095" s="2" t="s">
        <v>9386</v>
      </c>
      <c r="E1095" s="2" t="s">
        <v>9387</v>
      </c>
      <c r="J1095" s="12" t="str">
        <f>VLOOKUP(I1095,'Copy of Enriched Data - IPBES G'!$L$2:$L$229,1,false)</f>
        <v>#N/A</v>
      </c>
      <c r="M1095" s="2" t="s">
        <v>1727</v>
      </c>
      <c r="N1095" s="2" t="s">
        <v>1385</v>
      </c>
      <c r="O1095" s="2" t="s">
        <v>1386</v>
      </c>
      <c r="AB1095" s="2" t="s">
        <v>9388</v>
      </c>
      <c r="AC1095" s="2" t="s">
        <v>7543</v>
      </c>
      <c r="AO1095" s="2" t="s">
        <v>1368</v>
      </c>
    </row>
    <row r="1096" ht="15.75" customHeight="1">
      <c r="A1096" s="2" t="s">
        <v>9389</v>
      </c>
      <c r="B1096" s="2" t="s">
        <v>1766</v>
      </c>
      <c r="C1096" s="2">
        <v>2005.0</v>
      </c>
      <c r="D1096" s="2" t="s">
        <v>9390</v>
      </c>
      <c r="E1096" s="2" t="s">
        <v>9391</v>
      </c>
      <c r="F1096" s="2" t="s">
        <v>9392</v>
      </c>
      <c r="J1096" s="12" t="str">
        <f>VLOOKUP(I1096,'Copy of Enriched Data - IPBES G'!$L$2:$L$229,1,false)</f>
        <v>#N/A</v>
      </c>
      <c r="M1096" s="2" t="s">
        <v>1394</v>
      </c>
      <c r="N1096" s="2" t="s">
        <v>1385</v>
      </c>
      <c r="O1096" s="2" t="s">
        <v>1386</v>
      </c>
      <c r="Q1096" s="2" t="s">
        <v>9393</v>
      </c>
      <c r="AB1096" s="2" t="s">
        <v>2430</v>
      </c>
      <c r="AC1096" s="2" t="s">
        <v>9394</v>
      </c>
      <c r="AO1096" s="2" t="s">
        <v>1368</v>
      </c>
      <c r="AQ1096" s="2" t="s">
        <v>9395</v>
      </c>
    </row>
    <row r="1097" ht="15.75" customHeight="1">
      <c r="A1097" s="2" t="s">
        <v>9396</v>
      </c>
      <c r="B1097" s="2" t="s">
        <v>1361</v>
      </c>
      <c r="C1097" s="2">
        <v>1991.0</v>
      </c>
      <c r="D1097" s="2" t="s">
        <v>9397</v>
      </c>
      <c r="E1097" s="2" t="s">
        <v>9398</v>
      </c>
      <c r="F1097" s="2" t="s">
        <v>2205</v>
      </c>
      <c r="H1097" s="2" t="s">
        <v>2206</v>
      </c>
      <c r="I1097" s="2" t="s">
        <v>9399</v>
      </c>
      <c r="J1097" s="12" t="str">
        <f>VLOOKUP(I1097,'Copy of Enriched Data - IPBES G'!$L$2:$L$229,1,false)</f>
        <v>#N/A</v>
      </c>
      <c r="K1097" s="2" t="s">
        <v>9400</v>
      </c>
      <c r="M1097" s="2" t="s">
        <v>9401</v>
      </c>
      <c r="N1097" s="2" t="s">
        <v>1385</v>
      </c>
      <c r="O1097" s="2" t="s">
        <v>1386</v>
      </c>
      <c r="Q1097" s="2" t="s">
        <v>9402</v>
      </c>
      <c r="S1097" s="2" t="s">
        <v>1506</v>
      </c>
      <c r="T1097" s="2">
        <v>15.0</v>
      </c>
      <c r="AO1097" s="2" t="s">
        <v>1368</v>
      </c>
    </row>
    <row r="1098" ht="15.75" customHeight="1">
      <c r="A1098" s="2" t="s">
        <v>9403</v>
      </c>
      <c r="B1098" s="2" t="s">
        <v>1361</v>
      </c>
      <c r="C1098" s="2">
        <v>2018.0</v>
      </c>
      <c r="D1098" s="2" t="s">
        <v>9404</v>
      </c>
      <c r="E1098" s="2" t="s">
        <v>9405</v>
      </c>
      <c r="F1098" s="2" t="s">
        <v>1500</v>
      </c>
      <c r="H1098" s="2" t="s">
        <v>1643</v>
      </c>
      <c r="I1098" s="2" t="s">
        <v>9406</v>
      </c>
      <c r="J1098" s="12" t="str">
        <f>VLOOKUP(I1098,'Copy of Enriched Data - IPBES G'!$L$2:$L$229,1,false)</f>
        <v>#N/A</v>
      </c>
      <c r="K1098" s="2" t="s">
        <v>9407</v>
      </c>
      <c r="L1098" s="2" t="s">
        <v>9408</v>
      </c>
      <c r="M1098" s="2" t="s">
        <v>9409</v>
      </c>
      <c r="N1098" s="2" t="s">
        <v>1385</v>
      </c>
      <c r="O1098" s="2" t="s">
        <v>1386</v>
      </c>
      <c r="Q1098" s="2" t="s">
        <v>9410</v>
      </c>
      <c r="S1098" s="2" t="s">
        <v>1462</v>
      </c>
      <c r="T1098" s="2">
        <v>69.0</v>
      </c>
      <c r="AO1098" s="2" t="s">
        <v>1368</v>
      </c>
    </row>
    <row r="1099" ht="15.75" customHeight="1">
      <c r="A1099" s="2" t="s">
        <v>9411</v>
      </c>
      <c r="B1099" s="2" t="s">
        <v>1361</v>
      </c>
      <c r="C1099" s="2">
        <v>2016.0</v>
      </c>
      <c r="D1099" s="2" t="s">
        <v>9412</v>
      </c>
      <c r="E1099" s="2" t="s">
        <v>9413</v>
      </c>
      <c r="F1099" s="2" t="s">
        <v>1510</v>
      </c>
      <c r="H1099" s="2" t="s">
        <v>1511</v>
      </c>
      <c r="I1099" s="2" t="s">
        <v>9414</v>
      </c>
      <c r="J1099" s="12" t="str">
        <f>VLOOKUP(I1099,'Copy of Enriched Data - IPBES G'!$L$2:$L$229,1,false)</f>
        <v>#N/A</v>
      </c>
      <c r="K1099" s="2" t="s">
        <v>9415</v>
      </c>
      <c r="M1099" s="2" t="s">
        <v>6155</v>
      </c>
      <c r="N1099" s="2" t="s">
        <v>1385</v>
      </c>
      <c r="O1099" s="2" t="s">
        <v>1386</v>
      </c>
      <c r="Q1099" s="2" t="s">
        <v>9416</v>
      </c>
      <c r="S1099" s="2" t="s">
        <v>9417</v>
      </c>
      <c r="T1099" s="2">
        <v>351.0</v>
      </c>
      <c r="AO1099" s="2" t="s">
        <v>1368</v>
      </c>
    </row>
    <row r="1100" ht="15.75" customHeight="1">
      <c r="A1100" s="2" t="s">
        <v>9418</v>
      </c>
      <c r="B1100" s="2" t="s">
        <v>1396</v>
      </c>
      <c r="C1100" s="2">
        <v>2014.0</v>
      </c>
      <c r="D1100" s="2" t="s">
        <v>9419</v>
      </c>
      <c r="E1100" s="2" t="s">
        <v>9420</v>
      </c>
      <c r="J1100" s="12" t="str">
        <f>VLOOKUP(I1100,'Copy of Enriched Data - IPBES G'!$L$2:$L$229,1,false)</f>
        <v>#N/A</v>
      </c>
      <c r="M1100" s="2" t="s">
        <v>1476</v>
      </c>
      <c r="N1100" s="2" t="s">
        <v>1385</v>
      </c>
      <c r="O1100" s="2" t="s">
        <v>1386</v>
      </c>
      <c r="AO1100" s="2" t="s">
        <v>1368</v>
      </c>
    </row>
    <row r="1101" ht="15.75" customHeight="1">
      <c r="A1101" s="2" t="s">
        <v>9421</v>
      </c>
      <c r="B1101" s="2" t="s">
        <v>1766</v>
      </c>
      <c r="C1101" s="2">
        <v>2016.0</v>
      </c>
      <c r="D1101" s="2" t="s">
        <v>9422</v>
      </c>
      <c r="E1101" s="2" t="s">
        <v>9423</v>
      </c>
      <c r="F1101" s="2" t="s">
        <v>9424</v>
      </c>
      <c r="J1101" s="12" t="str">
        <f>VLOOKUP(I1101,'Copy of Enriched Data - IPBES G'!$L$2:$L$229,1,false)</f>
        <v>#N/A</v>
      </c>
      <c r="M1101" s="2" t="s">
        <v>1502</v>
      </c>
      <c r="N1101" s="2" t="s">
        <v>1385</v>
      </c>
      <c r="O1101" s="2" t="s">
        <v>1386</v>
      </c>
      <c r="Q1101" s="2" t="s">
        <v>9425</v>
      </c>
      <c r="AB1101" s="2" t="s">
        <v>2409</v>
      </c>
      <c r="AC1101" s="2" t="s">
        <v>2410</v>
      </c>
      <c r="AO1101" s="2" t="s">
        <v>1368</v>
      </c>
      <c r="AQ1101" s="2" t="s">
        <v>2411</v>
      </c>
    </row>
    <row r="1102" ht="15.75" customHeight="1">
      <c r="A1102" s="2" t="s">
        <v>9426</v>
      </c>
      <c r="B1102" s="2" t="s">
        <v>1396</v>
      </c>
      <c r="C1102" s="2">
        <v>2014.0</v>
      </c>
      <c r="D1102" s="2" t="s">
        <v>9427</v>
      </c>
      <c r="E1102" s="2" t="s">
        <v>9428</v>
      </c>
      <c r="J1102" s="12" t="str">
        <f>VLOOKUP(I1102,'Copy of Enriched Data - IPBES G'!$L$2:$L$229,1,false)</f>
        <v>#N/A</v>
      </c>
      <c r="K1102" s="2" t="s">
        <v>9429</v>
      </c>
      <c r="M1102" s="2" t="s">
        <v>1476</v>
      </c>
      <c r="N1102" s="2" t="s">
        <v>1385</v>
      </c>
      <c r="O1102" s="2" t="s">
        <v>1386</v>
      </c>
      <c r="AB1102" s="2" t="s">
        <v>9430</v>
      </c>
      <c r="AC1102" s="2" t="s">
        <v>9431</v>
      </c>
      <c r="AO1102" s="2" t="s">
        <v>1368</v>
      </c>
    </row>
    <row r="1103" ht="15.75" customHeight="1">
      <c r="A1103" s="2" t="s">
        <v>9432</v>
      </c>
      <c r="B1103" s="2" t="s">
        <v>1361</v>
      </c>
      <c r="C1103" s="2">
        <v>1996.0</v>
      </c>
      <c r="D1103" s="2" t="s">
        <v>9433</v>
      </c>
      <c r="E1103" s="2" t="s">
        <v>9434</v>
      </c>
      <c r="F1103" s="2" t="s">
        <v>9435</v>
      </c>
      <c r="H1103" s="2" t="s">
        <v>9436</v>
      </c>
      <c r="I1103" s="2" t="s">
        <v>9437</v>
      </c>
      <c r="J1103" s="12" t="str">
        <f>VLOOKUP(I1103,'Copy of Enriched Data - IPBES G'!$L$2:$L$229,1,false)</f>
        <v>#N/A</v>
      </c>
      <c r="M1103" s="2" t="s">
        <v>9438</v>
      </c>
      <c r="N1103" s="2" t="s">
        <v>1385</v>
      </c>
      <c r="O1103" s="2" t="s">
        <v>1386</v>
      </c>
      <c r="Q1103" s="2" t="s">
        <v>9439</v>
      </c>
      <c r="S1103" s="2" t="s">
        <v>1600</v>
      </c>
      <c r="T1103" s="2">
        <v>1.0</v>
      </c>
      <c r="AO1103" s="2" t="s">
        <v>1368</v>
      </c>
    </row>
    <row r="1104" ht="15.75" customHeight="1">
      <c r="A1104" s="2" t="s">
        <v>9440</v>
      </c>
      <c r="B1104" s="2" t="s">
        <v>1781</v>
      </c>
      <c r="C1104" s="2">
        <v>2009.0</v>
      </c>
      <c r="D1104" s="2" t="s">
        <v>9441</v>
      </c>
      <c r="E1104" s="2" t="s">
        <v>9442</v>
      </c>
      <c r="J1104" s="12" t="str">
        <f>VLOOKUP(I1104,'Copy of Enriched Data - IPBES G'!$L$2:$L$229,1,false)</f>
        <v>#N/A</v>
      </c>
      <c r="L1104" s="2" t="s">
        <v>9443</v>
      </c>
      <c r="M1104" s="2" t="s">
        <v>1364</v>
      </c>
      <c r="N1104" s="2" t="s">
        <v>1385</v>
      </c>
      <c r="O1104" s="2" t="s">
        <v>1386</v>
      </c>
      <c r="AC1104" s="2" t="s">
        <v>7530</v>
      </c>
      <c r="AO1104" s="2" t="s">
        <v>1368</v>
      </c>
    </row>
    <row r="1105" ht="15.75" customHeight="1">
      <c r="A1105" s="2" t="s">
        <v>9444</v>
      </c>
      <c r="B1105" s="2" t="s">
        <v>1396</v>
      </c>
      <c r="C1105" s="2">
        <v>2010.0</v>
      </c>
      <c r="D1105" s="2" t="s">
        <v>9445</v>
      </c>
      <c r="E1105" s="2" t="s">
        <v>9446</v>
      </c>
      <c r="J1105" s="12" t="str">
        <f>VLOOKUP(I1105,'Copy of Enriched Data - IPBES G'!$L$2:$L$229,1,false)</f>
        <v>#N/A</v>
      </c>
      <c r="M1105" s="2" t="s">
        <v>1449</v>
      </c>
      <c r="N1105" s="2" t="s">
        <v>1385</v>
      </c>
      <c r="O1105" s="2" t="s">
        <v>1386</v>
      </c>
      <c r="AB1105" s="2" t="s">
        <v>9447</v>
      </c>
      <c r="AC1105" s="2" t="s">
        <v>4458</v>
      </c>
      <c r="AO1105" s="2" t="s">
        <v>1368</v>
      </c>
    </row>
    <row r="1106" ht="15.75" customHeight="1">
      <c r="A1106" s="2" t="s">
        <v>9448</v>
      </c>
      <c r="B1106" s="2" t="s">
        <v>1396</v>
      </c>
      <c r="C1106" s="2">
        <v>2007.0</v>
      </c>
      <c r="D1106" s="2" t="s">
        <v>9449</v>
      </c>
      <c r="E1106" s="2" t="s">
        <v>9450</v>
      </c>
      <c r="J1106" s="12" t="str">
        <f>VLOOKUP(I1106,'Copy of Enriched Data - IPBES G'!$L$2:$L$229,1,false)</f>
        <v>#N/A</v>
      </c>
      <c r="M1106" s="2" t="s">
        <v>2380</v>
      </c>
      <c r="N1106" s="2" t="s">
        <v>1385</v>
      </c>
      <c r="O1106" s="2" t="s">
        <v>1386</v>
      </c>
      <c r="AB1106" s="2" t="s">
        <v>9451</v>
      </c>
      <c r="AO1106" s="2" t="s">
        <v>1368</v>
      </c>
    </row>
    <row r="1107" ht="15.75" customHeight="1">
      <c r="A1107" s="2" t="s">
        <v>9452</v>
      </c>
      <c r="B1107" s="2" t="s">
        <v>1396</v>
      </c>
      <c r="C1107" s="2">
        <v>2006.0</v>
      </c>
      <c r="D1107" s="2" t="s">
        <v>9445</v>
      </c>
      <c r="E1107" s="2" t="s">
        <v>9453</v>
      </c>
      <c r="J1107" s="12" t="str">
        <f>VLOOKUP(I1107,'Copy of Enriched Data - IPBES G'!$L$2:$L$229,1,false)</f>
        <v>#N/A</v>
      </c>
      <c r="M1107" s="2" t="s">
        <v>1727</v>
      </c>
      <c r="N1107" s="2" t="s">
        <v>1385</v>
      </c>
      <c r="O1107" s="2" t="s">
        <v>1386</v>
      </c>
      <c r="AB1107" s="2" t="s">
        <v>9447</v>
      </c>
      <c r="AC1107" s="2" t="s">
        <v>4458</v>
      </c>
      <c r="AO1107" s="2" t="s">
        <v>1368</v>
      </c>
    </row>
    <row r="1108" ht="15.75" customHeight="1">
      <c r="A1108" s="2" t="s">
        <v>9454</v>
      </c>
      <c r="B1108" s="2" t="s">
        <v>1361</v>
      </c>
      <c r="C1108" s="2">
        <v>2009.0</v>
      </c>
      <c r="D1108" s="2" t="s">
        <v>9455</v>
      </c>
      <c r="E1108" s="2" t="s">
        <v>9456</v>
      </c>
      <c r="F1108" s="2" t="s">
        <v>1425</v>
      </c>
      <c r="H1108" s="2" t="s">
        <v>1426</v>
      </c>
      <c r="I1108" s="2" t="s">
        <v>9457</v>
      </c>
      <c r="J1108" s="12" t="str">
        <f>VLOOKUP(I1108,'Copy of Enriched Data - IPBES G'!$L$2:$L$229,1,false)</f>
        <v>#N/A</v>
      </c>
      <c r="L1108" s="2" t="s">
        <v>9458</v>
      </c>
      <c r="M1108" s="2" t="s">
        <v>1364</v>
      </c>
      <c r="N1108" s="2" t="s">
        <v>1385</v>
      </c>
      <c r="O1108" s="2" t="s">
        <v>1386</v>
      </c>
      <c r="Q1108" s="2" t="s">
        <v>9459</v>
      </c>
      <c r="S1108" s="2" t="s">
        <v>1600</v>
      </c>
      <c r="T1108" s="2">
        <v>57.0</v>
      </c>
      <c r="AO1108" s="2" t="s">
        <v>1368</v>
      </c>
    </row>
    <row r="1109" ht="15.75" customHeight="1">
      <c r="A1109" s="2" t="s">
        <v>9460</v>
      </c>
      <c r="B1109" s="2" t="s">
        <v>1361</v>
      </c>
      <c r="C1109" s="2">
        <v>2002.0</v>
      </c>
      <c r="D1109" s="2" t="s">
        <v>9461</v>
      </c>
      <c r="E1109" s="2" t="s">
        <v>9462</v>
      </c>
      <c r="F1109" s="2" t="s">
        <v>9463</v>
      </c>
      <c r="H1109" s="2" t="s">
        <v>9464</v>
      </c>
      <c r="I1109" s="2" t="s">
        <v>9465</v>
      </c>
      <c r="J1109" s="12" t="str">
        <f>VLOOKUP(I1109,'Copy of Enriched Data - IPBES G'!$L$2:$L$229,1,false)</f>
        <v>#N/A</v>
      </c>
      <c r="M1109" s="2" t="s">
        <v>8810</v>
      </c>
      <c r="N1109" s="2" t="s">
        <v>1385</v>
      </c>
      <c r="O1109" s="2" t="s">
        <v>1386</v>
      </c>
      <c r="Q1109" s="2" t="s">
        <v>9466</v>
      </c>
      <c r="S1109" s="2" t="s">
        <v>1462</v>
      </c>
      <c r="T1109" s="2">
        <v>40.0</v>
      </c>
      <c r="AO1109" s="2" t="s">
        <v>1368</v>
      </c>
    </row>
    <row r="1110" ht="15.75" customHeight="1">
      <c r="A1110" s="2" t="s">
        <v>9467</v>
      </c>
      <c r="B1110" s="2" t="s">
        <v>1396</v>
      </c>
      <c r="C1110" s="2">
        <v>1980.0</v>
      </c>
      <c r="D1110" s="2" t="s">
        <v>9468</v>
      </c>
      <c r="E1110" s="2" t="s">
        <v>9469</v>
      </c>
      <c r="G1110" s="2" t="s">
        <v>9470</v>
      </c>
      <c r="J1110" s="12" t="str">
        <f>VLOOKUP(I1110,'Copy of Enriched Data - IPBES G'!$L$2:$L$229,1,false)</f>
        <v>#N/A</v>
      </c>
      <c r="L1110" s="2" t="s">
        <v>9471</v>
      </c>
      <c r="M1110" s="2" t="s">
        <v>5815</v>
      </c>
      <c r="N1110" s="2" t="s">
        <v>1385</v>
      </c>
      <c r="O1110" s="2" t="s">
        <v>1386</v>
      </c>
      <c r="R1110" s="2">
        <v>348.0</v>
      </c>
      <c r="AB1110" s="2" t="s">
        <v>9472</v>
      </c>
      <c r="AC1110" s="2" t="s">
        <v>5295</v>
      </c>
      <c r="AO1110" s="2" t="s">
        <v>1368</v>
      </c>
    </row>
    <row r="1111" ht="15.75" customHeight="1">
      <c r="A1111" s="2" t="s">
        <v>9473</v>
      </c>
      <c r="B1111" s="2" t="s">
        <v>1361</v>
      </c>
      <c r="C1111" s="2">
        <v>2012.0</v>
      </c>
      <c r="D1111" s="2" t="s">
        <v>9474</v>
      </c>
      <c r="E1111" s="2" t="s">
        <v>9475</v>
      </c>
      <c r="F1111" s="2" t="s">
        <v>9476</v>
      </c>
      <c r="H1111" s="2" t="s">
        <v>9477</v>
      </c>
      <c r="I1111" s="2" t="s">
        <v>9478</v>
      </c>
      <c r="J1111" s="12" t="str">
        <f>VLOOKUP(I1111,'Copy of Enriched Data - IPBES G'!$L$2:$L$229,1,false)</f>
        <v>#N/A</v>
      </c>
      <c r="L1111" s="2" t="s">
        <v>9479</v>
      </c>
      <c r="M1111" s="2" t="s">
        <v>1405</v>
      </c>
      <c r="N1111" s="2" t="s">
        <v>1385</v>
      </c>
      <c r="O1111" s="2" t="s">
        <v>1386</v>
      </c>
      <c r="Q1111" s="2" t="s">
        <v>9480</v>
      </c>
      <c r="S1111" s="2" t="s">
        <v>1600</v>
      </c>
      <c r="T1111" s="2">
        <v>13.0</v>
      </c>
      <c r="AO1111" s="2" t="s">
        <v>1368</v>
      </c>
    </row>
    <row r="1112" ht="15.75" customHeight="1">
      <c r="A1112" s="2" t="s">
        <v>9487</v>
      </c>
      <c r="B1112" s="2" t="s">
        <v>1396</v>
      </c>
      <c r="C1112" s="2">
        <v>2004.0</v>
      </c>
      <c r="D1112" s="2" t="s">
        <v>9488</v>
      </c>
      <c r="E1112" s="2" t="s">
        <v>9489</v>
      </c>
      <c r="J1112" s="12" t="str">
        <f>VLOOKUP(I1112,'Copy of Enriched Data - IPBES G'!$L$2:$L$229,1,false)</f>
        <v>#N/A</v>
      </c>
      <c r="M1112" s="2" t="s">
        <v>2373</v>
      </c>
      <c r="N1112" s="2" t="s">
        <v>1385</v>
      </c>
      <c r="O1112" s="2" t="s">
        <v>1386</v>
      </c>
      <c r="AB1112" s="2" t="s">
        <v>9490</v>
      </c>
      <c r="AO1112" s="2" t="s">
        <v>1368</v>
      </c>
    </row>
    <row r="1113" ht="15.75" customHeight="1">
      <c r="A1113" s="2" t="s">
        <v>9491</v>
      </c>
      <c r="B1113" s="2" t="s">
        <v>1766</v>
      </c>
      <c r="C1113" s="2">
        <v>2011.0</v>
      </c>
      <c r="D1113" s="2" t="s">
        <v>9492</v>
      </c>
      <c r="E1113" s="2" t="s">
        <v>9493</v>
      </c>
      <c r="F1113" s="2" t="s">
        <v>9494</v>
      </c>
      <c r="J1113" s="12" t="str">
        <f>VLOOKUP(I1113,'Copy of Enriched Data - IPBES G'!$L$2:$L$229,1,false)</f>
        <v>#N/A</v>
      </c>
      <c r="M1113" s="2" t="s">
        <v>1627</v>
      </c>
      <c r="N1113" s="2" t="s">
        <v>1385</v>
      </c>
      <c r="O1113" s="2" t="s">
        <v>1386</v>
      </c>
      <c r="AB1113" s="2" t="s">
        <v>2441</v>
      </c>
      <c r="AC1113" s="2" t="s">
        <v>9495</v>
      </c>
      <c r="AO1113" s="2" t="s">
        <v>1368</v>
      </c>
      <c r="AQ1113" s="2" t="s">
        <v>9496</v>
      </c>
    </row>
    <row r="1114" ht="15.75" customHeight="1">
      <c r="A1114" s="2" t="s">
        <v>9497</v>
      </c>
      <c r="B1114" s="2" t="s">
        <v>1361</v>
      </c>
      <c r="C1114" s="2">
        <v>2000.0</v>
      </c>
      <c r="D1114" s="2" t="s">
        <v>9498</v>
      </c>
      <c r="E1114" s="2" t="s">
        <v>9499</v>
      </c>
      <c r="F1114" s="2" t="s">
        <v>9500</v>
      </c>
      <c r="H1114" s="2" t="s">
        <v>9501</v>
      </c>
      <c r="I1114" s="2" t="s">
        <v>9502</v>
      </c>
      <c r="J1114" s="12" t="str">
        <f>VLOOKUP(I1114,'Copy of Enriched Data - IPBES G'!$L$2:$L$229,1,false)</f>
        <v>#N/A</v>
      </c>
      <c r="L1114" s="2" t="s">
        <v>9503</v>
      </c>
      <c r="M1114" s="2" t="s">
        <v>2429</v>
      </c>
      <c r="N1114" s="2" t="s">
        <v>1385</v>
      </c>
      <c r="O1114" s="2" t="s">
        <v>1386</v>
      </c>
      <c r="Q1114" s="2" t="s">
        <v>9504</v>
      </c>
      <c r="S1114" s="2" t="s">
        <v>1462</v>
      </c>
      <c r="T1114" s="2">
        <v>1.0</v>
      </c>
      <c r="AO1114" s="2" t="s">
        <v>1368</v>
      </c>
    </row>
    <row r="1115" ht="15.75" customHeight="1">
      <c r="A1115" s="2" t="s">
        <v>9505</v>
      </c>
      <c r="B1115" s="2" t="s">
        <v>1361</v>
      </c>
      <c r="C1115" s="2">
        <v>2002.0</v>
      </c>
      <c r="D1115" s="2" t="s">
        <v>9506</v>
      </c>
      <c r="E1115" s="2" t="s">
        <v>9507</v>
      </c>
      <c r="F1115" s="2" t="s">
        <v>9508</v>
      </c>
      <c r="H1115" s="2" t="s">
        <v>9509</v>
      </c>
      <c r="I1115" s="2" t="s">
        <v>9510</v>
      </c>
      <c r="J1115" s="12" t="str">
        <f>VLOOKUP(I1115,'Copy of Enriched Data - IPBES G'!$L$2:$L$229,1,false)</f>
        <v>#N/A</v>
      </c>
      <c r="M1115" s="2" t="s">
        <v>1493</v>
      </c>
      <c r="N1115" s="2" t="s">
        <v>1385</v>
      </c>
      <c r="O1115" s="2" t="s">
        <v>1386</v>
      </c>
      <c r="Q1115" s="2" t="s">
        <v>9511</v>
      </c>
      <c r="S1115" s="2" t="s">
        <v>1600</v>
      </c>
      <c r="T1115" s="2">
        <v>27.0</v>
      </c>
      <c r="AO1115" s="2" t="s">
        <v>1368</v>
      </c>
    </row>
    <row r="1116" ht="15.75" customHeight="1">
      <c r="A1116" s="2" t="s">
        <v>9512</v>
      </c>
      <c r="B1116" s="2" t="s">
        <v>1396</v>
      </c>
      <c r="C1116" s="2">
        <v>2007.0</v>
      </c>
      <c r="D1116" s="2" t="s">
        <v>9513</v>
      </c>
      <c r="E1116" s="2" t="s">
        <v>9514</v>
      </c>
      <c r="G1116" s="2" t="s">
        <v>2556</v>
      </c>
      <c r="J1116" s="12" t="str">
        <f>VLOOKUP(I1116,'Copy of Enriched Data - IPBES G'!$L$2:$L$229,1,false)</f>
        <v>#N/A</v>
      </c>
      <c r="L1116" s="2" t="s">
        <v>9515</v>
      </c>
      <c r="M1116" s="2" t="s">
        <v>2380</v>
      </c>
      <c r="N1116" s="2" t="s">
        <v>1385</v>
      </c>
      <c r="O1116" s="2" t="s">
        <v>1386</v>
      </c>
      <c r="AO1116" s="2" t="s">
        <v>1368</v>
      </c>
    </row>
    <row r="1117" ht="15.75" customHeight="1">
      <c r="A1117" s="2" t="s">
        <v>9516</v>
      </c>
      <c r="B1117" s="2" t="s">
        <v>1361</v>
      </c>
      <c r="C1117" s="2">
        <v>2010.0</v>
      </c>
      <c r="D1117" s="2" t="s">
        <v>9517</v>
      </c>
      <c r="E1117" s="2" t="s">
        <v>9518</v>
      </c>
      <c r="F1117" s="2" t="s">
        <v>9519</v>
      </c>
      <c r="H1117" s="2" t="s">
        <v>9520</v>
      </c>
      <c r="I1117" s="2" t="s">
        <v>9521</v>
      </c>
      <c r="J1117" s="12" t="str">
        <f>VLOOKUP(I1117,'Copy of Enriched Data - IPBES G'!$L$2:$L$229,1,false)</f>
        <v>#N/A</v>
      </c>
      <c r="L1117" s="2" t="s">
        <v>9522</v>
      </c>
      <c r="M1117" s="2" t="s">
        <v>1449</v>
      </c>
      <c r="N1117" s="2" t="s">
        <v>1385</v>
      </c>
      <c r="O1117" s="2" t="s">
        <v>1386</v>
      </c>
      <c r="AO1117" s="2" t="s">
        <v>1368</v>
      </c>
    </row>
    <row r="1118" ht="15.75" customHeight="1">
      <c r="A1118" s="2" t="s">
        <v>9523</v>
      </c>
      <c r="B1118" s="2" t="s">
        <v>1361</v>
      </c>
      <c r="C1118" s="2">
        <v>2016.0</v>
      </c>
      <c r="D1118" s="2" t="s">
        <v>9524</v>
      </c>
      <c r="E1118" s="2" t="s">
        <v>9525</v>
      </c>
      <c r="F1118" s="2" t="s">
        <v>1789</v>
      </c>
      <c r="H1118" s="2" t="s">
        <v>1790</v>
      </c>
      <c r="I1118" s="2" t="s">
        <v>9526</v>
      </c>
      <c r="J1118" s="12" t="str">
        <f>VLOOKUP(I1118,'Copy of Enriched Data - IPBES G'!$L$2:$L$229,1,false)</f>
        <v>#N/A</v>
      </c>
      <c r="L1118" s="2" t="s">
        <v>9527</v>
      </c>
      <c r="M1118" s="2" t="s">
        <v>1502</v>
      </c>
      <c r="N1118" s="2" t="s">
        <v>1385</v>
      </c>
      <c r="O1118" s="2" t="s">
        <v>1386</v>
      </c>
      <c r="AO1118" s="2" t="s">
        <v>1368</v>
      </c>
    </row>
    <row r="1119" ht="15.75" customHeight="1">
      <c r="A1119" s="2" t="s">
        <v>9528</v>
      </c>
      <c r="B1119" s="2" t="s">
        <v>1361</v>
      </c>
      <c r="C1119" s="2">
        <v>2012.0</v>
      </c>
      <c r="D1119" s="2" t="s">
        <v>9529</v>
      </c>
      <c r="E1119" s="2" t="s">
        <v>9530</v>
      </c>
      <c r="I1119" s="2" t="s">
        <v>9531</v>
      </c>
      <c r="J1119" s="12" t="str">
        <f>VLOOKUP(I1119,'Copy of Enriched Data - IPBES G'!$L$2:$L$229,1,false)</f>
        <v>#N/A</v>
      </c>
      <c r="M1119" s="2" t="s">
        <v>1405</v>
      </c>
      <c r="N1119" s="2" t="s">
        <v>1385</v>
      </c>
      <c r="O1119" s="2" t="s">
        <v>1386</v>
      </c>
      <c r="S1119" s="2" t="s">
        <v>1506</v>
      </c>
      <c r="T1119" s="2">
        <v>7.0</v>
      </c>
      <c r="AO1119" s="2" t="s">
        <v>1368</v>
      </c>
    </row>
    <row r="1120" ht="15.75" customHeight="1">
      <c r="A1120" s="2" t="s">
        <v>9532</v>
      </c>
      <c r="B1120" s="2" t="s">
        <v>1766</v>
      </c>
      <c r="C1120" s="2">
        <v>2016.0</v>
      </c>
      <c r="D1120" s="2" t="s">
        <v>9533</v>
      </c>
      <c r="E1120" s="2" t="s">
        <v>9534</v>
      </c>
      <c r="F1120" s="2" t="s">
        <v>9535</v>
      </c>
      <c r="J1120" s="12" t="str">
        <f>VLOOKUP(I1120,'Copy of Enriched Data - IPBES G'!$L$2:$L$229,1,false)</f>
        <v>#N/A</v>
      </c>
      <c r="M1120" s="2" t="s">
        <v>1502</v>
      </c>
      <c r="N1120" s="2" t="s">
        <v>1385</v>
      </c>
      <c r="O1120" s="2" t="s">
        <v>1386</v>
      </c>
      <c r="AO1120" s="2" t="s">
        <v>1368</v>
      </c>
    </row>
    <row r="1121" ht="15.75" customHeight="1">
      <c r="A1121" s="2" t="s">
        <v>9536</v>
      </c>
      <c r="B1121" s="2" t="s">
        <v>1361</v>
      </c>
      <c r="C1121" s="2">
        <v>2007.0</v>
      </c>
      <c r="D1121" s="2" t="s">
        <v>9537</v>
      </c>
      <c r="E1121" s="2" t="s">
        <v>9538</v>
      </c>
      <c r="F1121" s="2" t="s">
        <v>9539</v>
      </c>
      <c r="I1121" s="2" t="s">
        <v>9540</v>
      </c>
      <c r="J1121" s="12" t="str">
        <f>VLOOKUP(I1121,'Copy of Enriched Data - IPBES G'!$L$2:$L$229,1,false)</f>
        <v>#N/A</v>
      </c>
      <c r="M1121" s="2" t="s">
        <v>2380</v>
      </c>
      <c r="N1121" s="2" t="s">
        <v>1385</v>
      </c>
      <c r="O1121" s="2" t="s">
        <v>1386</v>
      </c>
      <c r="Q1121" s="2" t="s">
        <v>9541</v>
      </c>
      <c r="T1121" s="2">
        <v>29.0</v>
      </c>
      <c r="AO1121" s="2" t="s">
        <v>1368</v>
      </c>
    </row>
    <row r="1122" ht="15.75" customHeight="1">
      <c r="A1122" s="2" t="s">
        <v>9546</v>
      </c>
      <c r="B1122" s="2" t="s">
        <v>1361</v>
      </c>
      <c r="C1122" s="2">
        <v>2007.0</v>
      </c>
      <c r="D1122" s="2" t="s">
        <v>9547</v>
      </c>
      <c r="E1122" s="2" t="s">
        <v>9548</v>
      </c>
      <c r="F1122" s="2" t="s">
        <v>1715</v>
      </c>
      <c r="H1122" s="2" t="s">
        <v>1716</v>
      </c>
      <c r="I1122" s="2" t="s">
        <v>9549</v>
      </c>
      <c r="J1122" s="12" t="str">
        <f>VLOOKUP(I1122,'Copy of Enriched Data - IPBES G'!$L$2:$L$229,1,false)</f>
        <v>#N/A</v>
      </c>
      <c r="M1122" s="2" t="s">
        <v>9550</v>
      </c>
      <c r="N1122" s="2" t="s">
        <v>1385</v>
      </c>
      <c r="O1122" s="2" t="s">
        <v>1386</v>
      </c>
      <c r="Q1122" s="2" t="s">
        <v>9551</v>
      </c>
      <c r="S1122" s="2" t="s">
        <v>1453</v>
      </c>
      <c r="T1122" s="2">
        <v>84.0</v>
      </c>
      <c r="AO1122" s="2" t="s">
        <v>1368</v>
      </c>
    </row>
    <row r="1123" ht="15.75" customHeight="1">
      <c r="A1123" s="2" t="s">
        <v>9552</v>
      </c>
      <c r="B1123" s="2" t="s">
        <v>1361</v>
      </c>
      <c r="C1123" s="2">
        <v>2015.0</v>
      </c>
      <c r="D1123" s="2" t="s">
        <v>9553</v>
      </c>
      <c r="E1123" s="2" t="s">
        <v>9554</v>
      </c>
      <c r="F1123" s="2" t="s">
        <v>5575</v>
      </c>
      <c r="H1123" s="2" t="s">
        <v>6011</v>
      </c>
      <c r="I1123" s="2" t="s">
        <v>9555</v>
      </c>
      <c r="J1123" s="12" t="str">
        <f>VLOOKUP(I1123,'Copy of Enriched Data - IPBES G'!$L$2:$L$229,1,false)</f>
        <v>#N/A</v>
      </c>
      <c r="L1123" s="2" t="s">
        <v>9556</v>
      </c>
      <c r="M1123" s="2" t="s">
        <v>1373</v>
      </c>
      <c r="N1123" s="2" t="s">
        <v>1385</v>
      </c>
      <c r="O1123" s="2" t="s">
        <v>1386</v>
      </c>
      <c r="Q1123" s="2" t="s">
        <v>9557</v>
      </c>
      <c r="T1123" s="2">
        <v>352.0</v>
      </c>
      <c r="AO1123" s="2" t="s">
        <v>1368</v>
      </c>
    </row>
    <row r="1124" ht="15.75" customHeight="1">
      <c r="A1124" s="2" t="s">
        <v>9558</v>
      </c>
      <c r="B1124" s="2" t="s">
        <v>1361</v>
      </c>
      <c r="C1124" s="2">
        <v>2010.0</v>
      </c>
      <c r="D1124" s="2" t="s">
        <v>9559</v>
      </c>
      <c r="E1124" s="2" t="s">
        <v>9560</v>
      </c>
      <c r="F1124" s="2" t="s">
        <v>3224</v>
      </c>
      <c r="H1124" s="2" t="s">
        <v>3225</v>
      </c>
      <c r="I1124" s="2" t="s">
        <v>9561</v>
      </c>
      <c r="J1124" s="12" t="str">
        <f>VLOOKUP(I1124,'Copy of Enriched Data - IPBES G'!$L$2:$L$229,1,false)</f>
        <v>#N/A</v>
      </c>
      <c r="K1124" s="2" t="s">
        <v>9562</v>
      </c>
      <c r="L1124" s="2" t="s">
        <v>9563</v>
      </c>
      <c r="M1124" s="2" t="s">
        <v>1667</v>
      </c>
      <c r="N1124" s="2" t="s">
        <v>1385</v>
      </c>
      <c r="O1124" s="2" t="s">
        <v>1386</v>
      </c>
      <c r="Q1124" s="2" t="s">
        <v>9564</v>
      </c>
      <c r="S1124" s="2" t="s">
        <v>1462</v>
      </c>
      <c r="T1124" s="2">
        <v>47.0</v>
      </c>
      <c r="AO1124" s="2" t="s">
        <v>1368</v>
      </c>
    </row>
    <row r="1125" ht="15.75" customHeight="1">
      <c r="A1125" s="2" t="s">
        <v>9565</v>
      </c>
      <c r="B1125" s="2" t="s">
        <v>1361</v>
      </c>
      <c r="C1125" s="2">
        <v>2016.0</v>
      </c>
      <c r="D1125" s="2" t="s">
        <v>9566</v>
      </c>
      <c r="E1125" s="2" t="s">
        <v>9567</v>
      </c>
      <c r="F1125" s="2" t="s">
        <v>4511</v>
      </c>
      <c r="I1125" s="2" t="s">
        <v>9568</v>
      </c>
      <c r="J1125" s="12" t="str">
        <f>VLOOKUP(I1125,'Copy of Enriched Data - IPBES G'!$L$2:$L$229,1,false)</f>
        <v>#N/A</v>
      </c>
      <c r="M1125" s="2" t="s">
        <v>1502</v>
      </c>
      <c r="N1125" s="2" t="s">
        <v>1385</v>
      </c>
      <c r="O1125" s="2" t="s">
        <v>1386</v>
      </c>
      <c r="S1125" s="2" t="s">
        <v>9569</v>
      </c>
      <c r="T1125" s="2">
        <v>13.0</v>
      </c>
      <c r="AO1125" s="2" t="s">
        <v>1368</v>
      </c>
    </row>
    <row r="1126" ht="15.75" customHeight="1">
      <c r="A1126" s="2" t="s">
        <v>9573</v>
      </c>
      <c r="B1126" s="2" t="s">
        <v>1361</v>
      </c>
      <c r="C1126" s="2">
        <v>2011.0</v>
      </c>
      <c r="D1126" s="2" t="s">
        <v>9574</v>
      </c>
      <c r="E1126" s="2" t="s">
        <v>9575</v>
      </c>
      <c r="F1126" s="2" t="s">
        <v>1760</v>
      </c>
      <c r="H1126" s="2" t="s">
        <v>7711</v>
      </c>
      <c r="I1126" s="2" t="s">
        <v>9576</v>
      </c>
      <c r="J1126" s="12" t="str">
        <f>VLOOKUP(I1126,'Copy of Enriched Data - IPBES G'!$L$2:$L$229,1,false)</f>
        <v>#N/A</v>
      </c>
      <c r="M1126" s="2" t="s">
        <v>1627</v>
      </c>
      <c r="N1126" s="2" t="s">
        <v>1385</v>
      </c>
      <c r="O1126" s="2" t="s">
        <v>1386</v>
      </c>
      <c r="Q1126" s="2" t="s">
        <v>9577</v>
      </c>
      <c r="S1126" s="2" t="s">
        <v>2237</v>
      </c>
      <c r="T1126" s="2">
        <v>70.0</v>
      </c>
      <c r="AO1126" s="2" t="s">
        <v>1368</v>
      </c>
    </row>
    <row r="1127" ht="15.75" customHeight="1">
      <c r="A1127" s="2" t="s">
        <v>9581</v>
      </c>
      <c r="B1127" s="2" t="s">
        <v>1361</v>
      </c>
      <c r="C1127" s="2">
        <v>2016.0</v>
      </c>
      <c r="D1127" s="2" t="s">
        <v>9582</v>
      </c>
      <c r="E1127" s="2" t="s">
        <v>9583</v>
      </c>
      <c r="F1127" s="2" t="s">
        <v>1789</v>
      </c>
      <c r="H1127" s="2" t="s">
        <v>1790</v>
      </c>
      <c r="I1127" s="2" t="s">
        <v>9584</v>
      </c>
      <c r="J1127" s="12" t="str">
        <f>VLOOKUP(I1127,'Copy of Enriched Data - IPBES G'!$L$2:$L$229,1,false)</f>
        <v>#N/A</v>
      </c>
      <c r="L1127" s="2" t="s">
        <v>9585</v>
      </c>
      <c r="M1127" s="2" t="s">
        <v>1502</v>
      </c>
      <c r="N1127" s="2" t="s">
        <v>1385</v>
      </c>
      <c r="O1127" s="2" t="s">
        <v>1386</v>
      </c>
      <c r="AO1127" s="2" t="s">
        <v>1368</v>
      </c>
    </row>
    <row r="1128" ht="15.75" customHeight="1">
      <c r="A1128" s="2" t="s">
        <v>9586</v>
      </c>
      <c r="B1128" s="2" t="s">
        <v>1396</v>
      </c>
      <c r="C1128" s="2">
        <v>2009.0</v>
      </c>
      <c r="D1128" s="2" t="s">
        <v>9587</v>
      </c>
      <c r="E1128" s="2" t="s">
        <v>9588</v>
      </c>
      <c r="J1128" s="12" t="str">
        <f>VLOOKUP(I1128,'Copy of Enriched Data - IPBES G'!$L$2:$L$229,1,false)</f>
        <v>#N/A</v>
      </c>
      <c r="M1128" s="2" t="s">
        <v>1364</v>
      </c>
      <c r="N1128" s="2" t="s">
        <v>1385</v>
      </c>
      <c r="O1128" s="2" t="s">
        <v>1386</v>
      </c>
      <c r="AB1128" s="2" t="s">
        <v>2441</v>
      </c>
      <c r="AC1128" s="2" t="s">
        <v>9495</v>
      </c>
      <c r="AO1128" s="2" t="s">
        <v>1368</v>
      </c>
    </row>
    <row r="1129" ht="15.75" customHeight="1">
      <c r="A1129" s="2" t="s">
        <v>9589</v>
      </c>
      <c r="B1129" s="2" t="s">
        <v>1361</v>
      </c>
      <c r="C1129" s="2">
        <v>2015.0</v>
      </c>
      <c r="D1129" s="2" t="s">
        <v>9590</v>
      </c>
      <c r="E1129" s="2" t="s">
        <v>9591</v>
      </c>
      <c r="F1129" s="2" t="s">
        <v>2641</v>
      </c>
      <c r="H1129" s="2" t="s">
        <v>5876</v>
      </c>
      <c r="I1129" s="2" t="s">
        <v>9592</v>
      </c>
      <c r="J1129" s="12" t="str">
        <f>VLOOKUP(I1129,'Copy of Enriched Data - IPBES G'!$L$2:$L$229,1,false)</f>
        <v>#N/A</v>
      </c>
      <c r="L1129" s="2" t="s">
        <v>9593</v>
      </c>
      <c r="M1129" s="2" t="s">
        <v>1373</v>
      </c>
      <c r="N1129" s="2" t="s">
        <v>1385</v>
      </c>
      <c r="O1129" s="2" t="s">
        <v>1386</v>
      </c>
      <c r="AO1129" s="2" t="s">
        <v>1368</v>
      </c>
    </row>
    <row r="1130" ht="15.75" customHeight="1">
      <c r="A1130" s="2" t="s">
        <v>9594</v>
      </c>
      <c r="B1130" s="2" t="s">
        <v>1361</v>
      </c>
      <c r="C1130" s="2">
        <v>1992.0</v>
      </c>
      <c r="D1130" s="2" t="s">
        <v>9595</v>
      </c>
      <c r="E1130" s="2" t="s">
        <v>9596</v>
      </c>
      <c r="F1130" s="2" t="s">
        <v>7008</v>
      </c>
      <c r="H1130" s="2" t="s">
        <v>7009</v>
      </c>
      <c r="I1130" s="2" t="s">
        <v>9597</v>
      </c>
      <c r="J1130" s="12" t="str">
        <f>VLOOKUP(I1130,'Copy of Enriched Data - IPBES G'!$L$2:$L$229,1,false)</f>
        <v>#N/A</v>
      </c>
      <c r="M1130" s="2" t="s">
        <v>3458</v>
      </c>
      <c r="N1130" s="2" t="s">
        <v>1385</v>
      </c>
      <c r="O1130" s="2" t="s">
        <v>1386</v>
      </c>
      <c r="Q1130" s="2" t="s">
        <v>9598</v>
      </c>
      <c r="S1130" s="2" t="s">
        <v>1453</v>
      </c>
      <c r="T1130" s="2">
        <v>24.0</v>
      </c>
      <c r="AO1130" s="2" t="s">
        <v>1368</v>
      </c>
    </row>
    <row r="1131" ht="15.75" customHeight="1">
      <c r="A1131" s="2" t="s">
        <v>9599</v>
      </c>
      <c r="B1131" s="2" t="s">
        <v>1361</v>
      </c>
      <c r="C1131" s="2">
        <v>2000.0</v>
      </c>
      <c r="D1131" s="2" t="s">
        <v>9600</v>
      </c>
      <c r="E1131" s="2" t="s">
        <v>9601</v>
      </c>
      <c r="F1131" s="2" t="s">
        <v>1863</v>
      </c>
      <c r="H1131" s="2" t="s">
        <v>1864</v>
      </c>
      <c r="I1131" s="2" t="s">
        <v>9602</v>
      </c>
      <c r="J1131" s="12" t="str">
        <f>VLOOKUP(I1131,'Copy of Enriched Data - IPBES G'!$L$2:$L$229,1,false)</f>
        <v>#N/A</v>
      </c>
      <c r="L1131" s="2" t="s">
        <v>9603</v>
      </c>
      <c r="M1131" s="2" t="s">
        <v>2429</v>
      </c>
      <c r="N1131" s="2" t="s">
        <v>1385</v>
      </c>
      <c r="O1131" s="2" t="s">
        <v>1386</v>
      </c>
      <c r="Q1131" s="2" t="s">
        <v>9604</v>
      </c>
      <c r="S1131" s="2" t="s">
        <v>2271</v>
      </c>
      <c r="T1131" s="2">
        <v>28.0</v>
      </c>
      <c r="AO1131" s="2" t="s">
        <v>1368</v>
      </c>
    </row>
    <row r="1132" ht="15.75" customHeight="1">
      <c r="A1132" s="2" t="s">
        <v>9605</v>
      </c>
      <c r="B1132" s="2" t="s">
        <v>1361</v>
      </c>
      <c r="C1132" s="2">
        <v>2015.0</v>
      </c>
      <c r="D1132" s="2" t="s">
        <v>9606</v>
      </c>
      <c r="E1132" s="2" t="s">
        <v>9607</v>
      </c>
      <c r="F1132" s="2" t="s">
        <v>4215</v>
      </c>
      <c r="H1132" s="2" t="s">
        <v>4216</v>
      </c>
      <c r="I1132" s="2" t="s">
        <v>9608</v>
      </c>
      <c r="J1132" s="12" t="str">
        <f>VLOOKUP(I1132,'Copy of Enriched Data - IPBES G'!$L$2:$L$229,1,false)</f>
        <v>#N/A</v>
      </c>
      <c r="L1132" s="2" t="s">
        <v>9609</v>
      </c>
      <c r="M1132" s="2" t="s">
        <v>2153</v>
      </c>
      <c r="N1132" s="2" t="s">
        <v>1385</v>
      </c>
      <c r="O1132" s="2" t="s">
        <v>1386</v>
      </c>
      <c r="Q1132" s="2" t="s">
        <v>9610</v>
      </c>
      <c r="S1132" s="2" t="s">
        <v>1462</v>
      </c>
      <c r="T1132" s="2">
        <v>40.0</v>
      </c>
      <c r="AO1132" s="2" t="s">
        <v>1368</v>
      </c>
    </row>
    <row r="1133" ht="15.75" customHeight="1">
      <c r="A1133" s="2" t="s">
        <v>9611</v>
      </c>
      <c r="B1133" s="2" t="s">
        <v>1361</v>
      </c>
      <c r="C1133" s="2">
        <v>2006.0</v>
      </c>
      <c r="D1133" s="2" t="s">
        <v>9612</v>
      </c>
      <c r="E1133" s="2" t="s">
        <v>9613</v>
      </c>
      <c r="F1133" s="2" t="s">
        <v>2216</v>
      </c>
      <c r="H1133" s="2" t="s">
        <v>2217</v>
      </c>
      <c r="I1133" s="2" t="s">
        <v>9614</v>
      </c>
      <c r="J1133" s="12" t="str">
        <f>VLOOKUP(I1133,'Copy of Enriched Data - IPBES G'!$L$2:$L$229,1,false)</f>
        <v>#N/A</v>
      </c>
      <c r="L1133" s="2" t="s">
        <v>9615</v>
      </c>
      <c r="M1133" s="2" t="s">
        <v>1727</v>
      </c>
      <c r="N1133" s="2" t="s">
        <v>1385</v>
      </c>
      <c r="O1133" s="2" t="s">
        <v>1386</v>
      </c>
      <c r="Q1133" s="2" t="s">
        <v>9616</v>
      </c>
      <c r="S1133" s="2" t="s">
        <v>1600</v>
      </c>
      <c r="T1133" s="2">
        <v>9.0</v>
      </c>
      <c r="AO1133" s="2" t="s">
        <v>1368</v>
      </c>
    </row>
    <row r="1134" ht="15.75" customHeight="1">
      <c r="A1134" s="2" t="s">
        <v>9617</v>
      </c>
      <c r="B1134" s="2" t="s">
        <v>1396</v>
      </c>
      <c r="C1134" s="2">
        <v>2015.0</v>
      </c>
      <c r="D1134" s="2" t="s">
        <v>9618</v>
      </c>
      <c r="E1134" s="2" t="s">
        <v>9619</v>
      </c>
      <c r="J1134" s="12" t="str">
        <f>VLOOKUP(I1134,'Copy of Enriched Data - IPBES G'!$L$2:$L$229,1,false)</f>
        <v>#N/A</v>
      </c>
      <c r="M1134" s="2" t="s">
        <v>1373</v>
      </c>
      <c r="N1134" s="2" t="s">
        <v>1385</v>
      </c>
      <c r="O1134" s="2" t="s">
        <v>1386</v>
      </c>
      <c r="AB1134" s="2" t="s">
        <v>9620</v>
      </c>
      <c r="AO1134" s="2" t="s">
        <v>1368</v>
      </c>
    </row>
    <row r="1135" ht="15.75" customHeight="1">
      <c r="A1135" s="2" t="s">
        <v>9621</v>
      </c>
      <c r="B1135" s="2" t="s">
        <v>1361</v>
      </c>
      <c r="C1135" s="2">
        <v>1998.0</v>
      </c>
      <c r="D1135" s="2" t="s">
        <v>9622</v>
      </c>
      <c r="E1135" s="2" t="s">
        <v>9623</v>
      </c>
      <c r="F1135" s="2" t="s">
        <v>9624</v>
      </c>
      <c r="H1135" s="2" t="s">
        <v>9625</v>
      </c>
      <c r="I1135" s="2" t="s">
        <v>9626</v>
      </c>
      <c r="J1135" s="12" t="str">
        <f>VLOOKUP(I1135,'Copy of Enriched Data - IPBES G'!$L$2:$L$229,1,false)</f>
        <v>#N/A</v>
      </c>
      <c r="L1135" s="2" t="s">
        <v>9627</v>
      </c>
      <c r="M1135" s="2" t="s">
        <v>1958</v>
      </c>
      <c r="N1135" s="2" t="s">
        <v>1385</v>
      </c>
      <c r="O1135" s="2" t="s">
        <v>1386</v>
      </c>
      <c r="Q1135" s="2" t="s">
        <v>9628</v>
      </c>
      <c r="S1135" s="2" t="s">
        <v>1453</v>
      </c>
      <c r="T1135" s="2">
        <v>30.0</v>
      </c>
      <c r="AO1135" s="2" t="s">
        <v>1368</v>
      </c>
    </row>
    <row r="1136" ht="15.75" customHeight="1">
      <c r="A1136" s="2" t="s">
        <v>9629</v>
      </c>
      <c r="B1136" s="2" t="s">
        <v>1361</v>
      </c>
      <c r="C1136" s="2">
        <v>1987.0</v>
      </c>
      <c r="D1136" s="2" t="s">
        <v>9630</v>
      </c>
      <c r="E1136" s="2" t="s">
        <v>9631</v>
      </c>
      <c r="F1136" s="2" t="s">
        <v>1587</v>
      </c>
      <c r="H1136" s="2" t="s">
        <v>9632</v>
      </c>
      <c r="I1136" s="2" t="s">
        <v>9633</v>
      </c>
      <c r="J1136" s="12" t="str">
        <f>VLOOKUP(I1136,'Copy of Enriched Data - IPBES G'!$L$2:$L$229,1,false)</f>
        <v>#N/A</v>
      </c>
      <c r="L1136" s="2" t="s">
        <v>9634</v>
      </c>
      <c r="M1136" s="2" t="s">
        <v>8724</v>
      </c>
      <c r="N1136" s="2" t="s">
        <v>9635</v>
      </c>
      <c r="O1136" s="2" t="s">
        <v>9636</v>
      </c>
      <c r="Q1136" s="2" t="s">
        <v>9637</v>
      </c>
      <c r="S1136" s="2">
        <v>3.0</v>
      </c>
      <c r="T1136" s="2">
        <v>1.0</v>
      </c>
      <c r="AO1136" s="2" t="s">
        <v>1368</v>
      </c>
    </row>
    <row r="1137" ht="15.75" customHeight="1">
      <c r="A1137" s="2" t="s">
        <v>9638</v>
      </c>
      <c r="B1137" s="2" t="s">
        <v>1361</v>
      </c>
      <c r="C1137" s="2">
        <v>2016.0</v>
      </c>
      <c r="D1137" s="2" t="s">
        <v>9639</v>
      </c>
      <c r="E1137" s="2" t="s">
        <v>9640</v>
      </c>
      <c r="F1137" s="2" t="s">
        <v>5129</v>
      </c>
      <c r="I1137" s="2" t="s">
        <v>9641</v>
      </c>
      <c r="J1137" s="12" t="str">
        <f>VLOOKUP(I1137,'Copy of Enriched Data - IPBES G'!$L$2:$L$229,1,false)</f>
        <v>#N/A</v>
      </c>
      <c r="M1137" s="2" t="s">
        <v>1502</v>
      </c>
      <c r="N1137" s="2" t="s">
        <v>9642</v>
      </c>
      <c r="O1137" s="2" t="s">
        <v>9643</v>
      </c>
      <c r="Q1137" s="2" t="s">
        <v>9644</v>
      </c>
      <c r="S1137" s="2">
        <v>14.0</v>
      </c>
      <c r="T1137" s="2">
        <v>25.0</v>
      </c>
      <c r="AO1137" s="2" t="s">
        <v>1368</v>
      </c>
    </row>
    <row r="1138" ht="15.75" customHeight="1">
      <c r="A1138" s="2" t="s">
        <v>9645</v>
      </c>
      <c r="B1138" s="2" t="s">
        <v>1361</v>
      </c>
      <c r="C1138" s="2">
        <v>2017.0</v>
      </c>
      <c r="D1138" s="2" t="s">
        <v>9646</v>
      </c>
      <c r="E1138" s="2" t="s">
        <v>9647</v>
      </c>
      <c r="F1138" s="2" t="s">
        <v>9648</v>
      </c>
      <c r="J1138" s="12" t="str">
        <f>VLOOKUP(I1138,'Copy of Enriched Data - IPBES G'!$L$2:$L$229,1,false)</f>
        <v>#N/A</v>
      </c>
      <c r="M1138" s="2" t="s">
        <v>1658</v>
      </c>
      <c r="N1138" s="2" t="s">
        <v>3366</v>
      </c>
      <c r="O1138" s="2" t="s">
        <v>3367</v>
      </c>
      <c r="Q1138" s="2" t="s">
        <v>9649</v>
      </c>
      <c r="AO1138" s="2" t="s">
        <v>1368</v>
      </c>
    </row>
    <row r="1139" ht="15.75" customHeight="1">
      <c r="A1139" s="2" t="s">
        <v>9650</v>
      </c>
      <c r="B1139" s="2" t="s">
        <v>1361</v>
      </c>
      <c r="C1139" s="2">
        <v>2000.0</v>
      </c>
      <c r="D1139" s="2" t="s">
        <v>9651</v>
      </c>
      <c r="E1139" s="2" t="s">
        <v>9652</v>
      </c>
      <c r="F1139" s="2" t="s">
        <v>1760</v>
      </c>
      <c r="I1139" s="2" t="s">
        <v>9653</v>
      </c>
      <c r="J1139" s="12" t="str">
        <f>VLOOKUP(I1139,'Copy of Enriched Data - IPBES G'!$L$2:$L$229,1,false)</f>
        <v>#N/A</v>
      </c>
      <c r="M1139" s="2" t="s">
        <v>2429</v>
      </c>
      <c r="N1139" s="2" t="s">
        <v>2121</v>
      </c>
      <c r="O1139" s="2" t="s">
        <v>2122</v>
      </c>
      <c r="Q1139" s="2" t="s">
        <v>9654</v>
      </c>
      <c r="T1139" s="2">
        <v>34.0</v>
      </c>
      <c r="AO1139" s="2" t="s">
        <v>1368</v>
      </c>
    </row>
    <row r="1140" ht="15.75" customHeight="1">
      <c r="A1140" s="2" t="s">
        <v>9655</v>
      </c>
      <c r="B1140" s="2" t="s">
        <v>1361</v>
      </c>
      <c r="C1140" s="2">
        <v>2016.0</v>
      </c>
      <c r="D1140" s="2" t="s">
        <v>9656</v>
      </c>
      <c r="E1140" s="2" t="s">
        <v>9657</v>
      </c>
      <c r="F1140" s="2" t="s">
        <v>362</v>
      </c>
      <c r="H1140" s="2" t="s">
        <v>1877</v>
      </c>
      <c r="I1140" s="2" t="s">
        <v>9658</v>
      </c>
      <c r="J1140" s="12" t="str">
        <f>VLOOKUP(I1140,'Copy of Enriched Data - IPBES G'!$L$2:$L$229,1,false)</f>
        <v>#N/A</v>
      </c>
      <c r="K1140" s="2" t="s">
        <v>9659</v>
      </c>
      <c r="M1140" s="2" t="s">
        <v>9660</v>
      </c>
      <c r="N1140" s="2" t="s">
        <v>9661</v>
      </c>
      <c r="O1140" s="2" t="s">
        <v>9662</v>
      </c>
      <c r="P1140" s="2" t="s">
        <v>9663</v>
      </c>
      <c r="Q1140" s="2" t="s">
        <v>9664</v>
      </c>
      <c r="S1140" s="2">
        <v>3.0</v>
      </c>
      <c r="T1140" s="2">
        <v>11.0</v>
      </c>
      <c r="V1140" s="2" t="s">
        <v>1876</v>
      </c>
      <c r="AD1140" s="2" t="s">
        <v>1540</v>
      </c>
      <c r="AI1140" s="2" t="s">
        <v>1541</v>
      </c>
      <c r="AO1140" s="2" t="s">
        <v>1872</v>
      </c>
      <c r="AQ1140" s="2" t="s">
        <v>9665</v>
      </c>
    </row>
    <row r="1141" ht="15.75" customHeight="1">
      <c r="A1141" s="2" t="s">
        <v>9677</v>
      </c>
      <c r="B1141" s="2" t="s">
        <v>1361</v>
      </c>
      <c r="C1141" s="2">
        <v>2003.0</v>
      </c>
      <c r="D1141" s="2" t="s">
        <v>9678</v>
      </c>
      <c r="E1141" s="2" t="s">
        <v>9679</v>
      </c>
      <c r="F1141" s="2" t="s">
        <v>4728</v>
      </c>
      <c r="H1141" s="2" t="s">
        <v>7722</v>
      </c>
      <c r="I1141" s="2" t="s">
        <v>9680</v>
      </c>
      <c r="J1141" s="12" t="str">
        <f>VLOOKUP(I1141,'Copy of Enriched Data - IPBES G'!$L$2:$L$229,1,false)</f>
        <v>#N/A</v>
      </c>
      <c r="L1141" s="2" t="s">
        <v>9681</v>
      </c>
      <c r="M1141" s="2" t="s">
        <v>1606</v>
      </c>
      <c r="N1141" s="2" t="s">
        <v>1385</v>
      </c>
      <c r="O1141" s="2" t="s">
        <v>1386</v>
      </c>
      <c r="Q1141" s="2" t="s">
        <v>9682</v>
      </c>
      <c r="S1141" s="2">
        <v>1.0</v>
      </c>
      <c r="T1141" s="2">
        <v>30.0</v>
      </c>
      <c r="AO1141" s="2" t="s">
        <v>1368</v>
      </c>
    </row>
    <row r="1142" ht="15.75" customHeight="1">
      <c r="A1142" s="2" t="s">
        <v>9683</v>
      </c>
      <c r="B1142" s="2" t="s">
        <v>1623</v>
      </c>
      <c r="C1142" s="2">
        <v>2015.0</v>
      </c>
      <c r="D1142" s="2" t="s">
        <v>9684</v>
      </c>
      <c r="E1142" s="2" t="s">
        <v>9685</v>
      </c>
      <c r="J1142" s="12" t="str">
        <f>VLOOKUP(I1142,'Copy of Enriched Data - IPBES G'!$L$2:$L$229,1,false)</f>
        <v>#N/A</v>
      </c>
      <c r="K1142" s="2" t="s">
        <v>9686</v>
      </c>
      <c r="M1142" s="2" t="s">
        <v>1373</v>
      </c>
      <c r="N1142" s="2" t="s">
        <v>1385</v>
      </c>
      <c r="O1142" s="2" t="s">
        <v>1386</v>
      </c>
      <c r="AB1142" s="2" t="s">
        <v>9687</v>
      </c>
      <c r="AC1142" s="2" t="s">
        <v>1608</v>
      </c>
      <c r="AO1142" s="2" t="s">
        <v>9688</v>
      </c>
    </row>
    <row r="1143" ht="15.75" customHeight="1">
      <c r="A1143" s="2" t="s">
        <v>9689</v>
      </c>
      <c r="B1143" s="2" t="s">
        <v>1396</v>
      </c>
      <c r="C1143" s="2">
        <v>2016.0</v>
      </c>
      <c r="D1143" s="2" t="s">
        <v>3197</v>
      </c>
      <c r="E1143" s="2" t="s">
        <v>9690</v>
      </c>
      <c r="J1143" s="12" t="str">
        <f>VLOOKUP(I1143,'Copy of Enriched Data - IPBES G'!$L$2:$L$229,1,false)</f>
        <v>#N/A</v>
      </c>
      <c r="K1143" s="2" t="s">
        <v>9691</v>
      </c>
      <c r="M1143" s="2" t="s">
        <v>1502</v>
      </c>
      <c r="N1143" s="2" t="s">
        <v>1385</v>
      </c>
      <c r="O1143" s="2" t="s">
        <v>1386</v>
      </c>
      <c r="AB1143" s="2" t="s">
        <v>2281</v>
      </c>
      <c r="AC1143" s="2" t="s">
        <v>1608</v>
      </c>
      <c r="AO1143" s="2" t="s">
        <v>9692</v>
      </c>
    </row>
    <row r="1144" ht="15.75" customHeight="1">
      <c r="A1144" s="2" t="s">
        <v>9693</v>
      </c>
      <c r="B1144" s="2" t="s">
        <v>1396</v>
      </c>
      <c r="C1144" s="2">
        <v>2014.0</v>
      </c>
      <c r="D1144" s="2" t="s">
        <v>3197</v>
      </c>
      <c r="E1144" s="2" t="s">
        <v>9694</v>
      </c>
      <c r="G1144" s="2" t="s">
        <v>9695</v>
      </c>
      <c r="J1144" s="12" t="str">
        <f>VLOOKUP(I1144,'Copy of Enriched Data - IPBES G'!$L$2:$L$229,1,false)</f>
        <v>#N/A</v>
      </c>
      <c r="M1144" s="2" t="s">
        <v>1476</v>
      </c>
      <c r="N1144" s="2" t="s">
        <v>1385</v>
      </c>
      <c r="O1144" s="2" t="s">
        <v>1386</v>
      </c>
      <c r="AB1144" s="2" t="s">
        <v>1607</v>
      </c>
      <c r="AC1144" s="2" t="s">
        <v>1608</v>
      </c>
      <c r="AO1144" s="2" t="s">
        <v>2244</v>
      </c>
    </row>
    <row r="1145" ht="15.75" customHeight="1">
      <c r="A1145" s="2" t="s">
        <v>9696</v>
      </c>
      <c r="B1145" s="2" t="s">
        <v>1396</v>
      </c>
      <c r="C1145" s="2">
        <v>2011.0</v>
      </c>
      <c r="D1145" s="2" t="s">
        <v>3197</v>
      </c>
      <c r="E1145" s="2" t="s">
        <v>9697</v>
      </c>
      <c r="J1145" s="12" t="str">
        <f>VLOOKUP(I1145,'Copy of Enriched Data - IPBES G'!$L$2:$L$229,1,false)</f>
        <v>#N/A</v>
      </c>
      <c r="M1145" s="2" t="s">
        <v>1627</v>
      </c>
      <c r="N1145" s="2" t="s">
        <v>1385</v>
      </c>
      <c r="O1145" s="2" t="s">
        <v>1386</v>
      </c>
      <c r="AB1145" s="2" t="s">
        <v>3197</v>
      </c>
      <c r="AC1145" s="2" t="s">
        <v>1608</v>
      </c>
      <c r="AO1145" s="2" t="s">
        <v>2244</v>
      </c>
    </row>
    <row r="1146" ht="15.75" customHeight="1">
      <c r="A1146" s="2" t="s">
        <v>9698</v>
      </c>
      <c r="B1146" s="2" t="s">
        <v>1396</v>
      </c>
      <c r="C1146" s="2">
        <v>2009.0</v>
      </c>
      <c r="D1146" s="2" t="s">
        <v>3197</v>
      </c>
      <c r="E1146" s="2" t="s">
        <v>9699</v>
      </c>
      <c r="G1146" s="2" t="s">
        <v>9700</v>
      </c>
      <c r="J1146" s="12" t="str">
        <f>VLOOKUP(I1146,'Copy of Enriched Data - IPBES G'!$L$2:$L$229,1,false)</f>
        <v>#N/A</v>
      </c>
      <c r="K1146" s="2" t="s">
        <v>9701</v>
      </c>
      <c r="M1146" s="2" t="s">
        <v>1364</v>
      </c>
      <c r="N1146" s="2" t="s">
        <v>1385</v>
      </c>
      <c r="O1146" s="2" t="s">
        <v>1386</v>
      </c>
      <c r="AB1146" s="2" t="s">
        <v>1607</v>
      </c>
      <c r="AC1146" s="2" t="s">
        <v>1608</v>
      </c>
      <c r="AO1146" s="2" t="s">
        <v>1368</v>
      </c>
      <c r="AQ1146" s="2" t="s">
        <v>9702</v>
      </c>
    </row>
    <row r="1147" ht="15.75" customHeight="1">
      <c r="A1147" s="2" t="s">
        <v>9703</v>
      </c>
      <c r="B1147" s="2" t="s">
        <v>1396</v>
      </c>
      <c r="C1147" s="2">
        <v>2018.0</v>
      </c>
      <c r="D1147" s="2" t="s">
        <v>3197</v>
      </c>
      <c r="E1147" s="2" t="s">
        <v>9704</v>
      </c>
      <c r="J1147" s="12" t="str">
        <f>VLOOKUP(I1147,'Copy of Enriched Data - IPBES G'!$L$2:$L$229,1,false)</f>
        <v>#N/A</v>
      </c>
      <c r="K1147" s="2" t="s">
        <v>9705</v>
      </c>
      <c r="M1147" s="2" t="s">
        <v>1420</v>
      </c>
      <c r="N1147" s="2" t="s">
        <v>1385</v>
      </c>
      <c r="O1147" s="2" t="s">
        <v>1386</v>
      </c>
      <c r="AO1147" s="2" t="s">
        <v>1368</v>
      </c>
    </row>
    <row r="1148" ht="15.75" customHeight="1">
      <c r="A1148" s="2" t="s">
        <v>9706</v>
      </c>
      <c r="B1148" s="2" t="s">
        <v>1361</v>
      </c>
      <c r="C1148" s="2">
        <v>2018.0</v>
      </c>
      <c r="D1148" s="2" t="s">
        <v>3197</v>
      </c>
      <c r="E1148" s="2" t="s">
        <v>4853</v>
      </c>
      <c r="J1148" s="12" t="str">
        <f>VLOOKUP(I1148,'Copy of Enriched Data - IPBES G'!$L$2:$L$229,1,false)</f>
        <v>#N/A</v>
      </c>
      <c r="K1148" s="2" t="s">
        <v>9707</v>
      </c>
      <c r="M1148" s="2" t="s">
        <v>1420</v>
      </c>
      <c r="N1148" s="2" t="s">
        <v>1385</v>
      </c>
      <c r="O1148" s="2" t="s">
        <v>1386</v>
      </c>
      <c r="AO1148" s="2" t="s">
        <v>1368</v>
      </c>
    </row>
    <row r="1149" ht="15.75" customHeight="1">
      <c r="A1149" s="2" t="s">
        <v>9708</v>
      </c>
      <c r="B1149" s="2" t="s">
        <v>1396</v>
      </c>
      <c r="C1149" s="2">
        <v>2005.0</v>
      </c>
      <c r="D1149" s="2" t="s">
        <v>3197</v>
      </c>
      <c r="E1149" s="2" t="s">
        <v>9709</v>
      </c>
      <c r="J1149" s="12" t="str">
        <f>VLOOKUP(I1149,'Copy of Enriched Data - IPBES G'!$L$2:$L$229,1,false)</f>
        <v>#N/A</v>
      </c>
      <c r="K1149" s="2" t="s">
        <v>9710</v>
      </c>
      <c r="M1149" s="2" t="s">
        <v>1394</v>
      </c>
      <c r="N1149" s="2" t="s">
        <v>1385</v>
      </c>
      <c r="O1149" s="2" t="s">
        <v>1386</v>
      </c>
      <c r="Y1149" s="2" t="s">
        <v>9711</v>
      </c>
      <c r="AB1149" s="2" t="s">
        <v>1607</v>
      </c>
      <c r="AC1149" s="2" t="s">
        <v>1608</v>
      </c>
      <c r="AO1149" s="2" t="s">
        <v>1368</v>
      </c>
    </row>
    <row r="1150" ht="15.75" customHeight="1">
      <c r="A1150" s="2" t="s">
        <v>9712</v>
      </c>
      <c r="B1150" s="2" t="s">
        <v>1396</v>
      </c>
      <c r="C1150" s="2">
        <v>2008.0</v>
      </c>
      <c r="D1150" s="2" t="s">
        <v>3197</v>
      </c>
      <c r="E1150" s="2" t="s">
        <v>9713</v>
      </c>
      <c r="J1150" s="12" t="str">
        <f>VLOOKUP(I1150,'Copy of Enriched Data - IPBES G'!$L$2:$L$229,1,false)</f>
        <v>#N/A</v>
      </c>
      <c r="M1150" s="2" t="s">
        <v>1458</v>
      </c>
      <c r="N1150" s="2" t="s">
        <v>1385</v>
      </c>
      <c r="O1150" s="2" t="s">
        <v>1386</v>
      </c>
      <c r="AB1150" s="2" t="s">
        <v>1607</v>
      </c>
      <c r="AC1150" s="2" t="s">
        <v>1608</v>
      </c>
      <c r="AO1150" s="2" t="s">
        <v>1368</v>
      </c>
    </row>
    <row r="1151" ht="15.75" customHeight="1">
      <c r="A1151" s="2" t="s">
        <v>9714</v>
      </c>
      <c r="B1151" s="2" t="s">
        <v>1396</v>
      </c>
      <c r="C1151" s="2">
        <v>1999.0</v>
      </c>
      <c r="D1151" s="2" t="s">
        <v>3197</v>
      </c>
      <c r="E1151" s="2" t="s">
        <v>9715</v>
      </c>
      <c r="J1151" s="12" t="str">
        <f>VLOOKUP(I1151,'Copy of Enriched Data - IPBES G'!$L$2:$L$229,1,false)</f>
        <v>#N/A</v>
      </c>
      <c r="M1151" s="2" t="s">
        <v>1434</v>
      </c>
      <c r="N1151" s="2" t="s">
        <v>1385</v>
      </c>
      <c r="O1151" s="2" t="s">
        <v>1386</v>
      </c>
      <c r="AB1151" s="2" t="s">
        <v>1607</v>
      </c>
      <c r="AC1151" s="2" t="s">
        <v>1608</v>
      </c>
      <c r="AO1151" s="2" t="s">
        <v>1368</v>
      </c>
    </row>
    <row r="1152" ht="15.75" customHeight="1">
      <c r="A1152" s="2" t="s">
        <v>9716</v>
      </c>
      <c r="B1152" s="2" t="s">
        <v>1396</v>
      </c>
      <c r="C1152" s="2">
        <v>2011.0</v>
      </c>
      <c r="D1152" s="2" t="s">
        <v>3197</v>
      </c>
      <c r="E1152" s="2" t="s">
        <v>9717</v>
      </c>
      <c r="G1152" s="2" t="s">
        <v>9718</v>
      </c>
      <c r="J1152" s="12" t="str">
        <f>VLOOKUP(I1152,'Copy of Enriched Data - IPBES G'!$L$2:$L$229,1,false)</f>
        <v>#N/A</v>
      </c>
      <c r="L1152" s="2" t="s">
        <v>9719</v>
      </c>
      <c r="M1152" s="2" t="s">
        <v>1627</v>
      </c>
      <c r="N1152" s="2" t="s">
        <v>1385</v>
      </c>
      <c r="O1152" s="2" t="s">
        <v>1386</v>
      </c>
      <c r="R1152" s="2" t="s">
        <v>9720</v>
      </c>
      <c r="X1152" s="2" t="s">
        <v>9721</v>
      </c>
      <c r="Y1152" s="2" t="s">
        <v>9722</v>
      </c>
      <c r="AB1152" s="2" t="s">
        <v>1607</v>
      </c>
      <c r="AC1152" s="2" t="s">
        <v>1608</v>
      </c>
      <c r="AO1152" s="2" t="s">
        <v>1368</v>
      </c>
    </row>
    <row r="1153" ht="15.75" customHeight="1">
      <c r="A1153" s="2" t="s">
        <v>9723</v>
      </c>
      <c r="B1153" s="2" t="s">
        <v>1396</v>
      </c>
      <c r="C1153" s="2">
        <v>2009.0</v>
      </c>
      <c r="D1153" s="2" t="s">
        <v>3197</v>
      </c>
      <c r="E1153" s="2" t="s">
        <v>9724</v>
      </c>
      <c r="J1153" s="12" t="str">
        <f>VLOOKUP(I1153,'Copy of Enriched Data - IPBES G'!$L$2:$L$229,1,false)</f>
        <v>#N/A</v>
      </c>
      <c r="M1153" s="2" t="s">
        <v>1364</v>
      </c>
      <c r="N1153" s="2" t="s">
        <v>1385</v>
      </c>
      <c r="O1153" s="2" t="s">
        <v>1386</v>
      </c>
      <c r="AB1153" s="2" t="s">
        <v>1607</v>
      </c>
      <c r="AC1153" s="2" t="s">
        <v>1608</v>
      </c>
      <c r="AO1153" s="2" t="s">
        <v>1368</v>
      </c>
    </row>
    <row r="1154" ht="15.75" customHeight="1">
      <c r="A1154" s="2" t="s">
        <v>9725</v>
      </c>
      <c r="B1154" s="2" t="s">
        <v>1396</v>
      </c>
      <c r="C1154" s="2">
        <v>2007.0</v>
      </c>
      <c r="D1154" s="2" t="s">
        <v>3197</v>
      </c>
      <c r="E1154" s="2" t="s">
        <v>9726</v>
      </c>
      <c r="J1154" s="12" t="str">
        <f>VLOOKUP(I1154,'Copy of Enriched Data - IPBES G'!$L$2:$L$229,1,false)</f>
        <v>#N/A</v>
      </c>
      <c r="M1154" s="2" t="s">
        <v>2380</v>
      </c>
      <c r="N1154" s="2" t="s">
        <v>1385</v>
      </c>
      <c r="O1154" s="2" t="s">
        <v>1386</v>
      </c>
      <c r="R1154" s="2" t="s">
        <v>9727</v>
      </c>
      <c r="AB1154" s="2" t="s">
        <v>1607</v>
      </c>
      <c r="AC1154" s="2" t="s">
        <v>1608</v>
      </c>
      <c r="AO1154" s="2" t="s">
        <v>1368</v>
      </c>
    </row>
    <row r="1155" ht="15.75" customHeight="1">
      <c r="A1155" s="2" t="s">
        <v>9728</v>
      </c>
      <c r="B1155" s="2" t="s">
        <v>1396</v>
      </c>
      <c r="C1155" s="2">
        <v>2006.0</v>
      </c>
      <c r="D1155" s="2" t="s">
        <v>3197</v>
      </c>
      <c r="E1155" s="2" t="s">
        <v>9729</v>
      </c>
      <c r="J1155" s="12" t="str">
        <f>VLOOKUP(I1155,'Copy of Enriched Data - IPBES G'!$L$2:$L$229,1,false)</f>
        <v>#N/A</v>
      </c>
      <c r="M1155" s="2" t="s">
        <v>1727</v>
      </c>
      <c r="N1155" s="2" t="s">
        <v>1385</v>
      </c>
      <c r="O1155" s="2" t="s">
        <v>1386</v>
      </c>
      <c r="AB1155" s="2" t="s">
        <v>1607</v>
      </c>
      <c r="AC1155" s="2" t="s">
        <v>1608</v>
      </c>
      <c r="AO1155" s="2" t="s">
        <v>1368</v>
      </c>
    </row>
    <row r="1156" ht="15.75" customHeight="1">
      <c r="A1156" s="2" t="s">
        <v>9730</v>
      </c>
      <c r="B1156" s="2" t="s">
        <v>1396</v>
      </c>
      <c r="C1156" s="2">
        <v>2000.0</v>
      </c>
      <c r="D1156" s="2" t="s">
        <v>3197</v>
      </c>
      <c r="E1156" s="2" t="s">
        <v>9731</v>
      </c>
      <c r="J1156" s="12" t="str">
        <f>VLOOKUP(I1156,'Copy of Enriched Data - IPBES G'!$L$2:$L$229,1,false)</f>
        <v>#N/A</v>
      </c>
      <c r="K1156" s="2" t="s">
        <v>9732</v>
      </c>
      <c r="M1156" s="2" t="s">
        <v>2429</v>
      </c>
      <c r="N1156" s="2" t="s">
        <v>1385</v>
      </c>
      <c r="O1156" s="2" t="s">
        <v>1386</v>
      </c>
      <c r="AO1156" s="2" t="s">
        <v>1368</v>
      </c>
    </row>
    <row r="1157" ht="15.75" customHeight="1">
      <c r="A1157" s="2" t="s">
        <v>9733</v>
      </c>
      <c r="B1157" s="2" t="s">
        <v>3012</v>
      </c>
      <c r="C1157" s="2">
        <v>2018.0</v>
      </c>
      <c r="D1157" s="2" t="s">
        <v>3197</v>
      </c>
      <c r="E1157" s="2" t="s">
        <v>9734</v>
      </c>
      <c r="J1157" s="12" t="str">
        <f>VLOOKUP(I1157,'Copy of Enriched Data - IPBES G'!$L$2:$L$229,1,false)</f>
        <v>#N/A</v>
      </c>
      <c r="K1157" s="2" t="s">
        <v>9735</v>
      </c>
      <c r="M1157" s="2" t="s">
        <v>1420</v>
      </c>
      <c r="N1157" s="2" t="s">
        <v>1385</v>
      </c>
      <c r="O1157" s="2" t="s">
        <v>1386</v>
      </c>
      <c r="AO1157" s="2" t="s">
        <v>1368</v>
      </c>
    </row>
    <row r="1158" ht="15.75" customHeight="1">
      <c r="A1158" s="2" t="s">
        <v>9736</v>
      </c>
      <c r="B1158" s="2" t="s">
        <v>1396</v>
      </c>
      <c r="C1158" s="2">
        <v>2016.0</v>
      </c>
      <c r="D1158" s="2" t="s">
        <v>3197</v>
      </c>
      <c r="E1158" s="2" t="s">
        <v>9737</v>
      </c>
      <c r="J1158" s="12" t="str">
        <f>VLOOKUP(I1158,'Copy of Enriched Data - IPBES G'!$L$2:$L$229,1,false)</f>
        <v>#N/A</v>
      </c>
      <c r="K1158" s="2" t="s">
        <v>9738</v>
      </c>
      <c r="L1158" s="2" t="s">
        <v>9739</v>
      </c>
      <c r="M1158" s="2" t="s">
        <v>1502</v>
      </c>
      <c r="N1158" s="2" t="s">
        <v>1385</v>
      </c>
      <c r="O1158" s="2" t="s">
        <v>1386</v>
      </c>
      <c r="AO1158" s="2" t="s">
        <v>1368</v>
      </c>
    </row>
    <row r="1159" ht="15.75" customHeight="1">
      <c r="A1159" s="2" t="s">
        <v>9740</v>
      </c>
      <c r="B1159" s="2" t="s">
        <v>1396</v>
      </c>
      <c r="C1159" s="2">
        <v>2015.0</v>
      </c>
      <c r="D1159" s="2" t="s">
        <v>3197</v>
      </c>
      <c r="E1159" s="2" t="s">
        <v>9741</v>
      </c>
      <c r="G1159" s="2" t="s">
        <v>9742</v>
      </c>
      <c r="J1159" s="12" t="str">
        <f>VLOOKUP(I1159,'Copy of Enriched Data - IPBES G'!$L$2:$L$229,1,false)</f>
        <v>#N/A</v>
      </c>
      <c r="K1159" s="2" t="s">
        <v>9743</v>
      </c>
      <c r="L1159" s="2" t="s">
        <v>9744</v>
      </c>
      <c r="M1159" s="2" t="s">
        <v>1373</v>
      </c>
      <c r="N1159" s="2" t="s">
        <v>1385</v>
      </c>
      <c r="O1159" s="2" t="s">
        <v>1386</v>
      </c>
      <c r="R1159" s="2" t="s">
        <v>9745</v>
      </c>
      <c r="AB1159" s="2" t="s">
        <v>1607</v>
      </c>
      <c r="AC1159" s="2" t="s">
        <v>1608</v>
      </c>
      <c r="AO1159" s="2" t="s">
        <v>1368</v>
      </c>
    </row>
    <row r="1160" ht="15.75" customHeight="1">
      <c r="A1160" s="2" t="s">
        <v>9746</v>
      </c>
      <c r="B1160" s="2" t="s">
        <v>1396</v>
      </c>
      <c r="C1160" s="2">
        <v>2012.0</v>
      </c>
      <c r="D1160" s="2" t="s">
        <v>3197</v>
      </c>
      <c r="E1160" s="2" t="s">
        <v>9747</v>
      </c>
      <c r="G1160" s="2" t="s">
        <v>9748</v>
      </c>
      <c r="J1160" s="12" t="str">
        <f>VLOOKUP(I1160,'Copy of Enriched Data - IPBES G'!$L$2:$L$229,1,false)</f>
        <v>#N/A</v>
      </c>
      <c r="K1160" s="2" t="s">
        <v>9749</v>
      </c>
      <c r="L1160" s="2" t="s">
        <v>9750</v>
      </c>
      <c r="M1160" s="2" t="s">
        <v>1405</v>
      </c>
      <c r="N1160" s="2" t="s">
        <v>1385</v>
      </c>
      <c r="O1160" s="2" t="s">
        <v>1386</v>
      </c>
      <c r="R1160" s="2" t="s">
        <v>3665</v>
      </c>
      <c r="AB1160" s="2" t="s">
        <v>1607</v>
      </c>
      <c r="AC1160" s="2" t="s">
        <v>1608</v>
      </c>
      <c r="AO1160" s="2" t="s">
        <v>1368</v>
      </c>
    </row>
    <row r="1161" ht="15.75" customHeight="1">
      <c r="A1161" s="2" t="s">
        <v>9751</v>
      </c>
      <c r="B1161" s="2" t="s">
        <v>1396</v>
      </c>
      <c r="C1161" s="2">
        <v>2017.0</v>
      </c>
      <c r="D1161" s="2" t="s">
        <v>3197</v>
      </c>
      <c r="E1161" s="2" t="s">
        <v>9752</v>
      </c>
      <c r="J1161" s="12" t="str">
        <f>VLOOKUP(I1161,'Copy of Enriched Data - IPBES G'!$L$2:$L$229,1,false)</f>
        <v>#N/A</v>
      </c>
      <c r="M1161" s="2" t="s">
        <v>1658</v>
      </c>
      <c r="N1161" s="2" t="s">
        <v>1385</v>
      </c>
      <c r="O1161" s="2" t="s">
        <v>1386</v>
      </c>
      <c r="AB1161" s="2" t="s">
        <v>2281</v>
      </c>
      <c r="AC1161" s="2" t="s">
        <v>1608</v>
      </c>
      <c r="AO1161" s="2" t="s">
        <v>1368</v>
      </c>
      <c r="AQ1161" s="2" t="s">
        <v>9753</v>
      </c>
    </row>
    <row r="1162" ht="15.75" customHeight="1">
      <c r="A1162" s="2" t="s">
        <v>9754</v>
      </c>
      <c r="B1162" s="2" t="s">
        <v>3012</v>
      </c>
      <c r="C1162" s="2">
        <v>2017.0</v>
      </c>
      <c r="D1162" s="2" t="s">
        <v>9755</v>
      </c>
      <c r="E1162" s="2" t="s">
        <v>9756</v>
      </c>
      <c r="J1162" s="12" t="str">
        <f>VLOOKUP(I1162,'Copy of Enriched Data - IPBES G'!$L$2:$L$229,1,false)</f>
        <v>#N/A</v>
      </c>
      <c r="K1162" s="2" t="s">
        <v>9757</v>
      </c>
      <c r="M1162" s="2" t="s">
        <v>1658</v>
      </c>
      <c r="N1162" s="2" t="s">
        <v>1385</v>
      </c>
      <c r="O1162" s="2" t="s">
        <v>1386</v>
      </c>
      <c r="P1162" s="2" t="s">
        <v>9758</v>
      </c>
      <c r="AO1162" s="2" t="s">
        <v>1368</v>
      </c>
    </row>
    <row r="1163" ht="15.75" customHeight="1">
      <c r="A1163" s="2" t="s">
        <v>9759</v>
      </c>
      <c r="B1163" s="2" t="s">
        <v>1361</v>
      </c>
      <c r="C1163" s="2">
        <v>2004.0</v>
      </c>
      <c r="D1163" s="2" t="s">
        <v>9760</v>
      </c>
      <c r="E1163" s="2" t="s">
        <v>9761</v>
      </c>
      <c r="F1163" s="2" t="s">
        <v>9762</v>
      </c>
      <c r="H1163" s="2" t="s">
        <v>9763</v>
      </c>
      <c r="I1163" s="2" t="s">
        <v>9764</v>
      </c>
      <c r="J1163" s="12" t="str">
        <f>VLOOKUP(I1163,'Copy of Enriched Data - IPBES G'!$L$2:$L$229,1,false)</f>
        <v>#N/A</v>
      </c>
      <c r="K1163" s="2" t="s">
        <v>9765</v>
      </c>
      <c r="L1163" s="2" t="s">
        <v>9766</v>
      </c>
      <c r="M1163" s="2" t="s">
        <v>9767</v>
      </c>
      <c r="N1163" s="2" t="s">
        <v>1385</v>
      </c>
      <c r="O1163" s="2" t="s">
        <v>1386</v>
      </c>
      <c r="Q1163" s="2" t="s">
        <v>9768</v>
      </c>
      <c r="S1163" s="2">
        <v>2.0</v>
      </c>
      <c r="T1163" s="2">
        <v>15.0</v>
      </c>
      <c r="AO1163" s="2" t="s">
        <v>1368</v>
      </c>
    </row>
    <row r="1164" ht="15.75" customHeight="1">
      <c r="A1164" s="2" t="s">
        <v>9769</v>
      </c>
      <c r="B1164" s="2" t="s">
        <v>1623</v>
      </c>
      <c r="C1164" s="2">
        <v>2011.0</v>
      </c>
      <c r="D1164" s="2" t="s">
        <v>3197</v>
      </c>
      <c r="E1164" s="2" t="s">
        <v>9770</v>
      </c>
      <c r="J1164" s="12" t="str">
        <f>VLOOKUP(I1164,'Copy of Enriched Data - IPBES G'!$L$2:$L$229,1,false)</f>
        <v>#N/A</v>
      </c>
      <c r="M1164" s="2" t="s">
        <v>1627</v>
      </c>
      <c r="N1164" s="2" t="s">
        <v>1385</v>
      </c>
      <c r="O1164" s="2" t="s">
        <v>1386</v>
      </c>
      <c r="AC1164" s="2" t="s">
        <v>1608</v>
      </c>
      <c r="AO1164" s="2" t="s">
        <v>1368</v>
      </c>
    </row>
    <row r="1165" ht="15.75" customHeight="1">
      <c r="A1165" s="2" t="s">
        <v>9771</v>
      </c>
      <c r="B1165" s="2" t="s">
        <v>1396</v>
      </c>
      <c r="C1165" s="2">
        <v>2009.0</v>
      </c>
      <c r="D1165" s="2" t="s">
        <v>3197</v>
      </c>
      <c r="E1165" s="2" t="s">
        <v>9772</v>
      </c>
      <c r="G1165" s="2" t="s">
        <v>9773</v>
      </c>
      <c r="J1165" s="12" t="str">
        <f>VLOOKUP(I1165,'Copy of Enriched Data - IPBES G'!$L$2:$L$229,1,false)</f>
        <v>#N/A</v>
      </c>
      <c r="L1165" s="2" t="s">
        <v>9774</v>
      </c>
      <c r="M1165" s="2" t="s">
        <v>9775</v>
      </c>
      <c r="N1165" s="2" t="s">
        <v>1385</v>
      </c>
      <c r="O1165" s="2" t="s">
        <v>1386</v>
      </c>
      <c r="R1165" s="2" t="s">
        <v>5507</v>
      </c>
      <c r="Y1165" s="2" t="s">
        <v>9776</v>
      </c>
      <c r="AB1165" s="2" t="s">
        <v>1628</v>
      </c>
      <c r="AC1165" s="2" t="s">
        <v>1629</v>
      </c>
      <c r="AO1165" s="2" t="s">
        <v>1368</v>
      </c>
    </row>
    <row r="1166" ht="15.75" customHeight="1">
      <c r="A1166" s="2" t="s">
        <v>9777</v>
      </c>
      <c r="B1166" s="2" t="s">
        <v>1781</v>
      </c>
      <c r="C1166" s="2">
        <v>2003.0</v>
      </c>
      <c r="D1166" s="2" t="s">
        <v>3197</v>
      </c>
      <c r="E1166" s="2" t="s">
        <v>9778</v>
      </c>
      <c r="J1166" s="12" t="str">
        <f>VLOOKUP(I1166,'Copy of Enriched Data - IPBES G'!$L$2:$L$229,1,false)</f>
        <v>#N/A</v>
      </c>
      <c r="M1166" s="2" t="s">
        <v>1606</v>
      </c>
      <c r="N1166" s="2" t="s">
        <v>1385</v>
      </c>
      <c r="O1166" s="2" t="s">
        <v>1386</v>
      </c>
      <c r="R1166" s="2" t="s">
        <v>9779</v>
      </c>
      <c r="AO1166" s="2" t="s">
        <v>1368</v>
      </c>
    </row>
    <row r="1167" ht="15.75" customHeight="1">
      <c r="A1167" s="2" t="s">
        <v>9780</v>
      </c>
      <c r="B1167" s="2" t="s">
        <v>1396</v>
      </c>
      <c r="C1167" s="2">
        <v>2015.0</v>
      </c>
      <c r="D1167" s="2" t="s">
        <v>3197</v>
      </c>
      <c r="E1167" s="2" t="s">
        <v>9781</v>
      </c>
      <c r="G1167" s="2" t="s">
        <v>9782</v>
      </c>
      <c r="J1167" s="12" t="str">
        <f>VLOOKUP(I1167,'Copy of Enriched Data - IPBES G'!$L$2:$L$229,1,false)</f>
        <v>#N/A</v>
      </c>
      <c r="L1167" s="2" t="s">
        <v>9783</v>
      </c>
      <c r="M1167" s="2" t="s">
        <v>1373</v>
      </c>
      <c r="N1167" s="2" t="s">
        <v>1385</v>
      </c>
      <c r="O1167" s="2" t="s">
        <v>1386</v>
      </c>
      <c r="R1167" s="2" t="s">
        <v>9784</v>
      </c>
      <c r="T1167" s="2">
        <v>2005.0</v>
      </c>
      <c r="AO1167" s="2" t="s">
        <v>1368</v>
      </c>
    </row>
    <row r="1168" ht="15.75" customHeight="1">
      <c r="A1168" s="2" t="s">
        <v>9785</v>
      </c>
      <c r="B1168" s="2" t="s">
        <v>1623</v>
      </c>
      <c r="C1168" s="2">
        <v>2012.0</v>
      </c>
      <c r="D1168" s="2" t="s">
        <v>3197</v>
      </c>
      <c r="E1168" s="2" t="s">
        <v>9786</v>
      </c>
      <c r="J1168" s="12" t="str">
        <f>VLOOKUP(I1168,'Copy of Enriched Data - IPBES G'!$L$2:$L$229,1,false)</f>
        <v>#N/A</v>
      </c>
      <c r="K1168" s="2" t="s">
        <v>9787</v>
      </c>
      <c r="M1168" s="2" t="s">
        <v>1405</v>
      </c>
      <c r="N1168" s="2" t="s">
        <v>1385</v>
      </c>
      <c r="O1168" s="2" t="s">
        <v>1386</v>
      </c>
      <c r="AB1168" s="2" t="s">
        <v>9788</v>
      </c>
      <c r="AC1168" s="2" t="s">
        <v>1608</v>
      </c>
      <c r="AO1168" s="2" t="s">
        <v>1368</v>
      </c>
    </row>
    <row r="1169" ht="15.75" customHeight="1">
      <c r="A1169" s="2" t="s">
        <v>9789</v>
      </c>
      <c r="B1169" s="2" t="s">
        <v>1396</v>
      </c>
      <c r="C1169" s="2">
        <v>2017.0</v>
      </c>
      <c r="D1169" s="2" t="s">
        <v>3197</v>
      </c>
      <c r="E1169" s="2" t="s">
        <v>9790</v>
      </c>
      <c r="G1169" s="2" t="s">
        <v>9791</v>
      </c>
      <c r="J1169" s="12" t="str">
        <f>VLOOKUP(I1169,'Copy of Enriched Data - IPBES G'!$L$2:$L$229,1,false)</f>
        <v>#N/A</v>
      </c>
      <c r="M1169" s="2" t="s">
        <v>1658</v>
      </c>
      <c r="N1169" s="2" t="s">
        <v>1385</v>
      </c>
      <c r="O1169" s="2" t="s">
        <v>1386</v>
      </c>
      <c r="AB1169" s="2" t="s">
        <v>1607</v>
      </c>
      <c r="AC1169" s="2" t="s">
        <v>1608</v>
      </c>
      <c r="AO1169" s="2" t="s">
        <v>1368</v>
      </c>
    </row>
    <row r="1170" ht="15.75" customHeight="1">
      <c r="A1170" s="2" t="s">
        <v>9792</v>
      </c>
      <c r="B1170" s="2" t="s">
        <v>1361</v>
      </c>
      <c r="C1170" s="2">
        <v>2004.0</v>
      </c>
      <c r="D1170" s="2" t="s">
        <v>9793</v>
      </c>
      <c r="E1170" s="2" t="s">
        <v>9794</v>
      </c>
      <c r="F1170" s="2" t="s">
        <v>4956</v>
      </c>
      <c r="I1170" s="2" t="s">
        <v>9795</v>
      </c>
      <c r="J1170" s="12" t="str">
        <f>VLOOKUP(I1170,'Copy of Enriched Data - IPBES G'!$L$2:$L$229,1,false)</f>
        <v>#N/A</v>
      </c>
      <c r="M1170" s="2" t="s">
        <v>5948</v>
      </c>
      <c r="N1170" s="2" t="s">
        <v>1385</v>
      </c>
      <c r="O1170" s="2" t="s">
        <v>1386</v>
      </c>
      <c r="Q1170" s="2" t="s">
        <v>9796</v>
      </c>
      <c r="S1170" s="2">
        <v>1.0</v>
      </c>
      <c r="T1170" s="2">
        <v>1023.0</v>
      </c>
      <c r="AO1170" s="2" t="s">
        <v>1368</v>
      </c>
    </row>
    <row r="1171" ht="15.75" customHeight="1">
      <c r="A1171" s="2" t="s">
        <v>9797</v>
      </c>
      <c r="B1171" s="2" t="s">
        <v>1396</v>
      </c>
      <c r="C1171" s="2">
        <v>2014.0</v>
      </c>
      <c r="D1171" s="2" t="s">
        <v>9798</v>
      </c>
      <c r="E1171" s="2" t="s">
        <v>9799</v>
      </c>
      <c r="J1171" s="12" t="str">
        <f>VLOOKUP(I1171,'Copy of Enriched Data - IPBES G'!$L$2:$L$229,1,false)</f>
        <v>#N/A</v>
      </c>
      <c r="M1171" s="2" t="s">
        <v>1476</v>
      </c>
      <c r="N1171" s="2" t="s">
        <v>1385</v>
      </c>
      <c r="O1171" s="2" t="s">
        <v>1386</v>
      </c>
      <c r="AB1171" s="2" t="s">
        <v>1771</v>
      </c>
      <c r="AO1171" s="2" t="s">
        <v>1368</v>
      </c>
    </row>
    <row r="1172" ht="15.75" customHeight="1">
      <c r="A1172" s="2" t="s">
        <v>9800</v>
      </c>
      <c r="B1172" s="2" t="s">
        <v>1361</v>
      </c>
      <c r="C1172" s="2">
        <v>2012.0</v>
      </c>
      <c r="D1172" s="2" t="s">
        <v>9801</v>
      </c>
      <c r="E1172" s="2" t="s">
        <v>9802</v>
      </c>
      <c r="F1172" s="2" t="s">
        <v>3295</v>
      </c>
      <c r="H1172" s="2" t="s">
        <v>3296</v>
      </c>
      <c r="I1172" s="2" t="s">
        <v>9803</v>
      </c>
      <c r="J1172" s="12" t="str">
        <f>VLOOKUP(I1172,'Copy of Enriched Data - IPBES G'!$L$2:$L$229,1,false)</f>
        <v>#N/A</v>
      </c>
      <c r="M1172" s="2" t="s">
        <v>9804</v>
      </c>
      <c r="N1172" s="2" t="s">
        <v>1385</v>
      </c>
      <c r="O1172" s="2" t="s">
        <v>1386</v>
      </c>
      <c r="Q1172" s="2" t="s">
        <v>4505</v>
      </c>
      <c r="S1172" s="2">
        <v>3.0</v>
      </c>
      <c r="T1172" s="2">
        <v>5.0</v>
      </c>
      <c r="AO1172" s="2" t="s">
        <v>1368</v>
      </c>
    </row>
    <row r="1173" ht="15.75" customHeight="1">
      <c r="A1173" s="2" t="s">
        <v>9805</v>
      </c>
      <c r="B1173" s="2" t="s">
        <v>1361</v>
      </c>
      <c r="C1173" s="2">
        <v>2011.0</v>
      </c>
      <c r="D1173" s="2" t="s">
        <v>9806</v>
      </c>
      <c r="E1173" s="2" t="s">
        <v>9807</v>
      </c>
      <c r="F1173" s="2" t="s">
        <v>4956</v>
      </c>
      <c r="H1173" s="2" t="s">
        <v>4957</v>
      </c>
      <c r="I1173" s="2" t="s">
        <v>9808</v>
      </c>
      <c r="J1173" s="12" t="str">
        <f>VLOOKUP(I1173,'Copy of Enriched Data - IPBES G'!$L$2:$L$229,1,false)</f>
        <v>#N/A</v>
      </c>
      <c r="L1173" s="2" t="s">
        <v>9809</v>
      </c>
      <c r="M1173" s="2" t="s">
        <v>9810</v>
      </c>
      <c r="N1173" s="2" t="s">
        <v>1385</v>
      </c>
      <c r="O1173" s="2" t="s">
        <v>1386</v>
      </c>
      <c r="Q1173" s="2" t="s">
        <v>7161</v>
      </c>
      <c r="S1173" s="2">
        <v>1.0</v>
      </c>
      <c r="T1173" s="2">
        <v>1219.0</v>
      </c>
      <c r="AO1173" s="2" t="s">
        <v>1368</v>
      </c>
    </row>
    <row r="1174" ht="15.75" customHeight="1">
      <c r="A1174" s="2" t="s">
        <v>9811</v>
      </c>
      <c r="B1174" s="2" t="s">
        <v>1361</v>
      </c>
      <c r="C1174" s="2">
        <v>2008.0</v>
      </c>
      <c r="D1174" s="2" t="s">
        <v>9812</v>
      </c>
      <c r="E1174" s="2" t="s">
        <v>9813</v>
      </c>
      <c r="F1174" s="2" t="s">
        <v>9814</v>
      </c>
      <c r="H1174" s="2" t="s">
        <v>7711</v>
      </c>
      <c r="I1174" s="2" t="s">
        <v>9815</v>
      </c>
      <c r="J1174" s="12" t="str">
        <f>VLOOKUP(I1174,'Copy of Enriched Data - IPBES G'!$L$2:$L$229,1,false)</f>
        <v>#N/A</v>
      </c>
      <c r="L1174" s="2" t="s">
        <v>9816</v>
      </c>
      <c r="M1174" s="2" t="s">
        <v>9817</v>
      </c>
      <c r="N1174" s="2" t="s">
        <v>1385</v>
      </c>
      <c r="O1174" s="2" t="s">
        <v>1386</v>
      </c>
      <c r="Q1174" s="2" t="s">
        <v>9818</v>
      </c>
      <c r="S1174" s="2">
        <v>4.0</v>
      </c>
      <c r="T1174" s="2">
        <v>65.0</v>
      </c>
      <c r="AO1174" s="2" t="s">
        <v>1368</v>
      </c>
    </row>
    <row r="1175" ht="15.75" customHeight="1">
      <c r="A1175" s="2" t="s">
        <v>9819</v>
      </c>
      <c r="B1175" s="2" t="s">
        <v>1396</v>
      </c>
      <c r="C1175" s="2">
        <v>2013.0</v>
      </c>
      <c r="D1175" s="2" t="s">
        <v>9820</v>
      </c>
      <c r="E1175" s="2" t="s">
        <v>9821</v>
      </c>
      <c r="J1175" s="12" t="str">
        <f>VLOOKUP(I1175,'Copy of Enriched Data - IPBES G'!$L$2:$L$229,1,false)</f>
        <v>#N/A</v>
      </c>
      <c r="M1175" s="2" t="s">
        <v>1429</v>
      </c>
      <c r="N1175" s="2" t="s">
        <v>1385</v>
      </c>
      <c r="O1175" s="2" t="s">
        <v>1386</v>
      </c>
      <c r="AB1175" s="2" t="s">
        <v>1771</v>
      </c>
      <c r="AO1175" s="2" t="s">
        <v>1368</v>
      </c>
    </row>
    <row r="1176" ht="15.75" customHeight="1">
      <c r="A1176" s="2" t="s">
        <v>9822</v>
      </c>
      <c r="B1176" s="2" t="s">
        <v>1361</v>
      </c>
      <c r="C1176" s="2">
        <v>2008.0</v>
      </c>
      <c r="D1176" s="2" t="s">
        <v>9823</v>
      </c>
      <c r="E1176" s="2" t="s">
        <v>9824</v>
      </c>
      <c r="F1176" s="2" t="s">
        <v>3148</v>
      </c>
      <c r="H1176" s="2" t="s">
        <v>9825</v>
      </c>
      <c r="I1176" s="2" t="s">
        <v>9826</v>
      </c>
      <c r="J1176" s="12" t="str">
        <f>VLOOKUP(I1176,'Copy of Enriched Data - IPBES G'!$L$2:$L$229,1,false)</f>
        <v>#N/A</v>
      </c>
      <c r="L1176" s="2" t="s">
        <v>9827</v>
      </c>
      <c r="M1176" s="2" t="s">
        <v>1458</v>
      </c>
      <c r="N1176" s="2" t="s">
        <v>1385</v>
      </c>
      <c r="O1176" s="2" t="s">
        <v>1386</v>
      </c>
      <c r="Q1176" s="2" t="s">
        <v>9828</v>
      </c>
      <c r="S1176" s="2">
        <v>4.0</v>
      </c>
      <c r="T1176" s="2">
        <v>56.0</v>
      </c>
      <c r="AO1176" s="2" t="s">
        <v>1368</v>
      </c>
    </row>
    <row r="1177" ht="15.75" customHeight="1">
      <c r="A1177" s="2" t="s">
        <v>9829</v>
      </c>
      <c r="B1177" s="2" t="s">
        <v>1396</v>
      </c>
      <c r="C1177" s="2">
        <v>2010.0</v>
      </c>
      <c r="D1177" s="2" t="s">
        <v>9830</v>
      </c>
      <c r="E1177" s="2" t="s">
        <v>9831</v>
      </c>
      <c r="J1177" s="12" t="str">
        <f>VLOOKUP(I1177,'Copy of Enriched Data - IPBES G'!$L$2:$L$229,1,false)</f>
        <v>#N/A</v>
      </c>
      <c r="M1177" s="2" t="s">
        <v>1449</v>
      </c>
      <c r="N1177" s="2" t="s">
        <v>1385</v>
      </c>
      <c r="O1177" s="2" t="s">
        <v>1386</v>
      </c>
      <c r="AB1177" s="2" t="s">
        <v>7574</v>
      </c>
      <c r="AO1177" s="2" t="s">
        <v>1368</v>
      </c>
    </row>
    <row r="1178" ht="15.75" customHeight="1">
      <c r="A1178" s="2" t="s">
        <v>9836</v>
      </c>
      <c r="B1178" s="2" t="s">
        <v>1396</v>
      </c>
      <c r="C1178" s="2">
        <v>2000.0</v>
      </c>
      <c r="D1178" s="2" t="s">
        <v>9837</v>
      </c>
      <c r="E1178" s="2" t="s">
        <v>9838</v>
      </c>
      <c r="J1178" s="12" t="str">
        <f>VLOOKUP(I1178,'Copy of Enriched Data - IPBES G'!$L$2:$L$229,1,false)</f>
        <v>#N/A</v>
      </c>
      <c r="M1178" s="2" t="s">
        <v>2429</v>
      </c>
      <c r="N1178" s="2" t="s">
        <v>1385</v>
      </c>
      <c r="O1178" s="2" t="s">
        <v>1386</v>
      </c>
      <c r="T1178" s="2">
        <v>2412.0</v>
      </c>
      <c r="AB1178" s="2" t="s">
        <v>1406</v>
      </c>
      <c r="AO1178" s="2" t="s">
        <v>1368</v>
      </c>
    </row>
    <row r="1179" ht="15.75" customHeight="1">
      <c r="A1179" s="2" t="s">
        <v>9839</v>
      </c>
      <c r="B1179" s="2" t="s">
        <v>1361</v>
      </c>
      <c r="C1179" s="2">
        <v>2010.0</v>
      </c>
      <c r="D1179" s="2" t="s">
        <v>9840</v>
      </c>
      <c r="E1179" s="2" t="s">
        <v>9841</v>
      </c>
      <c r="F1179" s="2" t="s">
        <v>9842</v>
      </c>
      <c r="H1179" s="2" t="s">
        <v>9843</v>
      </c>
      <c r="I1179" s="2" t="s">
        <v>9844</v>
      </c>
      <c r="J1179" s="12" t="str">
        <f>VLOOKUP(I1179,'Copy of Enriched Data - IPBES G'!$L$2:$L$229,1,false)</f>
        <v>#N/A</v>
      </c>
      <c r="L1179" s="2" t="s">
        <v>9845</v>
      </c>
      <c r="M1179" s="2" t="s">
        <v>1449</v>
      </c>
      <c r="N1179" s="2" t="s">
        <v>1385</v>
      </c>
      <c r="O1179" s="2" t="s">
        <v>1386</v>
      </c>
      <c r="AO1179" s="2" t="s">
        <v>1368</v>
      </c>
    </row>
    <row r="1180" ht="15.75" customHeight="1">
      <c r="A1180" s="2" t="s">
        <v>9846</v>
      </c>
      <c r="B1180" s="2" t="s">
        <v>1766</v>
      </c>
      <c r="C1180" s="2">
        <v>2016.0</v>
      </c>
      <c r="D1180" s="2" t="s">
        <v>9847</v>
      </c>
      <c r="E1180" s="2" t="s">
        <v>9848</v>
      </c>
      <c r="F1180" s="2" t="s">
        <v>9849</v>
      </c>
      <c r="J1180" s="12" t="str">
        <f>VLOOKUP(I1180,'Copy of Enriched Data - IPBES G'!$L$2:$L$229,1,false)</f>
        <v>#N/A</v>
      </c>
      <c r="M1180" s="2" t="s">
        <v>1502</v>
      </c>
      <c r="N1180" s="2" t="s">
        <v>1385</v>
      </c>
      <c r="O1180" s="2" t="s">
        <v>1386</v>
      </c>
      <c r="Q1180" s="2" t="s">
        <v>9850</v>
      </c>
      <c r="AB1180" s="2" t="s">
        <v>2441</v>
      </c>
      <c r="AO1180" s="2" t="s">
        <v>1368</v>
      </c>
    </row>
    <row r="1181" ht="15.75" customHeight="1">
      <c r="A1181" s="2" t="s">
        <v>9851</v>
      </c>
      <c r="B1181" s="2" t="s">
        <v>1361</v>
      </c>
      <c r="C1181" s="2">
        <v>2007.0</v>
      </c>
      <c r="D1181" s="2" t="s">
        <v>9852</v>
      </c>
      <c r="E1181" s="2" t="s">
        <v>9853</v>
      </c>
      <c r="F1181" s="2" t="s">
        <v>9854</v>
      </c>
      <c r="H1181" s="2" t="s">
        <v>9855</v>
      </c>
      <c r="I1181" s="2" t="s">
        <v>9856</v>
      </c>
      <c r="J1181" s="12" t="str">
        <f>VLOOKUP(I1181,'Copy of Enriched Data - IPBES G'!$L$2:$L$229,1,false)</f>
        <v>#N/A</v>
      </c>
      <c r="M1181" s="2" t="s">
        <v>2380</v>
      </c>
      <c r="N1181" s="2" t="s">
        <v>1385</v>
      </c>
      <c r="O1181" s="2" t="s">
        <v>1386</v>
      </c>
      <c r="Q1181" s="2" t="s">
        <v>9857</v>
      </c>
      <c r="S1181" s="2">
        <v>1.0</v>
      </c>
      <c r="T1181" s="2">
        <v>25.0</v>
      </c>
      <c r="AO1181" s="2" t="s">
        <v>1368</v>
      </c>
    </row>
    <row r="1182" ht="15.75" customHeight="1">
      <c r="A1182" s="2" t="s">
        <v>9858</v>
      </c>
      <c r="B1182" s="2" t="s">
        <v>1396</v>
      </c>
      <c r="C1182" s="2">
        <v>2018.0</v>
      </c>
      <c r="D1182" s="2" t="s">
        <v>3197</v>
      </c>
      <c r="E1182" s="2" t="s">
        <v>9859</v>
      </c>
      <c r="J1182" s="12" t="str">
        <f>VLOOKUP(I1182,'Copy of Enriched Data - IPBES G'!$L$2:$L$229,1,false)</f>
        <v>#N/A</v>
      </c>
      <c r="K1182" s="2" t="s">
        <v>9860</v>
      </c>
      <c r="M1182" s="2" t="s">
        <v>1420</v>
      </c>
      <c r="N1182" s="2" t="s">
        <v>1385</v>
      </c>
      <c r="O1182" s="2" t="s">
        <v>1386</v>
      </c>
      <c r="P1182" s="2" t="s">
        <v>4906</v>
      </c>
      <c r="AO1182" s="2" t="s">
        <v>1368</v>
      </c>
    </row>
    <row r="1183" ht="15.75" customHeight="1">
      <c r="A1183" s="2" t="s">
        <v>9861</v>
      </c>
      <c r="B1183" s="2" t="s">
        <v>1396</v>
      </c>
      <c r="C1183" s="2">
        <v>2018.0</v>
      </c>
      <c r="D1183" s="2" t="s">
        <v>9862</v>
      </c>
      <c r="E1183" s="2" t="s">
        <v>9863</v>
      </c>
      <c r="J1183" s="12" t="str">
        <f>VLOOKUP(I1183,'Copy of Enriched Data - IPBES G'!$L$2:$L$229,1,false)</f>
        <v>#N/A</v>
      </c>
      <c r="M1183" s="2" t="s">
        <v>1420</v>
      </c>
      <c r="N1183" s="2" t="s">
        <v>1385</v>
      </c>
      <c r="O1183" s="2" t="s">
        <v>1386</v>
      </c>
      <c r="AB1183" s="2" t="s">
        <v>9864</v>
      </c>
      <c r="AO1183" s="2" t="s">
        <v>1368</v>
      </c>
    </row>
    <row r="1184" ht="15.75" customHeight="1">
      <c r="A1184" s="2" t="s">
        <v>9865</v>
      </c>
      <c r="B1184" s="2" t="s">
        <v>1361</v>
      </c>
      <c r="C1184" s="2">
        <v>2008.0</v>
      </c>
      <c r="D1184" s="2" t="s">
        <v>9866</v>
      </c>
      <c r="E1184" s="2" t="s">
        <v>9867</v>
      </c>
      <c r="F1184" s="2" t="s">
        <v>9868</v>
      </c>
      <c r="I1184" s="2" t="s">
        <v>9869</v>
      </c>
      <c r="J1184" s="12" t="str">
        <f>VLOOKUP(I1184,'Copy of Enriched Data - IPBES G'!$L$2:$L$229,1,false)</f>
        <v>#N/A</v>
      </c>
      <c r="M1184" s="2">
        <v>2008.0</v>
      </c>
      <c r="N1184" s="2" t="s">
        <v>9870</v>
      </c>
      <c r="O1184" s="2" t="s">
        <v>9871</v>
      </c>
      <c r="Q1184" s="2" t="s">
        <v>9872</v>
      </c>
      <c r="S1184" s="2">
        <v>5.0</v>
      </c>
      <c r="T1184" s="2">
        <v>9.0</v>
      </c>
      <c r="AO1184" s="2" t="s">
        <v>1368</v>
      </c>
    </row>
    <row r="1185" ht="15.75" customHeight="1">
      <c r="A1185" s="2" t="s">
        <v>9873</v>
      </c>
      <c r="B1185" s="2" t="s">
        <v>1361</v>
      </c>
      <c r="C1185" s="2">
        <v>2015.0</v>
      </c>
      <c r="D1185" s="2" t="s">
        <v>9874</v>
      </c>
      <c r="E1185" s="2" t="s">
        <v>9875</v>
      </c>
      <c r="F1185" s="2" t="s">
        <v>1789</v>
      </c>
      <c r="I1185" s="2" t="s">
        <v>9876</v>
      </c>
      <c r="J1185" s="12" t="str">
        <f>VLOOKUP(I1185,'Copy of Enriched Data - IPBES G'!$L$2:$L$229,1,false)</f>
        <v>#N/A</v>
      </c>
      <c r="M1185" s="2">
        <v>2015.0</v>
      </c>
      <c r="N1185" s="2" t="s">
        <v>9877</v>
      </c>
      <c r="O1185" s="2" t="s">
        <v>9878</v>
      </c>
      <c r="Q1185" s="2" t="s">
        <v>9879</v>
      </c>
      <c r="T1185" s="2">
        <v>35.0</v>
      </c>
      <c r="AO1185" s="2" t="s">
        <v>1368</v>
      </c>
    </row>
    <row r="1186" ht="15.75" customHeight="1">
      <c r="A1186" s="2" t="s">
        <v>9880</v>
      </c>
      <c r="B1186" s="2" t="s">
        <v>1361</v>
      </c>
      <c r="C1186" s="2">
        <v>1995.0</v>
      </c>
      <c r="D1186" s="2" t="s">
        <v>9881</v>
      </c>
      <c r="E1186" s="2" t="s">
        <v>9882</v>
      </c>
      <c r="F1186" s="2" t="s">
        <v>9883</v>
      </c>
      <c r="I1186" s="2" t="s">
        <v>9884</v>
      </c>
      <c r="J1186" s="12" t="str">
        <f>VLOOKUP(I1186,'Copy of Enriched Data - IPBES G'!$L$2:$L$229,1,false)</f>
        <v>#N/A</v>
      </c>
      <c r="M1186" s="2">
        <v>1995.0</v>
      </c>
      <c r="N1186" s="2" t="s">
        <v>9885</v>
      </c>
      <c r="O1186" s="2" t="s">
        <v>9886</v>
      </c>
      <c r="Q1186" s="2" t="s">
        <v>9887</v>
      </c>
      <c r="S1186" s="2">
        <v>1.0</v>
      </c>
      <c r="T1186" s="2">
        <v>26.0</v>
      </c>
      <c r="AO1186" s="2" t="s">
        <v>1368</v>
      </c>
    </row>
    <row r="1187" ht="15.75" customHeight="1">
      <c r="A1187" s="2" t="s">
        <v>9888</v>
      </c>
      <c r="B1187" s="2" t="s">
        <v>1361</v>
      </c>
      <c r="C1187" s="2">
        <v>2002.0</v>
      </c>
      <c r="D1187" s="2" t="s">
        <v>9889</v>
      </c>
      <c r="E1187" s="2" t="s">
        <v>9890</v>
      </c>
      <c r="F1187" s="2" t="s">
        <v>2340</v>
      </c>
      <c r="H1187" s="2" t="s">
        <v>2341</v>
      </c>
      <c r="I1187" s="2" t="s">
        <v>9891</v>
      </c>
      <c r="J1187" s="12" t="str">
        <f>VLOOKUP(I1187,'Copy of Enriched Data - IPBES G'!$L$2:$L$229,1,false)</f>
        <v>#N/A</v>
      </c>
      <c r="K1187" s="2" t="s">
        <v>9892</v>
      </c>
      <c r="M1187" s="2">
        <v>2002.0</v>
      </c>
      <c r="N1187" s="2" t="s">
        <v>9893</v>
      </c>
      <c r="O1187" s="2" t="s">
        <v>9894</v>
      </c>
      <c r="P1187" s="2" t="s">
        <v>9895</v>
      </c>
      <c r="Q1187" s="2" t="s">
        <v>9896</v>
      </c>
      <c r="S1187" s="2">
        <v>5.0</v>
      </c>
      <c r="T1187" s="2">
        <v>23.0</v>
      </c>
      <c r="AI1187" s="2" t="s">
        <v>1541</v>
      </c>
      <c r="AO1187" s="2" t="s">
        <v>1885</v>
      </c>
    </row>
    <row r="1188" ht="15.75" customHeight="1">
      <c r="A1188" s="2" t="s">
        <v>9897</v>
      </c>
      <c r="B1188" s="2" t="s">
        <v>1361</v>
      </c>
      <c r="C1188" s="2">
        <v>2015.0</v>
      </c>
      <c r="D1188" s="2" t="s">
        <v>9898</v>
      </c>
      <c r="E1188" s="2" t="s">
        <v>9899</v>
      </c>
      <c r="F1188" s="2" t="s">
        <v>9900</v>
      </c>
      <c r="H1188" s="2" t="s">
        <v>9901</v>
      </c>
      <c r="I1188" s="2" t="s">
        <v>9902</v>
      </c>
      <c r="J1188" s="12" t="str">
        <f>VLOOKUP(I1188,'Copy of Enriched Data - IPBES G'!$L$2:$L$229,1,false)</f>
        <v>#N/A</v>
      </c>
      <c r="L1188" s="2" t="s">
        <v>9903</v>
      </c>
      <c r="M1188" s="2">
        <v>2015.0</v>
      </c>
      <c r="N1188" s="2" t="s">
        <v>1385</v>
      </c>
      <c r="O1188" s="2" t="s">
        <v>1386</v>
      </c>
      <c r="Q1188" s="2" t="s">
        <v>9904</v>
      </c>
      <c r="S1188" s="2">
        <v>1.0</v>
      </c>
      <c r="T1188" s="2">
        <v>22.0</v>
      </c>
      <c r="AO1188" s="2" t="s">
        <v>1368</v>
      </c>
    </row>
    <row r="1189" ht="15.75" customHeight="1">
      <c r="A1189" s="2" t="s">
        <v>9905</v>
      </c>
      <c r="B1189" s="2" t="s">
        <v>1396</v>
      </c>
      <c r="C1189" s="2">
        <v>2013.0</v>
      </c>
      <c r="D1189" s="2" t="s">
        <v>9906</v>
      </c>
      <c r="E1189" s="2" t="s">
        <v>9907</v>
      </c>
      <c r="J1189" s="12" t="str">
        <f>VLOOKUP(I1189,'Copy of Enriched Data - IPBES G'!$L$2:$L$229,1,false)</f>
        <v>#N/A</v>
      </c>
      <c r="M1189" s="2">
        <v>2013.0</v>
      </c>
      <c r="N1189" s="2" t="s">
        <v>1385</v>
      </c>
      <c r="O1189" s="2" t="s">
        <v>1386</v>
      </c>
      <c r="T1189" s="2">
        <v>8.0</v>
      </c>
      <c r="AB1189" s="2" t="s">
        <v>9908</v>
      </c>
      <c r="AO1189" s="2" t="s">
        <v>1368</v>
      </c>
    </row>
    <row r="1190" ht="15.75" customHeight="1">
      <c r="A1190" s="2" t="s">
        <v>9909</v>
      </c>
      <c r="B1190" s="2" t="s">
        <v>1396</v>
      </c>
      <c r="C1190" s="2">
        <v>2011.0</v>
      </c>
      <c r="D1190" s="2" t="s">
        <v>9910</v>
      </c>
      <c r="E1190" s="2" t="s">
        <v>9911</v>
      </c>
      <c r="G1190" s="2" t="s">
        <v>9912</v>
      </c>
      <c r="J1190" s="12" t="str">
        <f>VLOOKUP(I1190,'Copy of Enriched Data - IPBES G'!$L$2:$L$229,1,false)</f>
        <v>#N/A</v>
      </c>
      <c r="L1190" s="2" t="s">
        <v>9913</v>
      </c>
      <c r="M1190" s="2">
        <v>2011.0</v>
      </c>
      <c r="N1190" s="2" t="s">
        <v>1385</v>
      </c>
      <c r="O1190" s="2" t="s">
        <v>1386</v>
      </c>
      <c r="R1190" s="2">
        <v>239.0</v>
      </c>
      <c r="AB1190" s="2" t="s">
        <v>2441</v>
      </c>
      <c r="AO1190" s="2" t="s">
        <v>1368</v>
      </c>
    </row>
    <row r="1191" ht="15.75" customHeight="1">
      <c r="A1191" s="2" t="s">
        <v>9914</v>
      </c>
      <c r="B1191" s="2" t="s">
        <v>1361</v>
      </c>
      <c r="C1191" s="2">
        <v>2012.0</v>
      </c>
      <c r="D1191" s="2" t="s">
        <v>9915</v>
      </c>
      <c r="E1191" s="2" t="s">
        <v>9916</v>
      </c>
      <c r="F1191" s="2" t="s">
        <v>2665</v>
      </c>
      <c r="H1191" s="2" t="s">
        <v>7103</v>
      </c>
      <c r="I1191" s="2" t="s">
        <v>9917</v>
      </c>
      <c r="J1191" s="12" t="str">
        <f>VLOOKUP(I1191,'Copy of Enriched Data - IPBES G'!$L$2:$L$229,1,false)</f>
        <v>#N/A</v>
      </c>
      <c r="L1191" s="2" t="s">
        <v>9918</v>
      </c>
      <c r="M1191" s="2">
        <v>2012.0</v>
      </c>
      <c r="N1191" s="2" t="s">
        <v>1385</v>
      </c>
      <c r="O1191" s="2" t="s">
        <v>1386</v>
      </c>
      <c r="Q1191" s="2" t="s">
        <v>9919</v>
      </c>
      <c r="S1191" s="2">
        <v>4.0</v>
      </c>
      <c r="T1191" s="2">
        <v>40.0</v>
      </c>
      <c r="AO1191" s="2" t="s">
        <v>1368</v>
      </c>
    </row>
    <row r="1192" ht="15.75" customHeight="1">
      <c r="A1192" s="2" t="s">
        <v>9920</v>
      </c>
      <c r="B1192" s="2" t="s">
        <v>1396</v>
      </c>
      <c r="C1192" s="2">
        <v>2002.0</v>
      </c>
      <c r="D1192" s="2" t="s">
        <v>9921</v>
      </c>
      <c r="E1192" s="2" t="s">
        <v>9922</v>
      </c>
      <c r="J1192" s="12" t="str">
        <f>VLOOKUP(I1192,'Copy of Enriched Data - IPBES G'!$L$2:$L$229,1,false)</f>
        <v>#N/A</v>
      </c>
      <c r="M1192" s="2">
        <v>2002.0</v>
      </c>
      <c r="N1192" s="2" t="s">
        <v>1385</v>
      </c>
      <c r="O1192" s="2" t="s">
        <v>1386</v>
      </c>
      <c r="AB1192" s="2" t="s">
        <v>9923</v>
      </c>
      <c r="AO1192" s="2" t="s">
        <v>1368</v>
      </c>
    </row>
    <row r="1193" ht="15.75" customHeight="1">
      <c r="A1193" s="2" t="s">
        <v>9924</v>
      </c>
      <c r="B1193" s="2" t="s">
        <v>1766</v>
      </c>
      <c r="C1193" s="2">
        <v>2017.0</v>
      </c>
      <c r="D1193" s="2" t="s">
        <v>9925</v>
      </c>
      <c r="E1193" s="2" t="s">
        <v>9926</v>
      </c>
      <c r="F1193" s="2" t="s">
        <v>9927</v>
      </c>
      <c r="J1193" s="12" t="str">
        <f>VLOOKUP(I1193,'Copy of Enriched Data - IPBES G'!$L$2:$L$229,1,false)</f>
        <v>#N/A</v>
      </c>
      <c r="M1193" s="2">
        <v>2017.0</v>
      </c>
      <c r="N1193" s="2" t="s">
        <v>1385</v>
      </c>
      <c r="O1193" s="2" t="s">
        <v>1386</v>
      </c>
      <c r="Q1193" s="2" t="s">
        <v>9928</v>
      </c>
      <c r="AB1193" s="2" t="s">
        <v>5287</v>
      </c>
      <c r="AO1193" s="2" t="s">
        <v>1368</v>
      </c>
    </row>
    <row r="1194" ht="15.75" customHeight="1">
      <c r="A1194" s="2" t="s">
        <v>9943</v>
      </c>
      <c r="B1194" s="2" t="s">
        <v>1361</v>
      </c>
      <c r="C1194" s="2">
        <v>1999.0</v>
      </c>
      <c r="D1194" s="2" t="s">
        <v>9944</v>
      </c>
      <c r="E1194" s="2" t="s">
        <v>9945</v>
      </c>
      <c r="F1194" s="2" t="s">
        <v>8223</v>
      </c>
      <c r="I1194" s="2" t="s">
        <v>9946</v>
      </c>
      <c r="J1194" s="12" t="str">
        <f>VLOOKUP(I1194,'Copy of Enriched Data - IPBES G'!$L$2:$L$229,1,false)</f>
        <v>#N/A</v>
      </c>
      <c r="M1194" s="2" t="s">
        <v>1434</v>
      </c>
      <c r="N1194" s="2" t="s">
        <v>6497</v>
      </c>
      <c r="O1194" s="2" t="s">
        <v>6498</v>
      </c>
      <c r="Q1194" s="2" t="s">
        <v>9947</v>
      </c>
      <c r="S1194" s="2">
        <v>2.0</v>
      </c>
      <c r="T1194" s="2">
        <v>27.0</v>
      </c>
      <c r="AO1194" s="2" t="s">
        <v>1368</v>
      </c>
    </row>
    <row r="1195" ht="15.75" customHeight="1">
      <c r="A1195" s="2" t="s">
        <v>9948</v>
      </c>
      <c r="B1195" s="2" t="s">
        <v>1361</v>
      </c>
      <c r="C1195" s="2">
        <v>2015.0</v>
      </c>
      <c r="D1195" s="2" t="s">
        <v>9949</v>
      </c>
      <c r="E1195" s="2" t="s">
        <v>9950</v>
      </c>
      <c r="F1195" s="2" t="s">
        <v>9476</v>
      </c>
      <c r="I1195" s="2" t="s">
        <v>9951</v>
      </c>
      <c r="J1195" s="12" t="str">
        <f>VLOOKUP(I1195,'Copy of Enriched Data - IPBES G'!$L$2:$L$229,1,false)</f>
        <v>#N/A</v>
      </c>
      <c r="M1195" s="2" t="s">
        <v>1373</v>
      </c>
      <c r="N1195" s="2" t="s">
        <v>2634</v>
      </c>
      <c r="O1195" s="2" t="s">
        <v>2635</v>
      </c>
      <c r="Q1195" s="2" t="s">
        <v>9952</v>
      </c>
      <c r="S1195" s="2">
        <v>4.0</v>
      </c>
      <c r="T1195" s="2">
        <v>16.0</v>
      </c>
      <c r="AO1195" s="2" t="s">
        <v>1368</v>
      </c>
    </row>
    <row r="1196" ht="15.75" customHeight="1">
      <c r="A1196" s="2" t="s">
        <v>9953</v>
      </c>
      <c r="B1196" s="2" t="s">
        <v>1361</v>
      </c>
      <c r="C1196" s="2">
        <v>2009.0</v>
      </c>
      <c r="D1196" s="2" t="s">
        <v>9954</v>
      </c>
      <c r="E1196" s="2" t="s">
        <v>9955</v>
      </c>
      <c r="F1196" s="2" t="s">
        <v>1825</v>
      </c>
      <c r="H1196" s="2" t="s">
        <v>5396</v>
      </c>
      <c r="I1196" s="2" t="s">
        <v>9956</v>
      </c>
      <c r="J1196" s="12" t="str">
        <f>VLOOKUP(I1196,'Copy of Enriched Data - IPBES G'!$L$2:$L$229,1,false)</f>
        <v>#N/A</v>
      </c>
      <c r="L1196" s="2" t="s">
        <v>9957</v>
      </c>
      <c r="M1196" s="2" t="s">
        <v>1364</v>
      </c>
      <c r="N1196" s="2" t="s">
        <v>9958</v>
      </c>
      <c r="O1196" s="2" t="s">
        <v>9959</v>
      </c>
      <c r="Q1196" s="2" t="s">
        <v>9960</v>
      </c>
      <c r="S1196" s="2">
        <v>2.0</v>
      </c>
      <c r="T1196" s="2">
        <v>91.0</v>
      </c>
      <c r="AO1196" s="2" t="s">
        <v>1368</v>
      </c>
    </row>
    <row r="1197" ht="15.75" customHeight="1">
      <c r="A1197" s="2" t="s">
        <v>9961</v>
      </c>
      <c r="B1197" s="2" t="s">
        <v>1361</v>
      </c>
      <c r="C1197" s="2">
        <v>2012.0</v>
      </c>
      <c r="D1197" s="2" t="s">
        <v>9962</v>
      </c>
      <c r="E1197" s="2" t="s">
        <v>9963</v>
      </c>
      <c r="F1197" s="2" t="s">
        <v>9964</v>
      </c>
      <c r="I1197" s="2" t="s">
        <v>9965</v>
      </c>
      <c r="J1197" s="12" t="str">
        <f>VLOOKUP(I1197,'Copy of Enriched Data - IPBES G'!$L$2:$L$229,1,false)</f>
        <v>#N/A</v>
      </c>
      <c r="M1197" s="2" t="s">
        <v>1405</v>
      </c>
      <c r="N1197" s="2" t="s">
        <v>9966</v>
      </c>
      <c r="O1197" s="2" t="s">
        <v>9967</v>
      </c>
      <c r="Q1197" s="2" t="s">
        <v>9968</v>
      </c>
      <c r="S1197" s="2">
        <v>4.0</v>
      </c>
      <c r="T1197" s="2">
        <v>5.0</v>
      </c>
      <c r="AO1197" s="2" t="s">
        <v>1368</v>
      </c>
    </row>
    <row r="1198" ht="15.75" customHeight="1">
      <c r="A1198" s="2" t="s">
        <v>9969</v>
      </c>
      <c r="B1198" s="2" t="s">
        <v>1361</v>
      </c>
      <c r="C1198" s="2">
        <v>2014.0</v>
      </c>
      <c r="D1198" s="2" t="s">
        <v>9970</v>
      </c>
      <c r="E1198" s="2" t="s">
        <v>9971</v>
      </c>
      <c r="F1198" s="2" t="s">
        <v>9972</v>
      </c>
      <c r="J1198" s="12" t="str">
        <f>VLOOKUP(I1198,'Copy of Enriched Data - IPBES G'!$L$2:$L$229,1,false)</f>
        <v>#N/A</v>
      </c>
      <c r="M1198" s="2" t="s">
        <v>1476</v>
      </c>
      <c r="N1198" s="2" t="s">
        <v>9973</v>
      </c>
      <c r="O1198" s="2" t="s">
        <v>9974</v>
      </c>
      <c r="AO1198" s="2" t="s">
        <v>1368</v>
      </c>
    </row>
    <row r="1199" ht="15.75" customHeight="1">
      <c r="A1199" s="2" t="s">
        <v>9975</v>
      </c>
      <c r="B1199" s="2" t="s">
        <v>1361</v>
      </c>
      <c r="C1199" s="2">
        <v>2008.0</v>
      </c>
      <c r="D1199" s="2" t="s">
        <v>9976</v>
      </c>
      <c r="E1199" s="2" t="s">
        <v>9977</v>
      </c>
      <c r="F1199" s="2" t="s">
        <v>9978</v>
      </c>
      <c r="I1199" s="2" t="s">
        <v>9979</v>
      </c>
      <c r="J1199" s="12" t="str">
        <f>VLOOKUP(I1199,'Copy of Enriched Data - IPBES G'!$L$2:$L$229,1,false)</f>
        <v>#N/A</v>
      </c>
      <c r="M1199" s="2" t="s">
        <v>1458</v>
      </c>
      <c r="N1199" s="2" t="s">
        <v>9980</v>
      </c>
      <c r="O1199" s="2" t="s">
        <v>9981</v>
      </c>
      <c r="Q1199" s="2" t="s">
        <v>9982</v>
      </c>
      <c r="S1199" s="2">
        <v>1.0</v>
      </c>
      <c r="T1199" s="2">
        <v>49.0</v>
      </c>
      <c r="AO1199" s="2" t="s">
        <v>1368</v>
      </c>
    </row>
    <row r="1200" ht="15.75" customHeight="1">
      <c r="A1200" s="2" t="s">
        <v>9983</v>
      </c>
      <c r="B1200" s="2" t="s">
        <v>1361</v>
      </c>
      <c r="C1200" s="2">
        <v>2001.0</v>
      </c>
      <c r="D1200" s="2" t="s">
        <v>9984</v>
      </c>
      <c r="E1200" s="2" t="s">
        <v>9985</v>
      </c>
      <c r="F1200" s="2" t="s">
        <v>9986</v>
      </c>
      <c r="J1200" s="12" t="str">
        <f>VLOOKUP(I1200,'Copy of Enriched Data - IPBES G'!$L$2:$L$229,1,false)</f>
        <v>#N/A</v>
      </c>
      <c r="M1200" s="2" t="s">
        <v>1414</v>
      </c>
      <c r="N1200" s="2" t="s">
        <v>9987</v>
      </c>
      <c r="O1200" s="2" t="s">
        <v>9988</v>
      </c>
      <c r="T1200" s="2">
        <v>11.0</v>
      </c>
      <c r="AO1200" s="2" t="s">
        <v>1368</v>
      </c>
    </row>
    <row r="1201" ht="15.75" customHeight="1">
      <c r="A1201" s="2" t="s">
        <v>9989</v>
      </c>
      <c r="B1201" s="2" t="s">
        <v>1361</v>
      </c>
      <c r="C1201" s="2">
        <v>2010.0</v>
      </c>
      <c r="D1201" s="2" t="s">
        <v>9990</v>
      </c>
      <c r="E1201" s="2" t="s">
        <v>9991</v>
      </c>
      <c r="F1201" s="2" t="s">
        <v>9992</v>
      </c>
      <c r="J1201" s="12" t="str">
        <f>VLOOKUP(I1201,'Copy of Enriched Data - IPBES G'!$L$2:$L$229,1,false)</f>
        <v>#N/A</v>
      </c>
      <c r="M1201" s="2" t="s">
        <v>1449</v>
      </c>
      <c r="N1201" s="2" t="s">
        <v>9993</v>
      </c>
      <c r="O1201" s="2" t="s">
        <v>9994</v>
      </c>
      <c r="Q1201" s="2" t="s">
        <v>9995</v>
      </c>
      <c r="S1201" s="2">
        <v>2.0</v>
      </c>
      <c r="T1201" s="2">
        <v>1.0</v>
      </c>
      <c r="AO1201" s="2" t="s">
        <v>1368</v>
      </c>
    </row>
    <row r="1202" ht="15.75" customHeight="1">
      <c r="A1202" s="2" t="s">
        <v>9996</v>
      </c>
      <c r="B1202" s="2" t="s">
        <v>1361</v>
      </c>
      <c r="C1202" s="2">
        <v>2014.0</v>
      </c>
      <c r="D1202" s="2" t="s">
        <v>9997</v>
      </c>
      <c r="E1202" s="2" t="s">
        <v>9998</v>
      </c>
      <c r="F1202" s="2" t="s">
        <v>1688</v>
      </c>
      <c r="H1202" s="2" t="s">
        <v>1689</v>
      </c>
      <c r="I1202" s="2" t="s">
        <v>9999</v>
      </c>
      <c r="J1202" s="12" t="str">
        <f>VLOOKUP(I1202,'Copy of Enriched Data - IPBES G'!$L$2:$L$229,1,false)</f>
        <v>#N/A</v>
      </c>
      <c r="M1202" s="2" t="s">
        <v>1476</v>
      </c>
      <c r="N1202" s="2" t="s">
        <v>10000</v>
      </c>
      <c r="O1202" s="2" t="s">
        <v>10001</v>
      </c>
      <c r="Q1202" s="2" t="s">
        <v>10002</v>
      </c>
      <c r="S1202" s="2">
        <v>51.0</v>
      </c>
      <c r="T1202" s="2">
        <v>111.0</v>
      </c>
      <c r="AO1202" s="2" t="s">
        <v>1368</v>
      </c>
    </row>
    <row r="1203" ht="15.75" customHeight="1">
      <c r="A1203" s="2" t="s">
        <v>10003</v>
      </c>
      <c r="B1203" s="2" t="s">
        <v>1361</v>
      </c>
      <c r="C1203" s="2">
        <v>1991.0</v>
      </c>
      <c r="D1203" s="2" t="s">
        <v>10004</v>
      </c>
      <c r="E1203" s="2" t="s">
        <v>10005</v>
      </c>
      <c r="F1203" s="2" t="s">
        <v>10006</v>
      </c>
      <c r="I1203" s="2" t="s">
        <v>10007</v>
      </c>
      <c r="J1203" s="12" t="str">
        <f>VLOOKUP(I1203,'Copy of Enriched Data - IPBES G'!$L$2:$L$229,1,false)</f>
        <v>#N/A</v>
      </c>
      <c r="M1203" s="2" t="s">
        <v>2607</v>
      </c>
      <c r="N1203" s="2" t="s">
        <v>10008</v>
      </c>
      <c r="O1203" s="2" t="s">
        <v>10009</v>
      </c>
      <c r="Q1203" s="2" t="s">
        <v>10010</v>
      </c>
      <c r="AO1203" s="2" t="s">
        <v>1368</v>
      </c>
    </row>
    <row r="1204" ht="15.75" customHeight="1">
      <c r="A1204" s="2" t="s">
        <v>10011</v>
      </c>
      <c r="B1204" s="2" t="s">
        <v>1361</v>
      </c>
      <c r="C1204" s="2">
        <v>2008.0</v>
      </c>
      <c r="D1204" s="2" t="s">
        <v>10012</v>
      </c>
      <c r="E1204" s="2" t="s">
        <v>10013</v>
      </c>
      <c r="F1204" s="2" t="s">
        <v>7875</v>
      </c>
      <c r="I1204" s="2" t="s">
        <v>10014</v>
      </c>
      <c r="J1204" s="12" t="str">
        <f>VLOOKUP(I1204,'Copy of Enriched Data - IPBES G'!$L$2:$L$229,1,false)</f>
        <v>#N/A</v>
      </c>
      <c r="M1204" s="2" t="s">
        <v>1458</v>
      </c>
      <c r="N1204" s="2" t="s">
        <v>10015</v>
      </c>
      <c r="O1204" s="2" t="s">
        <v>10016</v>
      </c>
      <c r="Q1204" s="2" t="s">
        <v>10017</v>
      </c>
      <c r="S1204" s="2">
        <v>4.0</v>
      </c>
      <c r="T1204" s="2">
        <v>46.0</v>
      </c>
      <c r="AO1204" s="2" t="s">
        <v>1368</v>
      </c>
    </row>
    <row r="1205" ht="15.75" customHeight="1">
      <c r="A1205" s="2" t="s">
        <v>10018</v>
      </c>
      <c r="B1205" s="2" t="s">
        <v>1361</v>
      </c>
      <c r="C1205" s="2">
        <v>2013.0</v>
      </c>
      <c r="D1205" s="2" t="s">
        <v>10019</v>
      </c>
      <c r="E1205" s="2" t="s">
        <v>10020</v>
      </c>
      <c r="F1205" s="2" t="s">
        <v>1484</v>
      </c>
      <c r="I1205" s="2" t="s">
        <v>10021</v>
      </c>
      <c r="J1205" s="12" t="str">
        <f>VLOOKUP(I1205,'Copy of Enriched Data - IPBES G'!$L$2:$L$229,1,false)</f>
        <v>#N/A</v>
      </c>
      <c r="M1205" s="2" t="s">
        <v>1429</v>
      </c>
      <c r="N1205" s="2" t="s">
        <v>10022</v>
      </c>
      <c r="O1205" s="2" t="s">
        <v>10023</v>
      </c>
      <c r="Q1205" s="2" t="s">
        <v>10024</v>
      </c>
      <c r="T1205" s="2">
        <v>160.0</v>
      </c>
      <c r="AO1205" s="2" t="s">
        <v>1368</v>
      </c>
    </row>
    <row r="1206" ht="15.75" customHeight="1">
      <c r="A1206" s="2" t="s">
        <v>10025</v>
      </c>
      <c r="B1206" s="2" t="s">
        <v>1361</v>
      </c>
      <c r="C1206" s="2">
        <v>2009.0</v>
      </c>
      <c r="D1206" s="2" t="s">
        <v>10026</v>
      </c>
      <c r="E1206" s="2" t="s">
        <v>10027</v>
      </c>
      <c r="F1206" s="2" t="s">
        <v>10028</v>
      </c>
      <c r="J1206" s="12" t="str">
        <f>VLOOKUP(I1206,'Copy of Enriched Data - IPBES G'!$L$2:$L$229,1,false)</f>
        <v>#N/A</v>
      </c>
      <c r="L1206" s="2" t="s">
        <v>10029</v>
      </c>
      <c r="M1206" s="2" t="s">
        <v>1364</v>
      </c>
      <c r="N1206" s="2" t="s">
        <v>10030</v>
      </c>
      <c r="O1206" s="2" t="s">
        <v>10031</v>
      </c>
      <c r="Q1206" s="2" t="s">
        <v>10032</v>
      </c>
      <c r="S1206" s="2">
        <v>70307.0</v>
      </c>
      <c r="AO1206" s="2" t="s">
        <v>1368</v>
      </c>
    </row>
    <row r="1207" ht="15.75" customHeight="1">
      <c r="A1207" s="2" t="s">
        <v>10033</v>
      </c>
      <c r="B1207" s="2" t="s">
        <v>1361</v>
      </c>
      <c r="C1207" s="2">
        <v>2009.0</v>
      </c>
      <c r="D1207" s="2" t="s">
        <v>10034</v>
      </c>
      <c r="E1207" s="2" t="s">
        <v>10035</v>
      </c>
      <c r="F1207" s="2" t="s">
        <v>1825</v>
      </c>
      <c r="I1207" s="2" t="s">
        <v>10036</v>
      </c>
      <c r="J1207" s="12" t="str">
        <f>VLOOKUP(I1207,'Copy of Enriched Data - IPBES G'!$L$2:$L$229,1,false)</f>
        <v>#N/A</v>
      </c>
      <c r="M1207" s="2" t="s">
        <v>1364</v>
      </c>
      <c r="N1207" s="2" t="s">
        <v>10037</v>
      </c>
      <c r="O1207" s="2" t="s">
        <v>10038</v>
      </c>
      <c r="Q1207" s="2" t="s">
        <v>10039</v>
      </c>
      <c r="S1207" s="2">
        <v>4.0</v>
      </c>
      <c r="T1207" s="2">
        <v>91.0</v>
      </c>
      <c r="AO1207" s="2" t="s">
        <v>1368</v>
      </c>
    </row>
    <row r="1208" ht="15.75" customHeight="1">
      <c r="A1208" s="2" t="s">
        <v>10040</v>
      </c>
      <c r="B1208" s="2" t="s">
        <v>1361</v>
      </c>
      <c r="C1208" s="2">
        <v>2009.0</v>
      </c>
      <c r="D1208" s="2" t="s">
        <v>10041</v>
      </c>
      <c r="E1208" s="2" t="s">
        <v>10042</v>
      </c>
      <c r="F1208" s="2" t="s">
        <v>1474</v>
      </c>
      <c r="I1208" s="2" t="s">
        <v>10043</v>
      </c>
      <c r="J1208" s="12" t="str">
        <f>VLOOKUP(I1208,'Copy of Enriched Data - IPBES G'!$L$2:$L$229,1,false)</f>
        <v>#N/A</v>
      </c>
      <c r="M1208" s="2" t="s">
        <v>1364</v>
      </c>
      <c r="N1208" s="2" t="s">
        <v>9109</v>
      </c>
      <c r="O1208" s="2" t="s">
        <v>9110</v>
      </c>
      <c r="Q1208" s="2" t="s">
        <v>10044</v>
      </c>
      <c r="S1208" s="2">
        <v>5.0</v>
      </c>
      <c r="T1208" s="2">
        <v>99.0</v>
      </c>
      <c r="AO1208" s="2" t="s">
        <v>1368</v>
      </c>
    </row>
    <row r="1209" ht="15.75" customHeight="1">
      <c r="A1209" s="2" t="s">
        <v>10045</v>
      </c>
      <c r="B1209" s="2" t="s">
        <v>1361</v>
      </c>
      <c r="C1209" s="2">
        <v>2010.0</v>
      </c>
      <c r="D1209" s="2" t="s">
        <v>10046</v>
      </c>
      <c r="E1209" s="2" t="s">
        <v>10047</v>
      </c>
      <c r="F1209" s="2" t="s">
        <v>1980</v>
      </c>
      <c r="I1209" s="2" t="s">
        <v>10048</v>
      </c>
      <c r="J1209" s="12" t="str">
        <f>VLOOKUP(I1209,'Copy of Enriched Data - IPBES G'!$L$2:$L$229,1,false)</f>
        <v>#N/A</v>
      </c>
      <c r="M1209" s="2" t="s">
        <v>1449</v>
      </c>
      <c r="N1209" s="2" t="s">
        <v>10049</v>
      </c>
      <c r="O1209" s="2" t="s">
        <v>10050</v>
      </c>
      <c r="Q1209" s="2" t="s">
        <v>10051</v>
      </c>
      <c r="S1209" s="2">
        <v>1.0</v>
      </c>
      <c r="T1209" s="2">
        <v>41.0</v>
      </c>
      <c r="AO1209" s="2" t="s">
        <v>1368</v>
      </c>
    </row>
    <row r="1210" ht="15.75" customHeight="1">
      <c r="A1210" s="2" t="s">
        <v>10052</v>
      </c>
      <c r="B1210" s="2" t="s">
        <v>1361</v>
      </c>
      <c r="C1210" s="2">
        <v>2015.0</v>
      </c>
      <c r="D1210" s="2" t="s">
        <v>10053</v>
      </c>
      <c r="E1210" s="2" t="s">
        <v>10054</v>
      </c>
      <c r="F1210" s="2" t="s">
        <v>10055</v>
      </c>
      <c r="H1210" s="2" t="s">
        <v>10056</v>
      </c>
      <c r="J1210" s="12" t="str">
        <f>VLOOKUP(I1210,'Copy of Enriched Data - IPBES G'!$L$2:$L$229,1,false)</f>
        <v>#N/A</v>
      </c>
      <c r="M1210" s="2" t="s">
        <v>1373</v>
      </c>
      <c r="N1210" s="2" t="s">
        <v>10057</v>
      </c>
      <c r="O1210" s="2" t="s">
        <v>10058</v>
      </c>
      <c r="Q1210" s="2" t="s">
        <v>10059</v>
      </c>
      <c r="S1210" s="2">
        <v>2.0</v>
      </c>
      <c r="T1210" s="2">
        <v>3.0</v>
      </c>
      <c r="AO1210" s="2" t="s">
        <v>1368</v>
      </c>
    </row>
    <row r="1211" ht="15.75" customHeight="1">
      <c r="A1211" s="2" t="s">
        <v>10060</v>
      </c>
      <c r="B1211" s="2" t="s">
        <v>1361</v>
      </c>
      <c r="C1211" s="2">
        <v>2007.0</v>
      </c>
      <c r="D1211" s="2" t="s">
        <v>10061</v>
      </c>
      <c r="E1211" s="2" t="s">
        <v>10062</v>
      </c>
      <c r="F1211" s="2" t="s">
        <v>1633</v>
      </c>
      <c r="I1211" s="2" t="s">
        <v>10063</v>
      </c>
      <c r="J1211" s="12" t="str">
        <f>VLOOKUP(I1211,'Copy of Enriched Data - IPBES G'!$L$2:$L$229,1,false)</f>
        <v>#N/A</v>
      </c>
      <c r="M1211" s="2" t="s">
        <v>2380</v>
      </c>
      <c r="N1211" s="2" t="s">
        <v>10064</v>
      </c>
      <c r="O1211" s="2" t="s">
        <v>10065</v>
      </c>
      <c r="Q1211" s="2" t="s">
        <v>10066</v>
      </c>
      <c r="S1211" s="2">
        <v>2.0</v>
      </c>
      <c r="T1211" s="2">
        <v>83.0</v>
      </c>
      <c r="AO1211" s="2" t="s">
        <v>1368</v>
      </c>
    </row>
    <row r="1212" ht="15.75" customHeight="1">
      <c r="A1212" s="2" t="s">
        <v>10067</v>
      </c>
      <c r="B1212" s="2" t="s">
        <v>1361</v>
      </c>
      <c r="C1212" s="2">
        <v>1977.0</v>
      </c>
      <c r="D1212" s="2" t="s">
        <v>10068</v>
      </c>
      <c r="E1212" s="2" t="s">
        <v>10069</v>
      </c>
      <c r="F1212" s="2" t="s">
        <v>7987</v>
      </c>
      <c r="I1212" s="2" t="s">
        <v>10070</v>
      </c>
      <c r="J1212" s="12" t="str">
        <f>VLOOKUP(I1212,'Copy of Enriched Data - IPBES G'!$L$2:$L$229,1,false)</f>
        <v>#N/A</v>
      </c>
      <c r="M1212" s="2" t="s">
        <v>8665</v>
      </c>
      <c r="N1212" s="2" t="s">
        <v>10071</v>
      </c>
      <c r="O1212" s="2" t="s">
        <v>10072</v>
      </c>
      <c r="Q1212" s="2" t="s">
        <v>3780</v>
      </c>
      <c r="S1212" s="2">
        <v>1.0</v>
      </c>
      <c r="T1212" s="2">
        <v>1.0</v>
      </c>
      <c r="AO1212" s="2" t="s">
        <v>1368</v>
      </c>
    </row>
    <row r="1213" ht="15.75" customHeight="1">
      <c r="A1213" s="2" t="s">
        <v>10073</v>
      </c>
      <c r="B1213" s="2" t="s">
        <v>1361</v>
      </c>
      <c r="C1213" s="2">
        <v>2002.0</v>
      </c>
      <c r="D1213" s="2" t="s">
        <v>10074</v>
      </c>
      <c r="E1213" s="2" t="s">
        <v>10075</v>
      </c>
      <c r="F1213" s="2" t="s">
        <v>1863</v>
      </c>
      <c r="I1213" s="2" t="s">
        <v>10076</v>
      </c>
      <c r="J1213" s="12" t="str">
        <f>VLOOKUP(I1213,'Copy of Enriched Data - IPBES G'!$L$2:$L$229,1,false)</f>
        <v>#N/A</v>
      </c>
      <c r="M1213" s="2" t="s">
        <v>1493</v>
      </c>
      <c r="N1213" s="2" t="s">
        <v>10077</v>
      </c>
      <c r="O1213" s="2" t="s">
        <v>10078</v>
      </c>
      <c r="Q1213" s="2" t="s">
        <v>7984</v>
      </c>
      <c r="S1213" s="2">
        <v>1.0</v>
      </c>
      <c r="T1213" s="2">
        <v>30.0</v>
      </c>
      <c r="AO1213" s="2" t="s">
        <v>1368</v>
      </c>
    </row>
    <row r="1214" ht="15.75" customHeight="1">
      <c r="A1214" s="2" t="s">
        <v>10079</v>
      </c>
      <c r="B1214" s="2" t="s">
        <v>1361</v>
      </c>
      <c r="C1214" s="2">
        <v>2014.0</v>
      </c>
      <c r="D1214" s="2" t="s">
        <v>10080</v>
      </c>
      <c r="E1214" s="2" t="s">
        <v>10081</v>
      </c>
      <c r="F1214" s="2" t="s">
        <v>4123</v>
      </c>
      <c r="I1214" s="2" t="s">
        <v>10082</v>
      </c>
      <c r="J1214" s="12" t="str">
        <f>VLOOKUP(I1214,'Copy of Enriched Data - IPBES G'!$L$2:$L$229,1,false)</f>
        <v>#N/A</v>
      </c>
      <c r="M1214" s="2" t="s">
        <v>1476</v>
      </c>
      <c r="N1214" s="2" t="s">
        <v>8277</v>
      </c>
      <c r="O1214" s="2" t="s">
        <v>8278</v>
      </c>
      <c r="Q1214" s="2" t="s">
        <v>10083</v>
      </c>
      <c r="S1214" s="2">
        <v>3.0</v>
      </c>
      <c r="T1214" s="2">
        <v>31.0</v>
      </c>
      <c r="AO1214" s="2" t="s">
        <v>1368</v>
      </c>
    </row>
    <row r="1215" ht="15.75" customHeight="1">
      <c r="A1215" s="2" t="s">
        <v>10084</v>
      </c>
      <c r="B1215" s="2" t="s">
        <v>1361</v>
      </c>
      <c r="C1215" s="2">
        <v>2012.0</v>
      </c>
      <c r="D1215" s="2" t="s">
        <v>10085</v>
      </c>
      <c r="E1215" s="2" t="s">
        <v>10086</v>
      </c>
      <c r="F1215" s="2" t="s">
        <v>1941</v>
      </c>
      <c r="I1215" s="2" t="s">
        <v>10087</v>
      </c>
      <c r="J1215" s="12" t="str">
        <f>VLOOKUP(I1215,'Copy of Enriched Data - IPBES G'!$L$2:$L$229,1,false)</f>
        <v>#N/A</v>
      </c>
      <c r="M1215" s="2" t="s">
        <v>1405</v>
      </c>
      <c r="N1215" s="2" t="s">
        <v>10088</v>
      </c>
      <c r="O1215" s="2" t="s">
        <v>10089</v>
      </c>
      <c r="Q1215" s="2" t="s">
        <v>10090</v>
      </c>
      <c r="S1215" s="2">
        <v>15.0</v>
      </c>
      <c r="T1215" s="2">
        <v>46.0</v>
      </c>
      <c r="AO1215" s="2" t="s">
        <v>1368</v>
      </c>
    </row>
    <row r="1216" ht="15.75" customHeight="1">
      <c r="A1216" s="2" t="s">
        <v>10091</v>
      </c>
      <c r="B1216" s="2" t="s">
        <v>1361</v>
      </c>
      <c r="C1216" s="2">
        <v>2013.0</v>
      </c>
      <c r="D1216" s="2" t="s">
        <v>10092</v>
      </c>
      <c r="E1216" s="2" t="s">
        <v>10093</v>
      </c>
      <c r="F1216" s="2" t="s">
        <v>4053</v>
      </c>
      <c r="I1216" s="2" t="s">
        <v>10094</v>
      </c>
      <c r="J1216" s="12" t="str">
        <f>VLOOKUP(I1216,'Copy of Enriched Data - IPBES G'!$L$2:$L$229,1,false)</f>
        <v>#N/A</v>
      </c>
      <c r="M1216" s="2" t="s">
        <v>1429</v>
      </c>
      <c r="N1216" s="2" t="s">
        <v>10095</v>
      </c>
      <c r="O1216" s="2" t="s">
        <v>10096</v>
      </c>
      <c r="Q1216" s="2" t="s">
        <v>10097</v>
      </c>
      <c r="S1216" s="2">
        <v>2.0</v>
      </c>
      <c r="T1216" s="2">
        <v>107.0</v>
      </c>
      <c r="AO1216" s="2" t="s">
        <v>1368</v>
      </c>
    </row>
    <row r="1217" ht="15.75" customHeight="1">
      <c r="A1217" s="2" t="s">
        <v>10098</v>
      </c>
      <c r="B1217" s="2" t="s">
        <v>1361</v>
      </c>
      <c r="C1217" s="2">
        <v>2008.0</v>
      </c>
      <c r="D1217" s="2" t="s">
        <v>10012</v>
      </c>
      <c r="E1217" s="2" t="s">
        <v>10099</v>
      </c>
      <c r="F1217" s="2" t="s">
        <v>10100</v>
      </c>
      <c r="I1217" s="2" t="s">
        <v>10101</v>
      </c>
      <c r="J1217" s="12" t="str">
        <f>VLOOKUP(I1217,'Copy of Enriched Data - IPBES G'!$L$2:$L$229,1,false)</f>
        <v>#N/A</v>
      </c>
      <c r="M1217" s="2" t="s">
        <v>1458</v>
      </c>
      <c r="N1217" s="2" t="s">
        <v>10102</v>
      </c>
      <c r="O1217" s="2" t="s">
        <v>10103</v>
      </c>
      <c r="Q1217" s="2" t="s">
        <v>10104</v>
      </c>
      <c r="S1217" s="2">
        <v>2.0</v>
      </c>
      <c r="T1217" s="2">
        <v>90.0</v>
      </c>
      <c r="AO1217" s="2" t="s">
        <v>1368</v>
      </c>
    </row>
    <row r="1218" ht="15.75" customHeight="1">
      <c r="A1218" s="2" t="s">
        <v>10105</v>
      </c>
      <c r="B1218" s="2" t="s">
        <v>1361</v>
      </c>
      <c r="C1218" s="2">
        <v>2015.0</v>
      </c>
      <c r="D1218" s="2" t="s">
        <v>10106</v>
      </c>
      <c r="E1218" s="2" t="s">
        <v>10107</v>
      </c>
      <c r="F1218" s="2" t="s">
        <v>4021</v>
      </c>
      <c r="I1218" s="2" t="s">
        <v>10108</v>
      </c>
      <c r="J1218" s="12" t="str">
        <f>VLOOKUP(I1218,'Copy of Enriched Data - IPBES G'!$L$2:$L$229,1,false)</f>
        <v>#N/A</v>
      </c>
      <c r="M1218" s="2" t="s">
        <v>1373</v>
      </c>
      <c r="N1218" s="2" t="s">
        <v>10109</v>
      </c>
      <c r="O1218" s="2" t="s">
        <v>10110</v>
      </c>
      <c r="Q1218" s="2" t="s">
        <v>8560</v>
      </c>
      <c r="S1218" s="2">
        <v>3.0</v>
      </c>
      <c r="T1218" s="2">
        <v>2.0</v>
      </c>
      <c r="AO1218" s="2" t="s">
        <v>1368</v>
      </c>
    </row>
    <row r="1219" ht="15.75" customHeight="1">
      <c r="A1219" s="2" t="s">
        <v>10111</v>
      </c>
      <c r="B1219" s="2" t="s">
        <v>1361</v>
      </c>
      <c r="C1219" s="2">
        <v>2002.0</v>
      </c>
      <c r="D1219" s="2" t="s">
        <v>10112</v>
      </c>
      <c r="E1219" s="2" t="s">
        <v>10113</v>
      </c>
      <c r="F1219" s="2" t="s">
        <v>1863</v>
      </c>
      <c r="I1219" s="2" t="s">
        <v>10114</v>
      </c>
      <c r="J1219" s="12" t="str">
        <f>VLOOKUP(I1219,'Copy of Enriched Data - IPBES G'!$L$2:$L$229,1,false)</f>
        <v>#N/A</v>
      </c>
      <c r="M1219" s="2" t="s">
        <v>1493</v>
      </c>
      <c r="N1219" s="2" t="s">
        <v>10115</v>
      </c>
      <c r="O1219" s="2" t="s">
        <v>10116</v>
      </c>
      <c r="Q1219" s="2" t="s">
        <v>10117</v>
      </c>
      <c r="S1219" s="2">
        <v>5.0</v>
      </c>
      <c r="T1219" s="2">
        <v>30.0</v>
      </c>
      <c r="AO1219" s="2" t="s">
        <v>1368</v>
      </c>
    </row>
    <row r="1220" ht="15.75" customHeight="1">
      <c r="A1220" s="2" t="s">
        <v>10118</v>
      </c>
      <c r="B1220" s="2" t="s">
        <v>1361</v>
      </c>
      <c r="C1220" s="2">
        <v>2014.0</v>
      </c>
      <c r="D1220" s="2" t="s">
        <v>10119</v>
      </c>
      <c r="E1220" s="2" t="s">
        <v>10120</v>
      </c>
      <c r="F1220" s="2" t="s">
        <v>10121</v>
      </c>
      <c r="J1220" s="12" t="str">
        <f>VLOOKUP(I1220,'Copy of Enriched Data - IPBES G'!$L$2:$L$229,1,false)</f>
        <v>#N/A</v>
      </c>
      <c r="M1220" s="2" t="s">
        <v>1476</v>
      </c>
      <c r="N1220" s="2" t="s">
        <v>10122</v>
      </c>
      <c r="O1220" s="2" t="s">
        <v>10123</v>
      </c>
      <c r="Q1220" s="2" t="s">
        <v>1462</v>
      </c>
      <c r="S1220" s="2">
        <v>2.0</v>
      </c>
      <c r="T1220" s="2">
        <v>4.0</v>
      </c>
      <c r="AO1220" s="2" t="s">
        <v>1368</v>
      </c>
    </row>
    <row r="1221" ht="15.75" customHeight="1">
      <c r="A1221" s="2" t="s">
        <v>10124</v>
      </c>
      <c r="B1221" s="2" t="s">
        <v>1361</v>
      </c>
      <c r="C1221" s="2">
        <v>2006.0</v>
      </c>
      <c r="D1221" s="2" t="s">
        <v>10125</v>
      </c>
      <c r="E1221" s="2" t="s">
        <v>10126</v>
      </c>
      <c r="J1221" s="12" t="str">
        <f>VLOOKUP(I1221,'Copy of Enriched Data - IPBES G'!$L$2:$L$229,1,false)</f>
        <v>#N/A</v>
      </c>
      <c r="M1221" s="2" t="s">
        <v>1727</v>
      </c>
      <c r="N1221" s="2" t="s">
        <v>10127</v>
      </c>
      <c r="O1221" s="2" t="s">
        <v>10128</v>
      </c>
      <c r="AO1221" s="2" t="s">
        <v>1368</v>
      </c>
    </row>
    <row r="1222" ht="15.75" customHeight="1">
      <c r="A1222" s="2" t="s">
        <v>10129</v>
      </c>
      <c r="B1222" s="2" t="s">
        <v>1361</v>
      </c>
      <c r="C1222" s="2">
        <v>1997.0</v>
      </c>
      <c r="D1222" s="2" t="s">
        <v>10130</v>
      </c>
      <c r="E1222" s="2" t="s">
        <v>10131</v>
      </c>
      <c r="F1222" s="2" t="s">
        <v>1825</v>
      </c>
      <c r="I1222" s="2" t="s">
        <v>10132</v>
      </c>
      <c r="J1222" s="12" t="str">
        <f>VLOOKUP(I1222,'Copy of Enriched Data - IPBES G'!$L$2:$L$229,1,false)</f>
        <v>#N/A</v>
      </c>
      <c r="M1222" s="2" t="s">
        <v>1804</v>
      </c>
      <c r="N1222" s="2" t="s">
        <v>10133</v>
      </c>
      <c r="O1222" s="2" t="s">
        <v>10134</v>
      </c>
      <c r="Q1222" s="2" t="s">
        <v>10135</v>
      </c>
      <c r="S1222" s="2">
        <v>2.0</v>
      </c>
      <c r="T1222" s="2">
        <v>79.0</v>
      </c>
      <c r="AO1222" s="2" t="s">
        <v>1368</v>
      </c>
    </row>
    <row r="1223" ht="15.75" customHeight="1">
      <c r="A1223" s="2" t="s">
        <v>10136</v>
      </c>
      <c r="B1223" s="2" t="s">
        <v>1361</v>
      </c>
      <c r="C1223" s="2">
        <v>2008.0</v>
      </c>
      <c r="D1223" s="2" t="s">
        <v>10137</v>
      </c>
      <c r="E1223" s="2" t="s">
        <v>10138</v>
      </c>
      <c r="F1223" s="2" t="s">
        <v>10139</v>
      </c>
      <c r="J1223" s="12" t="str">
        <f>VLOOKUP(I1223,'Copy of Enriched Data - IPBES G'!$L$2:$L$229,1,false)</f>
        <v>#N/A</v>
      </c>
      <c r="M1223" s="2" t="s">
        <v>1458</v>
      </c>
      <c r="N1223" s="2" t="s">
        <v>10140</v>
      </c>
      <c r="O1223" s="2" t="s">
        <v>10141</v>
      </c>
      <c r="Q1223" s="2" t="s">
        <v>10142</v>
      </c>
      <c r="T1223" s="2">
        <v>80.0</v>
      </c>
      <c r="AO1223" s="2" t="s">
        <v>1368</v>
      </c>
    </row>
    <row r="1224" ht="15.75" customHeight="1">
      <c r="A1224" s="2" t="s">
        <v>10143</v>
      </c>
      <c r="B1224" s="2" t="s">
        <v>1361</v>
      </c>
      <c r="C1224" s="2">
        <v>2018.0</v>
      </c>
      <c r="D1224" s="2" t="s">
        <v>10144</v>
      </c>
      <c r="E1224" s="2" t="s">
        <v>10145</v>
      </c>
      <c r="F1224" s="2" t="s">
        <v>2205</v>
      </c>
      <c r="I1224" s="2" t="s">
        <v>10146</v>
      </c>
      <c r="J1224" s="12" t="str">
        <f>VLOOKUP(I1224,'Copy of Enriched Data - IPBES G'!$L$2:$L$229,1,false)</f>
        <v>#N/A</v>
      </c>
      <c r="M1224" s="2" t="s">
        <v>1420</v>
      </c>
      <c r="N1224" s="2" t="s">
        <v>2804</v>
      </c>
      <c r="O1224" s="2" t="s">
        <v>2805</v>
      </c>
      <c r="Q1224" s="2" t="s">
        <v>10147</v>
      </c>
      <c r="T1224" s="2">
        <v>92.0</v>
      </c>
      <c r="AO1224" s="2" t="s">
        <v>1368</v>
      </c>
    </row>
    <row r="1225" ht="15.75" customHeight="1">
      <c r="A1225" s="2" t="s">
        <v>10148</v>
      </c>
      <c r="B1225" s="2" t="s">
        <v>1361</v>
      </c>
      <c r="C1225" s="2">
        <v>2013.0</v>
      </c>
      <c r="D1225" s="2" t="s">
        <v>10149</v>
      </c>
      <c r="E1225" s="2" t="s">
        <v>10150</v>
      </c>
      <c r="F1225" s="2" t="s">
        <v>1760</v>
      </c>
      <c r="I1225" s="2" t="s">
        <v>10151</v>
      </c>
      <c r="J1225" s="12" t="str">
        <f>VLOOKUP(I1225,'Copy of Enriched Data - IPBES G'!$L$2:$L$229,1,false)</f>
        <v>#N/A</v>
      </c>
      <c r="M1225" s="2" t="s">
        <v>1429</v>
      </c>
      <c r="N1225" s="2" t="s">
        <v>10152</v>
      </c>
      <c r="O1225" s="2" t="s">
        <v>10153</v>
      </c>
      <c r="Q1225" s="2" t="s">
        <v>10154</v>
      </c>
      <c r="T1225" s="2">
        <v>94.0</v>
      </c>
      <c r="AO1225" s="2" t="s">
        <v>1368</v>
      </c>
    </row>
    <row r="1226" ht="15.75" customHeight="1">
      <c r="A1226" s="2" t="s">
        <v>10161</v>
      </c>
      <c r="B1226" s="2" t="s">
        <v>1361</v>
      </c>
      <c r="C1226" s="2">
        <v>2010.0</v>
      </c>
      <c r="D1226" s="2" t="s">
        <v>10162</v>
      </c>
      <c r="E1226" s="2" t="s">
        <v>908</v>
      </c>
      <c r="F1226" s="2" t="s">
        <v>1594</v>
      </c>
      <c r="J1226" s="12" t="str">
        <f>VLOOKUP(I1226,'Copy of Enriched Data - IPBES G'!$L$2:$L$229,1,false)</f>
        <v>#N/A</v>
      </c>
      <c r="M1226" s="2" t="s">
        <v>10163</v>
      </c>
      <c r="N1226" s="2" t="s">
        <v>10164</v>
      </c>
      <c r="O1226" s="2" t="s">
        <v>10165</v>
      </c>
      <c r="Q1226" s="2" t="s">
        <v>10166</v>
      </c>
      <c r="T1226" s="2">
        <v>3.0</v>
      </c>
      <c r="AO1226" s="2" t="s">
        <v>1368</v>
      </c>
    </row>
    <row r="1227" ht="15.75" customHeight="1">
      <c r="A1227" s="2" t="s">
        <v>10167</v>
      </c>
      <c r="B1227" s="2" t="s">
        <v>1361</v>
      </c>
      <c r="C1227" s="2">
        <v>2017.0</v>
      </c>
      <c r="D1227" s="2" t="s">
        <v>10168</v>
      </c>
      <c r="E1227" s="2" t="s">
        <v>10169</v>
      </c>
      <c r="F1227" s="2" t="s">
        <v>1863</v>
      </c>
      <c r="I1227" s="2" t="s">
        <v>10170</v>
      </c>
      <c r="J1227" s="12" t="str">
        <f>VLOOKUP(I1227,'Copy of Enriched Data - IPBES G'!$L$2:$L$229,1,false)</f>
        <v>#N/A</v>
      </c>
      <c r="M1227" s="2" t="s">
        <v>1658</v>
      </c>
      <c r="N1227" s="2" t="s">
        <v>10171</v>
      </c>
      <c r="O1227" s="2" t="s">
        <v>10172</v>
      </c>
      <c r="Q1227" s="2" t="s">
        <v>10173</v>
      </c>
      <c r="T1227" s="2">
        <v>92.0</v>
      </c>
      <c r="AO1227" s="2" t="s">
        <v>1368</v>
      </c>
    </row>
    <row r="1228" ht="15.75" customHeight="1">
      <c r="A1228" s="2" t="s">
        <v>10174</v>
      </c>
      <c r="B1228" s="2" t="s">
        <v>1361</v>
      </c>
      <c r="C1228" s="2">
        <v>2011.0</v>
      </c>
      <c r="D1228" s="2" t="s">
        <v>10175</v>
      </c>
      <c r="E1228" s="2" t="s">
        <v>10176</v>
      </c>
      <c r="F1228" s="2" t="s">
        <v>2053</v>
      </c>
      <c r="H1228" s="2" t="s">
        <v>10177</v>
      </c>
      <c r="I1228" s="2" t="s">
        <v>10178</v>
      </c>
      <c r="J1228" s="12" t="str">
        <f>VLOOKUP(I1228,'Copy of Enriched Data - IPBES G'!$L$2:$L$229,1,false)</f>
        <v>#N/A</v>
      </c>
      <c r="K1228" s="2" t="s">
        <v>10179</v>
      </c>
      <c r="M1228" s="2" t="s">
        <v>6758</v>
      </c>
      <c r="N1228" s="2" t="s">
        <v>10180</v>
      </c>
      <c r="O1228" s="2" t="s">
        <v>10181</v>
      </c>
      <c r="P1228" s="2" t="s">
        <v>10182</v>
      </c>
      <c r="Q1228" s="2" t="s">
        <v>10183</v>
      </c>
      <c r="S1228" s="2">
        <v>9.0</v>
      </c>
      <c r="T1228" s="2">
        <v>9.0</v>
      </c>
      <c r="V1228" s="2" t="s">
        <v>2053</v>
      </c>
      <c r="AD1228" s="2" t="s">
        <v>1540</v>
      </c>
      <c r="AI1228" s="2" t="s">
        <v>1541</v>
      </c>
      <c r="AO1228" s="2" t="s">
        <v>1885</v>
      </c>
    </row>
    <row r="1229" ht="15.75" customHeight="1">
      <c r="A1229" s="2" t="s">
        <v>10202</v>
      </c>
      <c r="B1229" s="2" t="s">
        <v>1361</v>
      </c>
      <c r="C1229" s="2">
        <v>2011.0</v>
      </c>
      <c r="D1229" s="2" t="s">
        <v>10203</v>
      </c>
      <c r="E1229" s="2" t="s">
        <v>10204</v>
      </c>
      <c r="F1229" s="2" t="s">
        <v>1688</v>
      </c>
      <c r="H1229" s="2" t="s">
        <v>1689</v>
      </c>
      <c r="I1229" s="2" t="s">
        <v>10205</v>
      </c>
      <c r="J1229" s="12" t="str">
        <f>VLOOKUP(I1229,'Copy of Enriched Data - IPBES G'!$L$2:$L$229,1,false)</f>
        <v>#N/A</v>
      </c>
      <c r="L1229" s="2" t="s">
        <v>10206</v>
      </c>
      <c r="M1229" s="2" t="s">
        <v>1627</v>
      </c>
      <c r="N1229" s="2" t="s">
        <v>10207</v>
      </c>
      <c r="O1229" s="2" t="s">
        <v>10208</v>
      </c>
      <c r="Q1229" s="2" t="s">
        <v>10209</v>
      </c>
      <c r="S1229" s="2">
        <v>12.0</v>
      </c>
      <c r="T1229" s="2">
        <v>108.0</v>
      </c>
      <c r="AD1229" s="2" t="s">
        <v>3263</v>
      </c>
      <c r="AO1229" s="2" t="s">
        <v>2169</v>
      </c>
    </row>
    <row r="1230" ht="15.75" customHeight="1">
      <c r="A1230" s="2" t="s">
        <v>10210</v>
      </c>
      <c r="B1230" s="2" t="s">
        <v>1361</v>
      </c>
      <c r="C1230" s="2">
        <v>2009.0</v>
      </c>
      <c r="D1230" s="2" t="s">
        <v>10211</v>
      </c>
      <c r="E1230" s="2" t="s">
        <v>10212</v>
      </c>
      <c r="F1230" s="2" t="s">
        <v>8645</v>
      </c>
      <c r="H1230" s="2" t="s">
        <v>2509</v>
      </c>
      <c r="I1230" s="2" t="s">
        <v>10213</v>
      </c>
      <c r="J1230" s="12" t="str">
        <f>VLOOKUP(I1230,'Copy of Enriched Data - IPBES G'!$L$2:$L$229,1,false)</f>
        <v>#N/A</v>
      </c>
      <c r="K1230" s="2" t="s">
        <v>10214</v>
      </c>
      <c r="M1230" s="2" t="s">
        <v>10215</v>
      </c>
      <c r="N1230" s="2" t="s">
        <v>10216</v>
      </c>
      <c r="O1230" s="2" t="s">
        <v>10217</v>
      </c>
      <c r="P1230" s="2" t="s">
        <v>10218</v>
      </c>
      <c r="Q1230" s="2" t="s">
        <v>10219</v>
      </c>
      <c r="S1230" s="2">
        <v>12.0</v>
      </c>
      <c r="T1230" s="2">
        <v>24.0</v>
      </c>
      <c r="V1230" s="2" t="s">
        <v>8645</v>
      </c>
      <c r="AD1230" s="2" t="s">
        <v>1540</v>
      </c>
      <c r="AI1230" s="2" t="s">
        <v>1541</v>
      </c>
      <c r="AO1230" s="2" t="s">
        <v>1872</v>
      </c>
    </row>
    <row r="1231" ht="15.75" customHeight="1">
      <c r="A1231" s="2" t="s">
        <v>10220</v>
      </c>
      <c r="B1231" s="2" t="s">
        <v>1361</v>
      </c>
      <c r="C1231" s="2">
        <v>2012.0</v>
      </c>
      <c r="D1231" s="2" t="s">
        <v>10221</v>
      </c>
      <c r="E1231" s="2" t="s">
        <v>10222</v>
      </c>
      <c r="F1231" s="2" t="s">
        <v>1380</v>
      </c>
      <c r="H1231" s="2" t="s">
        <v>2856</v>
      </c>
      <c r="I1231" s="2" t="s">
        <v>10223</v>
      </c>
      <c r="J1231" s="12" t="str">
        <f>VLOOKUP(I1231,'Copy of Enriched Data - IPBES G'!$L$2:$L$229,1,false)</f>
        <v>#N/A</v>
      </c>
      <c r="K1231" s="2" t="s">
        <v>10224</v>
      </c>
      <c r="M1231" s="2" t="s">
        <v>9804</v>
      </c>
      <c r="N1231" s="2" t="s">
        <v>10225</v>
      </c>
      <c r="O1231" s="2" t="s">
        <v>10226</v>
      </c>
      <c r="P1231" s="2" t="s">
        <v>10227</v>
      </c>
      <c r="Q1231" s="2" t="s">
        <v>10228</v>
      </c>
      <c r="S1231" s="2">
        <v>7401.0</v>
      </c>
      <c r="T1231" s="2">
        <v>486.0</v>
      </c>
      <c r="V1231" s="2" t="s">
        <v>1380</v>
      </c>
      <c r="AD1231" s="2" t="s">
        <v>1540</v>
      </c>
      <c r="AI1231" s="2" t="s">
        <v>1541</v>
      </c>
      <c r="AO1231" s="2" t="s">
        <v>2159</v>
      </c>
    </row>
    <row r="1232" ht="15.75" customHeight="1">
      <c r="A1232" s="2" t="s">
        <v>10229</v>
      </c>
      <c r="B1232" s="2" t="s">
        <v>1361</v>
      </c>
      <c r="C1232" s="2">
        <v>2014.0</v>
      </c>
      <c r="D1232" s="2" t="s">
        <v>10230</v>
      </c>
      <c r="E1232" s="2" t="s">
        <v>10231</v>
      </c>
      <c r="F1232" s="2" t="s">
        <v>1688</v>
      </c>
      <c r="H1232" s="2" t="s">
        <v>2892</v>
      </c>
      <c r="I1232" s="2" t="s">
        <v>10232</v>
      </c>
      <c r="J1232" s="12" t="str">
        <f>VLOOKUP(I1232,'Copy of Enriched Data - IPBES G'!$L$2:$L$229,1,false)</f>
        <v>#N/A</v>
      </c>
      <c r="K1232" s="2" t="s">
        <v>10233</v>
      </c>
      <c r="L1232" s="2" t="s">
        <v>10234</v>
      </c>
      <c r="M1232" s="2" t="s">
        <v>10235</v>
      </c>
      <c r="N1232" s="2" t="s">
        <v>10236</v>
      </c>
      <c r="O1232" s="2" t="s">
        <v>10237</v>
      </c>
      <c r="P1232" s="2" t="s">
        <v>10238</v>
      </c>
      <c r="Q1232" s="2" t="s">
        <v>10239</v>
      </c>
      <c r="S1232" s="2">
        <v>11.0</v>
      </c>
      <c r="T1232" s="2">
        <v>111.0</v>
      </c>
      <c r="V1232" s="2" t="s">
        <v>2901</v>
      </c>
      <c r="AD1232" s="2" t="s">
        <v>1540</v>
      </c>
      <c r="AI1232" s="2" t="s">
        <v>1541</v>
      </c>
      <c r="AO1232" s="2" t="s">
        <v>10201</v>
      </c>
    </row>
    <row r="1233" ht="15.75" customHeight="1">
      <c r="A1233" s="2" t="s">
        <v>10240</v>
      </c>
      <c r="B1233" s="2" t="s">
        <v>1623</v>
      </c>
      <c r="C1233" s="2">
        <v>2012.0</v>
      </c>
      <c r="D1233" s="2" t="s">
        <v>10241</v>
      </c>
      <c r="E1233" s="2" t="s">
        <v>10242</v>
      </c>
      <c r="J1233" s="12" t="str">
        <f>VLOOKUP(I1233,'Copy of Enriched Data - IPBES G'!$L$2:$L$229,1,false)</f>
        <v>#N/A</v>
      </c>
      <c r="K1233" s="2" t="s">
        <v>10243</v>
      </c>
      <c r="L1233" s="2" t="s">
        <v>10244</v>
      </c>
      <c r="M1233" s="2" t="s">
        <v>1405</v>
      </c>
      <c r="N1233" s="2" t="s">
        <v>10245</v>
      </c>
      <c r="O1233" s="2" t="s">
        <v>10246</v>
      </c>
      <c r="AB1233" s="2" t="s">
        <v>10247</v>
      </c>
      <c r="AC1233" s="2" t="s">
        <v>10248</v>
      </c>
      <c r="AD1233" s="2" t="s">
        <v>1540</v>
      </c>
      <c r="AK1233" s="2" t="s">
        <v>10249</v>
      </c>
      <c r="AO1233" s="2" t="s">
        <v>1885</v>
      </c>
    </row>
    <row r="1234" ht="15.75" customHeight="1">
      <c r="A1234" s="2" t="s">
        <v>10250</v>
      </c>
      <c r="B1234" s="2" t="s">
        <v>1361</v>
      </c>
      <c r="C1234" s="2">
        <v>2008.0</v>
      </c>
      <c r="D1234" s="2" t="s">
        <v>10251</v>
      </c>
      <c r="E1234" s="2" t="s">
        <v>10252</v>
      </c>
      <c r="F1234" s="2" t="s">
        <v>4215</v>
      </c>
      <c r="H1234" s="2" t="s">
        <v>10253</v>
      </c>
      <c r="I1234" s="2" t="s">
        <v>10254</v>
      </c>
      <c r="J1234" s="12" t="str">
        <f>VLOOKUP(I1234,'Copy of Enriched Data - IPBES G'!$L$2:$L$229,1,false)</f>
        <v>#N/A</v>
      </c>
      <c r="K1234" s="2" t="s">
        <v>10255</v>
      </c>
      <c r="L1234" s="2" t="s">
        <v>10256</v>
      </c>
      <c r="M1234" s="2" t="s">
        <v>10257</v>
      </c>
      <c r="N1234" s="2" t="s">
        <v>10258</v>
      </c>
      <c r="O1234" s="2" t="s">
        <v>10259</v>
      </c>
      <c r="P1234" s="2" t="s">
        <v>10260</v>
      </c>
      <c r="Q1234" s="2" t="s">
        <v>10261</v>
      </c>
      <c r="S1234" s="2">
        <v>1.0</v>
      </c>
      <c r="T1234" s="2">
        <v>33.0</v>
      </c>
      <c r="V1234" s="2" t="s">
        <v>2624</v>
      </c>
      <c r="AD1234" s="2" t="s">
        <v>1540</v>
      </c>
      <c r="AI1234" s="2" t="s">
        <v>1541</v>
      </c>
      <c r="AO1234" s="2" t="s">
        <v>1872</v>
      </c>
    </row>
    <row r="1235" ht="15.75" customHeight="1">
      <c r="A1235" s="2" t="s">
        <v>10269</v>
      </c>
      <c r="B1235" s="2" t="s">
        <v>1361</v>
      </c>
      <c r="C1235" s="2">
        <v>2012.0</v>
      </c>
      <c r="D1235" s="2" t="s">
        <v>10270</v>
      </c>
      <c r="E1235" s="2" t="s">
        <v>10271</v>
      </c>
      <c r="F1235" s="2" t="s">
        <v>1380</v>
      </c>
      <c r="H1235" s="2" t="s">
        <v>2856</v>
      </c>
      <c r="I1235" s="2" t="s">
        <v>10272</v>
      </c>
      <c r="J1235" s="12" t="str">
        <f>VLOOKUP(I1235,'Copy of Enriched Data - IPBES G'!$L$2:$L$229,1,false)</f>
        <v>#N/A</v>
      </c>
      <c r="K1235" s="2" t="s">
        <v>10273</v>
      </c>
      <c r="M1235" s="2" t="s">
        <v>10274</v>
      </c>
      <c r="N1235" s="2" t="s">
        <v>10275</v>
      </c>
      <c r="O1235" s="2" t="s">
        <v>10276</v>
      </c>
      <c r="P1235" s="2" t="s">
        <v>7496</v>
      </c>
      <c r="Q1235" s="2" t="s">
        <v>10277</v>
      </c>
      <c r="S1235" s="2">
        <v>7415.0</v>
      </c>
      <c r="T1235" s="2">
        <v>489.0</v>
      </c>
      <c r="V1235" s="2" t="s">
        <v>1380</v>
      </c>
      <c r="AD1235" s="2" t="s">
        <v>1540</v>
      </c>
      <c r="AI1235" s="2" t="s">
        <v>1541</v>
      </c>
      <c r="AO1235" s="2" t="s">
        <v>1872</v>
      </c>
    </row>
    <row r="1236" ht="15.75" customHeight="1">
      <c r="A1236" s="2" t="s">
        <v>10278</v>
      </c>
      <c r="B1236" s="2" t="s">
        <v>1361</v>
      </c>
      <c r="C1236" s="2">
        <v>2014.0</v>
      </c>
      <c r="D1236" s="2" t="s">
        <v>10279</v>
      </c>
      <c r="E1236" s="2" t="s">
        <v>10280</v>
      </c>
      <c r="F1236" s="2" t="s">
        <v>1380</v>
      </c>
      <c r="H1236" s="2" t="s">
        <v>2856</v>
      </c>
      <c r="I1236" s="2" t="s">
        <v>10281</v>
      </c>
      <c r="J1236" s="12" t="str">
        <f>VLOOKUP(I1236,'Copy of Enriched Data - IPBES G'!$L$2:$L$229,1,false)</f>
        <v>#N/A</v>
      </c>
      <c r="K1236" s="2" t="s">
        <v>10282</v>
      </c>
      <c r="M1236" s="2" t="s">
        <v>10283</v>
      </c>
      <c r="N1236" s="2" t="s">
        <v>10284</v>
      </c>
      <c r="O1236" s="2" t="s">
        <v>10285</v>
      </c>
      <c r="P1236" s="2" t="s">
        <v>10286</v>
      </c>
      <c r="Q1236" s="2" t="s">
        <v>10287</v>
      </c>
      <c r="S1236" s="2">
        <v>7517.0</v>
      </c>
      <c r="T1236" s="2">
        <v>513.0</v>
      </c>
      <c r="V1236" s="2" t="s">
        <v>1380</v>
      </c>
      <c r="AD1236" s="2" t="s">
        <v>1540</v>
      </c>
      <c r="AI1236" s="2" t="s">
        <v>1541</v>
      </c>
      <c r="AO1236" s="2" t="s">
        <v>1872</v>
      </c>
    </row>
    <row r="1237" ht="15.75" customHeight="1">
      <c r="A1237" s="2" t="s">
        <v>10288</v>
      </c>
      <c r="B1237" s="2" t="s">
        <v>1361</v>
      </c>
      <c r="C1237" s="2">
        <v>2008.0</v>
      </c>
      <c r="D1237" s="2" t="s">
        <v>10289</v>
      </c>
      <c r="E1237" s="2" t="s">
        <v>10290</v>
      </c>
      <c r="F1237" s="2" t="s">
        <v>1760</v>
      </c>
      <c r="H1237" s="2" t="s">
        <v>7711</v>
      </c>
      <c r="I1237" s="2" t="s">
        <v>10291</v>
      </c>
      <c r="J1237" s="12" t="str">
        <f>VLOOKUP(I1237,'Copy of Enriched Data - IPBES G'!$L$2:$L$229,1,false)</f>
        <v>#N/A</v>
      </c>
      <c r="L1237" s="2" t="s">
        <v>10292</v>
      </c>
      <c r="M1237" s="2" t="s">
        <v>1458</v>
      </c>
      <c r="N1237" s="2" t="s">
        <v>1385</v>
      </c>
      <c r="O1237" s="2" t="s">
        <v>1386</v>
      </c>
      <c r="Q1237" s="2" t="s">
        <v>10293</v>
      </c>
      <c r="S1237" s="2">
        <v>3.0</v>
      </c>
      <c r="T1237" s="2">
        <v>65.0</v>
      </c>
      <c r="AO1237" s="2" t="s">
        <v>1368</v>
      </c>
    </row>
    <row r="1238" ht="15.75" customHeight="1">
      <c r="A1238" s="2" t="s">
        <v>10294</v>
      </c>
      <c r="B1238" s="2" t="s">
        <v>1361</v>
      </c>
      <c r="C1238" s="2">
        <v>2001.0</v>
      </c>
      <c r="D1238" s="2" t="s">
        <v>10295</v>
      </c>
      <c r="E1238" s="2" t="s">
        <v>10296</v>
      </c>
      <c r="F1238" s="2" t="s">
        <v>10297</v>
      </c>
      <c r="H1238" s="2" t="s">
        <v>10298</v>
      </c>
      <c r="I1238" s="2" t="s">
        <v>10299</v>
      </c>
      <c r="J1238" s="12" t="str">
        <f>VLOOKUP(I1238,'Copy of Enriched Data - IPBES G'!$L$2:$L$229,1,false)</f>
        <v>#N/A</v>
      </c>
      <c r="L1238" s="2" t="s">
        <v>10300</v>
      </c>
      <c r="M1238" s="2" t="s">
        <v>1414</v>
      </c>
      <c r="N1238" s="2" t="s">
        <v>1385</v>
      </c>
      <c r="O1238" s="2" t="s">
        <v>1386</v>
      </c>
      <c r="Q1238" s="2" t="s">
        <v>10301</v>
      </c>
      <c r="S1238" s="2">
        <v>5.0</v>
      </c>
      <c r="T1238" s="2">
        <v>20.0</v>
      </c>
      <c r="AO1238" s="2" t="s">
        <v>1368</v>
      </c>
    </row>
    <row r="1239" ht="15.75" customHeight="1">
      <c r="A1239" s="2" t="s">
        <v>10307</v>
      </c>
      <c r="B1239" s="2" t="s">
        <v>1361</v>
      </c>
      <c r="C1239" s="2">
        <v>2018.0</v>
      </c>
      <c r="D1239" s="2" t="s">
        <v>10308</v>
      </c>
      <c r="E1239" s="2" t="s">
        <v>10309</v>
      </c>
      <c r="F1239" s="2" t="s">
        <v>1510</v>
      </c>
      <c r="H1239" s="2" t="s">
        <v>1917</v>
      </c>
      <c r="I1239" s="2" t="s">
        <v>10310</v>
      </c>
      <c r="J1239" s="12" t="str">
        <f>VLOOKUP(I1239,'Copy of Enriched Data - IPBES G'!$L$2:$L$229,1,false)</f>
        <v>#N/A</v>
      </c>
      <c r="K1239" s="2" t="s">
        <v>10311</v>
      </c>
      <c r="L1239" s="2" t="s">
        <v>10312</v>
      </c>
      <c r="M1239" s="2" t="s">
        <v>10313</v>
      </c>
      <c r="N1239" s="2" t="s">
        <v>1385</v>
      </c>
      <c r="O1239" s="2" t="s">
        <v>1386</v>
      </c>
      <c r="Q1239" s="2" t="s">
        <v>10314</v>
      </c>
      <c r="S1239" s="2">
        <v>6378.0</v>
      </c>
      <c r="T1239" s="2">
        <v>359.0</v>
      </c>
      <c r="AO1239" s="2" t="s">
        <v>1368</v>
      </c>
    </row>
    <row r="1240" ht="15.75" customHeight="1">
      <c r="A1240" s="2" t="s">
        <v>10315</v>
      </c>
      <c r="B1240" s="2" t="s">
        <v>1396</v>
      </c>
      <c r="C1240" s="2">
        <v>2006.0</v>
      </c>
      <c r="D1240" s="2" t="s">
        <v>10316</v>
      </c>
      <c r="E1240" s="2" t="s">
        <v>10317</v>
      </c>
      <c r="G1240" s="2" t="s">
        <v>10318</v>
      </c>
      <c r="J1240" s="12" t="str">
        <f>VLOOKUP(I1240,'Copy of Enriched Data - IPBES G'!$L$2:$L$229,1,false)</f>
        <v>#N/A</v>
      </c>
      <c r="M1240" s="2" t="s">
        <v>1727</v>
      </c>
      <c r="N1240" s="2" t="s">
        <v>1385</v>
      </c>
      <c r="O1240" s="2" t="s">
        <v>1386</v>
      </c>
      <c r="AB1240" s="2" t="s">
        <v>10319</v>
      </c>
      <c r="AC1240" s="2" t="s">
        <v>9394</v>
      </c>
      <c r="AO1240" s="2" t="s">
        <v>1368</v>
      </c>
    </row>
    <row r="1241" ht="15.75" customHeight="1">
      <c r="A1241" s="2" t="s">
        <v>10320</v>
      </c>
      <c r="B1241" s="2" t="s">
        <v>1396</v>
      </c>
      <c r="C1241" s="2">
        <v>2018.0</v>
      </c>
      <c r="D1241" s="2" t="s">
        <v>10321</v>
      </c>
      <c r="E1241" s="2" t="s">
        <v>10322</v>
      </c>
      <c r="J1241" s="12" t="str">
        <f>VLOOKUP(I1241,'Copy of Enriched Data - IPBES G'!$L$2:$L$229,1,false)</f>
        <v>#N/A</v>
      </c>
      <c r="K1241" s="2" t="s">
        <v>10323</v>
      </c>
      <c r="M1241" s="2" t="s">
        <v>1420</v>
      </c>
      <c r="N1241" s="2" t="s">
        <v>1385</v>
      </c>
      <c r="O1241" s="2" t="s">
        <v>1386</v>
      </c>
      <c r="AO1241" s="2" t="s">
        <v>1368</v>
      </c>
    </row>
    <row r="1242" ht="15.75" customHeight="1">
      <c r="A1242" s="2" t="s">
        <v>10329</v>
      </c>
      <c r="B1242" s="2" t="s">
        <v>1396</v>
      </c>
      <c r="C1242" s="2">
        <v>2009.0</v>
      </c>
      <c r="D1242" s="2" t="s">
        <v>10330</v>
      </c>
      <c r="E1242" s="2" t="s">
        <v>10331</v>
      </c>
      <c r="G1242" s="2" t="s">
        <v>10332</v>
      </c>
      <c r="J1242" s="12" t="str">
        <f>VLOOKUP(I1242,'Copy of Enriched Data - IPBES G'!$L$2:$L$229,1,false)</f>
        <v>#N/A</v>
      </c>
      <c r="M1242" s="2" t="s">
        <v>1364</v>
      </c>
      <c r="N1242" s="2" t="s">
        <v>1385</v>
      </c>
      <c r="O1242" s="2" t="s">
        <v>1386</v>
      </c>
      <c r="AB1242" s="2" t="s">
        <v>10333</v>
      </c>
      <c r="AO1242" s="2" t="s">
        <v>1368</v>
      </c>
    </row>
    <row r="1243" ht="15.75" customHeight="1">
      <c r="A1243" s="2" t="s">
        <v>10334</v>
      </c>
      <c r="B1243" s="2" t="s">
        <v>1396</v>
      </c>
      <c r="C1243" s="2">
        <v>2006.0</v>
      </c>
      <c r="D1243" s="2" t="s">
        <v>10335</v>
      </c>
      <c r="E1243" s="2" t="s">
        <v>10336</v>
      </c>
      <c r="G1243" s="2" t="s">
        <v>10337</v>
      </c>
      <c r="J1243" s="12" t="str">
        <f>VLOOKUP(I1243,'Copy of Enriched Data - IPBES G'!$L$2:$L$229,1,false)</f>
        <v>#N/A</v>
      </c>
      <c r="M1243" s="2" t="s">
        <v>1727</v>
      </c>
      <c r="N1243" s="2" t="s">
        <v>1385</v>
      </c>
      <c r="O1243" s="2" t="s">
        <v>1386</v>
      </c>
      <c r="R1243" s="2">
        <v>328.0</v>
      </c>
      <c r="AB1243" s="2" t="s">
        <v>2993</v>
      </c>
      <c r="AO1243" s="2" t="s">
        <v>1368</v>
      </c>
    </row>
    <row r="1244" ht="15.75" customHeight="1">
      <c r="A1244" s="2" t="s">
        <v>10338</v>
      </c>
      <c r="B1244" s="2" t="s">
        <v>1766</v>
      </c>
      <c r="C1244" s="2">
        <v>2018.0</v>
      </c>
      <c r="D1244" s="2" t="s">
        <v>10339</v>
      </c>
      <c r="E1244" s="2" t="s">
        <v>10340</v>
      </c>
      <c r="F1244" s="2" t="s">
        <v>10341</v>
      </c>
      <c r="J1244" s="12" t="str">
        <f>VLOOKUP(I1244,'Copy of Enriched Data - IPBES G'!$L$2:$L$229,1,false)</f>
        <v>#N/A</v>
      </c>
      <c r="M1244" s="2" t="s">
        <v>1420</v>
      </c>
      <c r="N1244" s="2" t="s">
        <v>1385</v>
      </c>
      <c r="O1244" s="2" t="s">
        <v>1386</v>
      </c>
      <c r="AB1244" s="2" t="s">
        <v>4843</v>
      </c>
      <c r="AC1244" s="2" t="s">
        <v>1629</v>
      </c>
      <c r="AO1244" s="2" t="s">
        <v>1368</v>
      </c>
      <c r="AQ1244" s="2" t="s">
        <v>10342</v>
      </c>
    </row>
    <row r="1245" ht="15.75" customHeight="1">
      <c r="A1245" s="2" t="s">
        <v>10343</v>
      </c>
      <c r="B1245" s="2" t="s">
        <v>1361</v>
      </c>
      <c r="C1245" s="2">
        <v>1966.0</v>
      </c>
      <c r="D1245" s="2" t="s">
        <v>10344</v>
      </c>
      <c r="E1245" s="2" t="s">
        <v>10345</v>
      </c>
      <c r="F1245" s="2" t="s">
        <v>7068</v>
      </c>
      <c r="H1245" s="2" t="s">
        <v>10346</v>
      </c>
      <c r="I1245" s="2" t="s">
        <v>10347</v>
      </c>
      <c r="J1245" s="12" t="str">
        <f>VLOOKUP(I1245,'Copy of Enriched Data - IPBES G'!$L$2:$L$229,1,false)</f>
        <v>#N/A</v>
      </c>
      <c r="L1245" s="2" t="s">
        <v>10348</v>
      </c>
      <c r="M1245" s="2" t="s">
        <v>7887</v>
      </c>
      <c r="N1245" s="2" t="s">
        <v>1385</v>
      </c>
      <c r="O1245" s="2" t="s">
        <v>1386</v>
      </c>
      <c r="AO1245" s="2" t="s">
        <v>1368</v>
      </c>
    </row>
    <row r="1246" ht="15.75" customHeight="1">
      <c r="A1246" s="2" t="s">
        <v>10349</v>
      </c>
      <c r="B1246" s="2" t="s">
        <v>1361</v>
      </c>
      <c r="C1246" s="2">
        <v>2010.0</v>
      </c>
      <c r="D1246" s="2" t="s">
        <v>10350</v>
      </c>
      <c r="E1246" s="2" t="s">
        <v>10351</v>
      </c>
      <c r="F1246" s="2" t="s">
        <v>10352</v>
      </c>
      <c r="H1246" s="2" t="s">
        <v>10353</v>
      </c>
      <c r="I1246" s="2" t="s">
        <v>10354</v>
      </c>
      <c r="J1246" s="12" t="str">
        <f>VLOOKUP(I1246,'Copy of Enriched Data - IPBES G'!$L$2:$L$229,1,false)</f>
        <v>#N/A</v>
      </c>
      <c r="L1246" s="2" t="s">
        <v>10355</v>
      </c>
      <c r="M1246" s="2" t="s">
        <v>1449</v>
      </c>
      <c r="N1246" s="2" t="s">
        <v>1385</v>
      </c>
      <c r="O1246" s="2" t="s">
        <v>1386</v>
      </c>
      <c r="Q1246" s="2" t="s">
        <v>10356</v>
      </c>
      <c r="S1246" s="2">
        <v>37.0</v>
      </c>
      <c r="T1246" s="2">
        <v>44.0</v>
      </c>
      <c r="AO1246" s="2" t="s">
        <v>1368</v>
      </c>
    </row>
    <row r="1247" ht="15.75" customHeight="1">
      <c r="A1247" s="2" t="s">
        <v>10357</v>
      </c>
      <c r="B1247" s="2" t="s">
        <v>1766</v>
      </c>
      <c r="C1247" s="2">
        <v>2014.0</v>
      </c>
      <c r="D1247" s="2" t="s">
        <v>10358</v>
      </c>
      <c r="E1247" s="2" t="s">
        <v>10359</v>
      </c>
      <c r="F1247" s="2" t="s">
        <v>10360</v>
      </c>
      <c r="J1247" s="12" t="str">
        <f>VLOOKUP(I1247,'Copy of Enriched Data - IPBES G'!$L$2:$L$229,1,false)</f>
        <v>#N/A</v>
      </c>
      <c r="M1247" s="2" t="s">
        <v>1476</v>
      </c>
      <c r="N1247" s="2" t="s">
        <v>1385</v>
      </c>
      <c r="O1247" s="2" t="s">
        <v>1386</v>
      </c>
      <c r="Q1247" s="2" t="s">
        <v>10361</v>
      </c>
      <c r="AB1247" s="2" t="s">
        <v>1771</v>
      </c>
      <c r="AO1247" s="2" t="s">
        <v>1368</v>
      </c>
    </row>
    <row r="1248" ht="15.75" customHeight="1">
      <c r="A1248" s="2" t="s">
        <v>10362</v>
      </c>
      <c r="B1248" s="2" t="s">
        <v>1361</v>
      </c>
      <c r="C1248" s="2">
        <v>2018.0</v>
      </c>
      <c r="D1248" s="2" t="s">
        <v>10363</v>
      </c>
      <c r="E1248" s="2" t="s">
        <v>10364</v>
      </c>
      <c r="F1248" s="2" t="s">
        <v>2650</v>
      </c>
      <c r="H1248" s="2" t="s">
        <v>10365</v>
      </c>
      <c r="I1248" s="2" t="s">
        <v>10366</v>
      </c>
      <c r="J1248" s="12" t="str">
        <f>VLOOKUP(I1248,'Copy of Enriched Data - IPBES G'!$L$2:$L$229,1,false)</f>
        <v>#N/A</v>
      </c>
      <c r="L1248" s="2" t="s">
        <v>10367</v>
      </c>
      <c r="M1248" s="2" t="s">
        <v>1420</v>
      </c>
      <c r="N1248" s="2" t="s">
        <v>1385</v>
      </c>
      <c r="O1248" s="2" t="s">
        <v>1386</v>
      </c>
      <c r="Q1248" s="2" t="s">
        <v>10368</v>
      </c>
      <c r="S1248" s="2">
        <v>6.0</v>
      </c>
      <c r="T1248" s="2">
        <v>8.0</v>
      </c>
      <c r="AO1248" s="2" t="s">
        <v>1368</v>
      </c>
    </row>
    <row r="1249" ht="15.75" customHeight="1">
      <c r="A1249" s="2" t="s">
        <v>10372</v>
      </c>
      <c r="B1249" s="2" t="s">
        <v>1396</v>
      </c>
      <c r="C1249" s="2">
        <v>1998.0</v>
      </c>
      <c r="D1249" s="2" t="s">
        <v>10373</v>
      </c>
      <c r="E1249" s="2" t="s">
        <v>10374</v>
      </c>
      <c r="J1249" s="12" t="str">
        <f>VLOOKUP(I1249,'Copy of Enriched Data - IPBES G'!$L$2:$L$229,1,false)</f>
        <v>#N/A</v>
      </c>
      <c r="M1249" s="2" t="s">
        <v>1958</v>
      </c>
      <c r="N1249" s="2" t="s">
        <v>1385</v>
      </c>
      <c r="O1249" s="2" t="s">
        <v>1386</v>
      </c>
      <c r="AB1249" s="2" t="s">
        <v>10375</v>
      </c>
      <c r="AO1249" s="2" t="s">
        <v>1368</v>
      </c>
    </row>
    <row r="1250" ht="15.75" customHeight="1">
      <c r="A1250" s="2" t="s">
        <v>10376</v>
      </c>
      <c r="B1250" s="2" t="s">
        <v>1361</v>
      </c>
      <c r="C1250" s="2">
        <v>2014.0</v>
      </c>
      <c r="D1250" s="2" t="s">
        <v>10377</v>
      </c>
      <c r="E1250" s="2" t="s">
        <v>10378</v>
      </c>
      <c r="F1250" s="2" t="s">
        <v>3247</v>
      </c>
      <c r="H1250" s="2" t="s">
        <v>3248</v>
      </c>
      <c r="I1250" s="2" t="s">
        <v>10379</v>
      </c>
      <c r="J1250" s="12" t="str">
        <f>VLOOKUP(I1250,'Copy of Enriched Data - IPBES G'!$L$2:$L$229,1,false)</f>
        <v>#N/A</v>
      </c>
      <c r="L1250" s="2" t="s">
        <v>10380</v>
      </c>
      <c r="M1250" s="2" t="s">
        <v>1476</v>
      </c>
      <c r="N1250" s="2" t="s">
        <v>1385</v>
      </c>
      <c r="O1250" s="2" t="s">
        <v>1386</v>
      </c>
      <c r="AO1250" s="2" t="s">
        <v>1368</v>
      </c>
    </row>
    <row r="1251" ht="15.75" customHeight="1">
      <c r="A1251" s="2" t="s">
        <v>10381</v>
      </c>
      <c r="B1251" s="2" t="s">
        <v>1361</v>
      </c>
      <c r="C1251" s="2">
        <v>1986.0</v>
      </c>
      <c r="D1251" s="2" t="s">
        <v>10382</v>
      </c>
      <c r="E1251" s="2" t="s">
        <v>10383</v>
      </c>
      <c r="F1251" s="2" t="s">
        <v>1825</v>
      </c>
      <c r="H1251" s="2" t="s">
        <v>4358</v>
      </c>
      <c r="I1251" s="2" t="s">
        <v>10384</v>
      </c>
      <c r="J1251" s="12" t="str">
        <f>VLOOKUP(I1251,'Copy of Enriched Data - IPBES G'!$L$2:$L$229,1,false)</f>
        <v>#N/A</v>
      </c>
      <c r="L1251" s="2" t="s">
        <v>10385</v>
      </c>
      <c r="M1251" s="2" t="s">
        <v>3288</v>
      </c>
      <c r="N1251" s="2" t="s">
        <v>1385</v>
      </c>
      <c r="O1251" s="2" t="s">
        <v>1386</v>
      </c>
      <c r="AO1251" s="2" t="s">
        <v>1368</v>
      </c>
    </row>
    <row r="1252" ht="15.75" customHeight="1">
      <c r="A1252" s="2" t="s">
        <v>10386</v>
      </c>
      <c r="B1252" s="2" t="s">
        <v>1361</v>
      </c>
      <c r="C1252" s="2">
        <v>2017.0</v>
      </c>
      <c r="D1252" s="2" t="s">
        <v>10387</v>
      </c>
      <c r="E1252" s="2" t="s">
        <v>10388</v>
      </c>
      <c r="F1252" s="2" t="s">
        <v>10389</v>
      </c>
      <c r="I1252" s="2" t="s">
        <v>10390</v>
      </c>
      <c r="J1252" s="12" t="str">
        <f>VLOOKUP(I1252,'Copy of Enriched Data - IPBES G'!$L$2:$L$229,1,false)</f>
        <v>#N/A</v>
      </c>
      <c r="M1252" s="2" t="s">
        <v>1658</v>
      </c>
      <c r="N1252" s="2" t="s">
        <v>1385</v>
      </c>
      <c r="O1252" s="2" t="s">
        <v>1386</v>
      </c>
      <c r="AO1252" s="2" t="s">
        <v>1368</v>
      </c>
    </row>
    <row r="1253" ht="15.75" customHeight="1">
      <c r="A1253" s="2" t="s">
        <v>10391</v>
      </c>
      <c r="B1253" s="2" t="s">
        <v>1361</v>
      </c>
      <c r="C1253" s="2">
        <v>1989.0</v>
      </c>
      <c r="D1253" s="2" t="s">
        <v>10392</v>
      </c>
      <c r="E1253" s="2" t="s">
        <v>10393</v>
      </c>
      <c r="F1253" s="2" t="s">
        <v>10394</v>
      </c>
      <c r="I1253" s="2" t="s">
        <v>10395</v>
      </c>
      <c r="J1253" s="12" t="str">
        <f>VLOOKUP(I1253,'Copy of Enriched Data - IPBES G'!$L$2:$L$229,1,false)</f>
        <v>#N/A</v>
      </c>
      <c r="L1253" s="2" t="s">
        <v>10396</v>
      </c>
      <c r="M1253" s="2" t="s">
        <v>2701</v>
      </c>
      <c r="N1253" s="2" t="s">
        <v>1385</v>
      </c>
      <c r="O1253" s="2" t="s">
        <v>1386</v>
      </c>
      <c r="AO1253" s="2" t="s">
        <v>1368</v>
      </c>
    </row>
    <row r="1254" ht="15.75" customHeight="1">
      <c r="A1254" s="2" t="s">
        <v>10397</v>
      </c>
      <c r="B1254" s="2" t="s">
        <v>1766</v>
      </c>
      <c r="C1254" s="2">
        <v>2015.0</v>
      </c>
      <c r="D1254" s="2" t="s">
        <v>10398</v>
      </c>
      <c r="E1254" s="2" t="s">
        <v>10399</v>
      </c>
      <c r="F1254" s="2" t="s">
        <v>10400</v>
      </c>
      <c r="G1254" s="2" t="s">
        <v>10401</v>
      </c>
      <c r="J1254" s="12" t="str">
        <f>VLOOKUP(I1254,'Copy of Enriched Data - IPBES G'!$L$2:$L$229,1,false)</f>
        <v>#N/A</v>
      </c>
      <c r="M1254" s="2" t="s">
        <v>1373</v>
      </c>
      <c r="N1254" s="2" t="s">
        <v>1385</v>
      </c>
      <c r="O1254" s="2" t="s">
        <v>1386</v>
      </c>
      <c r="Q1254" s="2" t="s">
        <v>10402</v>
      </c>
      <c r="AB1254" s="2" t="s">
        <v>10403</v>
      </c>
      <c r="AC1254" s="2" t="s">
        <v>10404</v>
      </c>
      <c r="AO1254" s="2" t="s">
        <v>1368</v>
      </c>
    </row>
    <row r="1255" ht="15.75" customHeight="1">
      <c r="A1255" s="2" t="s">
        <v>10410</v>
      </c>
      <c r="B1255" s="2" t="s">
        <v>1396</v>
      </c>
      <c r="C1255" s="2">
        <v>2009.0</v>
      </c>
      <c r="D1255" s="2" t="s">
        <v>10411</v>
      </c>
      <c r="E1255" s="2" t="s">
        <v>10412</v>
      </c>
      <c r="J1255" s="12" t="str">
        <f>VLOOKUP(I1255,'Copy of Enriched Data - IPBES G'!$L$2:$L$229,1,false)</f>
        <v>#N/A</v>
      </c>
      <c r="M1255" s="2" t="s">
        <v>1364</v>
      </c>
      <c r="N1255" s="2" t="s">
        <v>1385</v>
      </c>
      <c r="O1255" s="2" t="s">
        <v>1386</v>
      </c>
      <c r="AB1255" s="2" t="s">
        <v>10413</v>
      </c>
      <c r="AO1255" s="2" t="s">
        <v>1368</v>
      </c>
    </row>
    <row r="1256" ht="15.75" customHeight="1">
      <c r="A1256" s="2" t="s">
        <v>10414</v>
      </c>
      <c r="B1256" s="2" t="s">
        <v>1396</v>
      </c>
      <c r="C1256" s="2">
        <v>2006.0</v>
      </c>
      <c r="D1256" s="2" t="s">
        <v>10415</v>
      </c>
      <c r="E1256" s="2" t="s">
        <v>10416</v>
      </c>
      <c r="G1256" s="2" t="s">
        <v>10417</v>
      </c>
      <c r="J1256" s="12" t="str">
        <f>VLOOKUP(I1256,'Copy of Enriched Data - IPBES G'!$L$2:$L$229,1,false)</f>
        <v>#N/A</v>
      </c>
      <c r="L1256" s="2" t="s">
        <v>10418</v>
      </c>
      <c r="M1256" s="2" t="s">
        <v>1727</v>
      </c>
      <c r="N1256" s="2" t="s">
        <v>1385</v>
      </c>
      <c r="O1256" s="2" t="s">
        <v>1386</v>
      </c>
      <c r="R1256" s="2">
        <v>292.0</v>
      </c>
      <c r="AB1256" s="2" t="s">
        <v>10419</v>
      </c>
      <c r="AO1256" s="2" t="s">
        <v>1368</v>
      </c>
    </row>
    <row r="1257" ht="15.75" customHeight="1">
      <c r="A1257" s="2" t="s">
        <v>10420</v>
      </c>
      <c r="B1257" s="2" t="s">
        <v>1361</v>
      </c>
      <c r="C1257" s="2">
        <v>2009.0</v>
      </c>
      <c r="D1257" s="2" t="s">
        <v>10421</v>
      </c>
      <c r="E1257" s="2" t="s">
        <v>10422</v>
      </c>
      <c r="F1257" s="2" t="s">
        <v>3148</v>
      </c>
      <c r="H1257" s="2" t="s">
        <v>9825</v>
      </c>
      <c r="I1257" s="2" t="s">
        <v>10423</v>
      </c>
      <c r="J1257" s="12" t="str">
        <f>VLOOKUP(I1257,'Copy of Enriched Data - IPBES G'!$L$2:$L$229,1,false)</f>
        <v>#N/A</v>
      </c>
      <c r="L1257" s="2" t="s">
        <v>10424</v>
      </c>
      <c r="M1257" s="2" t="s">
        <v>1364</v>
      </c>
      <c r="N1257" s="2" t="s">
        <v>1385</v>
      </c>
      <c r="O1257" s="2" t="s">
        <v>1386</v>
      </c>
      <c r="Q1257" s="2" t="s">
        <v>10425</v>
      </c>
      <c r="S1257" s="2">
        <v>4.0</v>
      </c>
      <c r="T1257" s="2">
        <v>57.0</v>
      </c>
      <c r="AO1257" s="2" t="s">
        <v>1368</v>
      </c>
    </row>
    <row r="1258" ht="15.75" customHeight="1">
      <c r="A1258" s="2" t="s">
        <v>10433</v>
      </c>
      <c r="B1258" s="2" t="s">
        <v>1361</v>
      </c>
      <c r="C1258" s="2">
        <v>2015.0</v>
      </c>
      <c r="D1258" s="2" t="s">
        <v>10434</v>
      </c>
      <c r="E1258" s="2" t="s">
        <v>10435</v>
      </c>
      <c r="F1258" s="2" t="s">
        <v>10436</v>
      </c>
      <c r="H1258" s="2" t="s">
        <v>10437</v>
      </c>
      <c r="I1258" s="2" t="s">
        <v>10438</v>
      </c>
      <c r="J1258" s="12" t="str">
        <f>VLOOKUP(I1258,'Copy of Enriched Data - IPBES G'!$L$2:$L$229,1,false)</f>
        <v>#N/A</v>
      </c>
      <c r="L1258" s="2" t="s">
        <v>10439</v>
      </c>
      <c r="M1258" s="2" t="s">
        <v>1373</v>
      </c>
      <c r="N1258" s="2" t="s">
        <v>1385</v>
      </c>
      <c r="O1258" s="2" t="s">
        <v>1386</v>
      </c>
      <c r="AO1258" s="2" t="s">
        <v>1368</v>
      </c>
    </row>
    <row r="1259" ht="15.75" customHeight="1">
      <c r="A1259" s="2" t="s">
        <v>10440</v>
      </c>
      <c r="B1259" s="2" t="s">
        <v>1396</v>
      </c>
      <c r="C1259" s="2">
        <v>2008.0</v>
      </c>
      <c r="D1259" s="2" t="s">
        <v>10441</v>
      </c>
      <c r="E1259" s="2" t="s">
        <v>10442</v>
      </c>
      <c r="J1259" s="12" t="str">
        <f>VLOOKUP(I1259,'Copy of Enriched Data - IPBES G'!$L$2:$L$229,1,false)</f>
        <v>#N/A</v>
      </c>
      <c r="M1259" s="2" t="s">
        <v>1458</v>
      </c>
      <c r="N1259" s="2" t="s">
        <v>1385</v>
      </c>
      <c r="O1259" s="2" t="s">
        <v>1386</v>
      </c>
      <c r="T1259" s="2">
        <v>5.0</v>
      </c>
      <c r="AB1259" s="2" t="s">
        <v>10443</v>
      </c>
      <c r="AO1259" s="2" t="s">
        <v>1368</v>
      </c>
    </row>
    <row r="1260" ht="15.75" customHeight="1">
      <c r="A1260" s="2" t="s">
        <v>10444</v>
      </c>
      <c r="B1260" s="2" t="s">
        <v>1361</v>
      </c>
      <c r="C1260" s="2">
        <v>2005.0</v>
      </c>
      <c r="D1260" s="2" t="s">
        <v>10445</v>
      </c>
      <c r="E1260" s="2" t="s">
        <v>10446</v>
      </c>
      <c r="F1260" s="2" t="s">
        <v>10447</v>
      </c>
      <c r="H1260" s="2" t="s">
        <v>10448</v>
      </c>
      <c r="I1260" s="2" t="s">
        <v>10449</v>
      </c>
      <c r="J1260" s="12" t="str">
        <f>VLOOKUP(I1260,'Copy of Enriched Data - IPBES G'!$L$2:$L$229,1,false)</f>
        <v>#N/A</v>
      </c>
      <c r="L1260" s="2" t="s">
        <v>10450</v>
      </c>
      <c r="M1260" s="2" t="s">
        <v>10451</v>
      </c>
      <c r="N1260" s="2" t="s">
        <v>1385</v>
      </c>
      <c r="O1260" s="2" t="s">
        <v>1386</v>
      </c>
      <c r="Q1260" s="2" t="s">
        <v>10452</v>
      </c>
      <c r="S1260" s="2">
        <v>3.0</v>
      </c>
      <c r="T1260" s="2">
        <v>12.0</v>
      </c>
      <c r="AO1260" s="2" t="s">
        <v>1368</v>
      </c>
    </row>
    <row r="1261" ht="15.75" customHeight="1">
      <c r="A1261" s="2" t="s">
        <v>10457</v>
      </c>
      <c r="B1261" s="2" t="s">
        <v>1361</v>
      </c>
      <c r="C1261" s="2">
        <v>2011.0</v>
      </c>
      <c r="D1261" s="2" t="s">
        <v>10458</v>
      </c>
      <c r="E1261" s="2" t="s">
        <v>10459</v>
      </c>
      <c r="F1261" s="2" t="s">
        <v>8164</v>
      </c>
      <c r="H1261" s="2" t="s">
        <v>10460</v>
      </c>
      <c r="I1261" s="2" t="s">
        <v>10461</v>
      </c>
      <c r="J1261" s="12" t="str">
        <f>VLOOKUP(I1261,'Copy of Enriched Data - IPBES G'!$L$2:$L$229,1,false)</f>
        <v>#N/A</v>
      </c>
      <c r="L1261" s="2" t="s">
        <v>10462</v>
      </c>
      <c r="M1261" s="2" t="s">
        <v>1627</v>
      </c>
      <c r="N1261" s="2" t="s">
        <v>1385</v>
      </c>
      <c r="O1261" s="2" t="s">
        <v>1386</v>
      </c>
      <c r="Q1261" s="2" t="s">
        <v>10463</v>
      </c>
      <c r="S1261" s="2">
        <v>8.0</v>
      </c>
      <c r="T1261" s="2">
        <v>159.0</v>
      </c>
      <c r="AO1261" s="2" t="s">
        <v>1368</v>
      </c>
    </row>
    <row r="1262" ht="15.75" customHeight="1">
      <c r="A1262" s="2" t="s">
        <v>10464</v>
      </c>
      <c r="B1262" s="2" t="s">
        <v>1361</v>
      </c>
      <c r="C1262" s="2">
        <v>2014.0</v>
      </c>
      <c r="D1262" s="2" t="s">
        <v>10465</v>
      </c>
      <c r="E1262" s="2" t="s">
        <v>10466</v>
      </c>
      <c r="F1262" s="2" t="s">
        <v>10467</v>
      </c>
      <c r="H1262" s="2" t="s">
        <v>10468</v>
      </c>
      <c r="I1262" s="2" t="s">
        <v>10469</v>
      </c>
      <c r="J1262" s="12" t="str">
        <f>VLOOKUP(I1262,'Copy of Enriched Data - IPBES G'!$L$2:$L$229,1,false)</f>
        <v>#N/A</v>
      </c>
      <c r="L1262" s="2" t="s">
        <v>10470</v>
      </c>
      <c r="M1262" s="2" t="s">
        <v>1476</v>
      </c>
      <c r="N1262" s="2" t="s">
        <v>1385</v>
      </c>
      <c r="O1262" s="2" t="s">
        <v>1386</v>
      </c>
      <c r="Q1262" s="2" t="s">
        <v>10471</v>
      </c>
      <c r="S1262" s="2">
        <v>1.0</v>
      </c>
      <c r="T1262" s="2">
        <v>7.0</v>
      </c>
      <c r="AO1262" s="2" t="s">
        <v>1368</v>
      </c>
    </row>
    <row r="1263" ht="15.75" customHeight="1">
      <c r="A1263" s="2" t="s">
        <v>10472</v>
      </c>
      <c r="B1263" s="2" t="s">
        <v>1396</v>
      </c>
      <c r="C1263" s="2">
        <v>1999.0</v>
      </c>
      <c r="D1263" s="2" t="s">
        <v>10473</v>
      </c>
      <c r="E1263" s="2" t="s">
        <v>10474</v>
      </c>
      <c r="J1263" s="12" t="str">
        <f>VLOOKUP(I1263,'Copy of Enriched Data - IPBES G'!$L$2:$L$229,1,false)</f>
        <v>#N/A</v>
      </c>
      <c r="M1263" s="2" t="s">
        <v>1434</v>
      </c>
      <c r="N1263" s="2" t="s">
        <v>1385</v>
      </c>
      <c r="O1263" s="2" t="s">
        <v>1386</v>
      </c>
      <c r="T1263" s="2">
        <v>22.0</v>
      </c>
      <c r="AB1263" s="2" t="s">
        <v>10475</v>
      </c>
      <c r="AO1263" s="2" t="s">
        <v>1368</v>
      </c>
    </row>
    <row r="1264" ht="15.75" customHeight="1">
      <c r="A1264" s="2" t="s">
        <v>10476</v>
      </c>
      <c r="B1264" s="2" t="s">
        <v>1361</v>
      </c>
      <c r="C1264" s="2">
        <v>2009.0</v>
      </c>
      <c r="D1264" s="2" t="s">
        <v>10477</v>
      </c>
      <c r="E1264" s="2" t="s">
        <v>10478</v>
      </c>
      <c r="F1264" s="2" t="s">
        <v>1760</v>
      </c>
      <c r="H1264" s="2" t="s">
        <v>1761</v>
      </c>
      <c r="I1264" s="2" t="s">
        <v>10479</v>
      </c>
      <c r="J1264" s="12" t="str">
        <f>VLOOKUP(I1264,'Copy of Enriched Data - IPBES G'!$L$2:$L$229,1,false)</f>
        <v>#N/A</v>
      </c>
      <c r="L1264" s="2" t="s">
        <v>10480</v>
      </c>
      <c r="M1264" s="2" t="s">
        <v>1364</v>
      </c>
      <c r="N1264" s="2" t="s">
        <v>1385</v>
      </c>
      <c r="O1264" s="2" t="s">
        <v>1386</v>
      </c>
      <c r="AO1264" s="2" t="s">
        <v>1368</v>
      </c>
    </row>
    <row r="1265" ht="15.75" customHeight="1">
      <c r="A1265" s="2" t="s">
        <v>10481</v>
      </c>
      <c r="B1265" s="2" t="s">
        <v>1766</v>
      </c>
      <c r="C1265" s="2">
        <v>2007.0</v>
      </c>
      <c r="D1265" s="2" t="s">
        <v>10482</v>
      </c>
      <c r="E1265" s="2" t="s">
        <v>10483</v>
      </c>
      <c r="F1265" s="2" t="s">
        <v>10484</v>
      </c>
      <c r="J1265" s="12" t="str">
        <f>VLOOKUP(I1265,'Copy of Enriched Data - IPBES G'!$L$2:$L$229,1,false)</f>
        <v>#N/A</v>
      </c>
      <c r="M1265" s="2" t="s">
        <v>2380</v>
      </c>
      <c r="N1265" s="2" t="s">
        <v>1385</v>
      </c>
      <c r="O1265" s="2" t="s">
        <v>1386</v>
      </c>
      <c r="Q1265" s="2" t="s">
        <v>10485</v>
      </c>
      <c r="AO1265" s="2" t="s">
        <v>1368</v>
      </c>
    </row>
    <row r="1266" ht="15.75" customHeight="1">
      <c r="A1266" s="2" t="s">
        <v>10486</v>
      </c>
      <c r="B1266" s="2" t="s">
        <v>1361</v>
      </c>
      <c r="C1266" s="2">
        <v>2013.0</v>
      </c>
      <c r="D1266" s="2" t="s">
        <v>10487</v>
      </c>
      <c r="E1266" s="2" t="s">
        <v>10488</v>
      </c>
      <c r="F1266" s="2" t="s">
        <v>3224</v>
      </c>
      <c r="H1266" s="2" t="s">
        <v>3225</v>
      </c>
      <c r="I1266" s="2" t="s">
        <v>10489</v>
      </c>
      <c r="J1266" s="12" t="str">
        <f>VLOOKUP(I1266,'Copy of Enriched Data - IPBES G'!$L$2:$L$229,1,false)</f>
        <v>#N/A</v>
      </c>
      <c r="K1266" s="2" t="s">
        <v>10490</v>
      </c>
      <c r="L1266" s="2" t="s">
        <v>10491</v>
      </c>
      <c r="M1266" s="2" t="s">
        <v>10492</v>
      </c>
      <c r="N1266" s="2" t="s">
        <v>1385</v>
      </c>
      <c r="O1266" s="2" t="s">
        <v>1386</v>
      </c>
      <c r="Q1266" s="2" t="s">
        <v>10493</v>
      </c>
      <c r="S1266" s="2">
        <v>2.0</v>
      </c>
      <c r="T1266" s="2">
        <v>51.0</v>
      </c>
      <c r="AO1266" s="2" t="s">
        <v>1368</v>
      </c>
    </row>
    <row r="1267" ht="15.75" customHeight="1">
      <c r="A1267" s="2" t="s">
        <v>10499</v>
      </c>
      <c r="B1267" s="2" t="s">
        <v>1361</v>
      </c>
      <c r="C1267" s="2">
        <v>2011.0</v>
      </c>
      <c r="D1267" s="2" t="s">
        <v>10500</v>
      </c>
      <c r="E1267" s="2" t="s">
        <v>10501</v>
      </c>
      <c r="F1267" s="2" t="s">
        <v>3047</v>
      </c>
      <c r="H1267" s="2" t="s">
        <v>3048</v>
      </c>
      <c r="I1267" s="2" t="s">
        <v>10502</v>
      </c>
      <c r="J1267" s="12" t="str">
        <f>VLOOKUP(I1267,'Copy of Enriched Data - IPBES G'!$L$2:$L$229,1,false)</f>
        <v>#N/A</v>
      </c>
      <c r="L1267" s="2" t="s">
        <v>10503</v>
      </c>
      <c r="M1267" s="2" t="s">
        <v>1627</v>
      </c>
      <c r="N1267" s="2" t="s">
        <v>1385</v>
      </c>
      <c r="O1267" s="2" t="s">
        <v>1386</v>
      </c>
      <c r="Q1267" s="2" t="s">
        <v>2124</v>
      </c>
      <c r="AO1267" s="2" t="s">
        <v>1368</v>
      </c>
    </row>
    <row r="1268" ht="15.75" customHeight="1">
      <c r="A1268" s="2" t="s">
        <v>10504</v>
      </c>
      <c r="B1268" s="2" t="s">
        <v>1361</v>
      </c>
      <c r="C1268" s="2">
        <v>2005.0</v>
      </c>
      <c r="D1268" s="2" t="s">
        <v>10505</v>
      </c>
      <c r="E1268" s="2" t="s">
        <v>10506</v>
      </c>
      <c r="F1268" s="2" t="s">
        <v>10507</v>
      </c>
      <c r="H1268" s="2" t="s">
        <v>10508</v>
      </c>
      <c r="I1268" s="2" t="s">
        <v>10509</v>
      </c>
      <c r="J1268" s="12" t="str">
        <f>VLOOKUP(I1268,'Copy of Enriched Data - IPBES G'!$L$2:$L$229,1,false)</f>
        <v>#N/A</v>
      </c>
      <c r="L1268" s="2" t="s">
        <v>10510</v>
      </c>
      <c r="M1268" s="2" t="s">
        <v>1394</v>
      </c>
      <c r="N1268" s="2" t="s">
        <v>1385</v>
      </c>
      <c r="O1268" s="2" t="s">
        <v>1386</v>
      </c>
      <c r="Q1268" s="2" t="s">
        <v>10511</v>
      </c>
      <c r="S1268" s="2">
        <v>5.0</v>
      </c>
      <c r="T1268" s="2">
        <v>87.0</v>
      </c>
      <c r="AO1268" s="2" t="s">
        <v>1368</v>
      </c>
    </row>
    <row r="1269" ht="15.75" customHeight="1">
      <c r="A1269" s="2" t="s">
        <v>10515</v>
      </c>
      <c r="B1269" s="2" t="s">
        <v>1766</v>
      </c>
      <c r="C1269" s="2">
        <v>1997.0</v>
      </c>
      <c r="D1269" s="2" t="s">
        <v>10516</v>
      </c>
      <c r="E1269" s="2" t="s">
        <v>10517</v>
      </c>
      <c r="F1269" s="2" t="s">
        <v>10518</v>
      </c>
      <c r="J1269" s="12" t="str">
        <f>VLOOKUP(I1269,'Copy of Enriched Data - IPBES G'!$L$2:$L$229,1,false)</f>
        <v>#N/A</v>
      </c>
      <c r="M1269" s="2" t="s">
        <v>1804</v>
      </c>
      <c r="N1269" s="2" t="s">
        <v>1385</v>
      </c>
      <c r="O1269" s="2" t="s">
        <v>1386</v>
      </c>
      <c r="Q1269" s="2" t="s">
        <v>10519</v>
      </c>
      <c r="AB1269" s="2" t="s">
        <v>1771</v>
      </c>
      <c r="AO1269" s="2" t="s">
        <v>1368</v>
      </c>
    </row>
    <row r="1270" ht="15.75" customHeight="1">
      <c r="A1270" s="2" t="s">
        <v>10520</v>
      </c>
      <c r="B1270" s="2" t="s">
        <v>1361</v>
      </c>
      <c r="C1270" s="2">
        <v>2005.0</v>
      </c>
      <c r="D1270" s="2" t="s">
        <v>10521</v>
      </c>
      <c r="E1270" s="2" t="s">
        <v>10522</v>
      </c>
      <c r="F1270" s="2" t="s">
        <v>10523</v>
      </c>
      <c r="H1270" s="2" t="s">
        <v>10524</v>
      </c>
      <c r="I1270" s="2" t="s">
        <v>10525</v>
      </c>
      <c r="J1270" s="12" t="str">
        <f>VLOOKUP(I1270,'Copy of Enriched Data - IPBES G'!$L$2:$L$229,1,false)</f>
        <v>#N/A</v>
      </c>
      <c r="L1270" s="2" t="s">
        <v>10526</v>
      </c>
      <c r="M1270" s="2" t="s">
        <v>1394</v>
      </c>
      <c r="N1270" s="2" t="s">
        <v>1385</v>
      </c>
      <c r="O1270" s="2" t="s">
        <v>1386</v>
      </c>
      <c r="Q1270" s="2" t="s">
        <v>10527</v>
      </c>
      <c r="S1270" s="2">
        <v>2.0</v>
      </c>
      <c r="T1270" s="2">
        <v>21.0</v>
      </c>
      <c r="AO1270" s="2" t="s">
        <v>1368</v>
      </c>
    </row>
    <row r="1271" ht="15.75" customHeight="1">
      <c r="A1271" s="2" t="s">
        <v>10533</v>
      </c>
      <c r="B1271" s="2" t="s">
        <v>1361</v>
      </c>
      <c r="C1271" s="2">
        <v>2015.0</v>
      </c>
      <c r="D1271" s="2" t="s">
        <v>10534</v>
      </c>
      <c r="E1271" s="2" t="s">
        <v>10535</v>
      </c>
      <c r="F1271" s="2" t="s">
        <v>10536</v>
      </c>
      <c r="H1271" s="2" t="s">
        <v>10537</v>
      </c>
      <c r="I1271" s="2" t="s">
        <v>10538</v>
      </c>
      <c r="J1271" s="12" t="str">
        <f>VLOOKUP(I1271,'Copy of Enriched Data - IPBES G'!$L$2:$L$229,1,false)</f>
        <v>#N/A</v>
      </c>
      <c r="L1271" s="2" t="s">
        <v>10539</v>
      </c>
      <c r="M1271" s="2" t="s">
        <v>1373</v>
      </c>
      <c r="N1271" s="2" t="s">
        <v>1385</v>
      </c>
      <c r="O1271" s="2" t="s">
        <v>1386</v>
      </c>
      <c r="Q1271" s="2" t="s">
        <v>10540</v>
      </c>
      <c r="S1271" s="2">
        <v>7.0</v>
      </c>
      <c r="T1271" s="2">
        <v>25.0</v>
      </c>
      <c r="AO1271" s="2" t="s">
        <v>1368</v>
      </c>
    </row>
    <row r="1272" ht="15.75" customHeight="1">
      <c r="A1272" s="2" t="s">
        <v>10541</v>
      </c>
      <c r="B1272" s="2" t="s">
        <v>1361</v>
      </c>
      <c r="C1272" s="2">
        <v>2009.0</v>
      </c>
      <c r="D1272" s="2" t="s">
        <v>10542</v>
      </c>
      <c r="E1272" s="2" t="s">
        <v>10543</v>
      </c>
      <c r="F1272" s="2" t="s">
        <v>2590</v>
      </c>
      <c r="H1272" s="2" t="s">
        <v>2591</v>
      </c>
      <c r="I1272" s="2" t="s">
        <v>10544</v>
      </c>
      <c r="J1272" s="12" t="str">
        <f>VLOOKUP(I1272,'Copy of Enriched Data - IPBES G'!$L$2:$L$229,1,false)</f>
        <v>#N/A</v>
      </c>
      <c r="L1272" s="2" t="s">
        <v>10545</v>
      </c>
      <c r="M1272" s="2" t="s">
        <v>1364</v>
      </c>
      <c r="N1272" s="2" t="s">
        <v>1385</v>
      </c>
      <c r="O1272" s="2" t="s">
        <v>1386</v>
      </c>
      <c r="AO1272" s="2" t="s">
        <v>1368</v>
      </c>
    </row>
    <row r="1273" ht="15.75" customHeight="1">
      <c r="A1273" s="2" t="s">
        <v>10551</v>
      </c>
      <c r="B1273" s="2" t="s">
        <v>1361</v>
      </c>
      <c r="C1273" s="2">
        <v>2015.0</v>
      </c>
      <c r="D1273" s="2" t="s">
        <v>10552</v>
      </c>
      <c r="E1273" s="2" t="s">
        <v>10553</v>
      </c>
      <c r="F1273" s="2" t="s">
        <v>10554</v>
      </c>
      <c r="H1273" s="2" t="s">
        <v>10555</v>
      </c>
      <c r="I1273" s="2" t="s">
        <v>10556</v>
      </c>
      <c r="J1273" s="12" t="str">
        <f>VLOOKUP(I1273,'Copy of Enriched Data - IPBES G'!$L$2:$L$229,1,false)</f>
        <v>#N/A</v>
      </c>
      <c r="L1273" s="2" t="s">
        <v>10557</v>
      </c>
      <c r="M1273" s="2" t="s">
        <v>5599</v>
      </c>
      <c r="N1273" s="2" t="s">
        <v>1385</v>
      </c>
      <c r="O1273" s="2" t="s">
        <v>1386</v>
      </c>
      <c r="Q1273" s="2" t="s">
        <v>10558</v>
      </c>
      <c r="S1273" s="2">
        <v>2.0</v>
      </c>
      <c r="T1273" s="2">
        <v>7.0</v>
      </c>
      <c r="AO1273" s="2" t="s">
        <v>1368</v>
      </c>
    </row>
    <row r="1274" ht="15.75" customHeight="1">
      <c r="A1274" s="2" t="s">
        <v>10559</v>
      </c>
      <c r="B1274" s="2" t="s">
        <v>1361</v>
      </c>
      <c r="C1274" s="2">
        <v>1998.0</v>
      </c>
      <c r="D1274" s="2" t="s">
        <v>10560</v>
      </c>
      <c r="E1274" s="2" t="s">
        <v>10561</v>
      </c>
      <c r="F1274" s="2" t="s">
        <v>2340</v>
      </c>
      <c r="H1274" s="2" t="s">
        <v>10562</v>
      </c>
      <c r="I1274" s="2" t="s">
        <v>10563</v>
      </c>
      <c r="J1274" s="12" t="str">
        <f>VLOOKUP(I1274,'Copy of Enriched Data - IPBES G'!$L$2:$L$229,1,false)</f>
        <v>#N/A</v>
      </c>
      <c r="L1274" s="2" t="s">
        <v>10564</v>
      </c>
      <c r="M1274" s="2" t="s">
        <v>1958</v>
      </c>
      <c r="N1274" s="2" t="s">
        <v>1385</v>
      </c>
      <c r="O1274" s="2" t="s">
        <v>1386</v>
      </c>
      <c r="Q1274" s="2" t="s">
        <v>10565</v>
      </c>
      <c r="S1274" s="2">
        <v>3.0</v>
      </c>
      <c r="T1274" s="2">
        <v>19.0</v>
      </c>
      <c r="AO1274" s="2" t="s">
        <v>1368</v>
      </c>
    </row>
    <row r="1275" ht="15.75" customHeight="1">
      <c r="A1275" s="2" t="s">
        <v>10566</v>
      </c>
      <c r="B1275" s="2" t="s">
        <v>1361</v>
      </c>
      <c r="C1275" s="2">
        <v>2013.0</v>
      </c>
      <c r="D1275" s="2" t="s">
        <v>10567</v>
      </c>
      <c r="E1275" s="2" t="s">
        <v>10568</v>
      </c>
      <c r="F1275" s="2" t="s">
        <v>10569</v>
      </c>
      <c r="H1275" s="2" t="s">
        <v>10570</v>
      </c>
      <c r="I1275" s="2" t="s">
        <v>10571</v>
      </c>
      <c r="J1275" s="12" t="str">
        <f>VLOOKUP(I1275,'Copy of Enriched Data - IPBES G'!$L$2:$L$229,1,false)</f>
        <v>#N/A</v>
      </c>
      <c r="L1275" s="2" t="s">
        <v>10572</v>
      </c>
      <c r="M1275" s="2" t="s">
        <v>1429</v>
      </c>
      <c r="N1275" s="2" t="s">
        <v>1385</v>
      </c>
      <c r="O1275" s="2" t="s">
        <v>1386</v>
      </c>
      <c r="Q1275" s="2" t="s">
        <v>10573</v>
      </c>
      <c r="S1275" s="2">
        <v>12.0</v>
      </c>
      <c r="T1275" s="2">
        <v>13.0</v>
      </c>
      <c r="AO1275" s="2" t="s">
        <v>1368</v>
      </c>
    </row>
    <row r="1276" ht="15.75" customHeight="1">
      <c r="A1276" s="2" t="s">
        <v>10574</v>
      </c>
      <c r="B1276" s="2" t="s">
        <v>1396</v>
      </c>
      <c r="C1276" s="2">
        <v>2018.0</v>
      </c>
      <c r="D1276" s="2" t="s">
        <v>10342</v>
      </c>
      <c r="E1276" s="2" t="s">
        <v>4899</v>
      </c>
      <c r="J1276" s="12" t="str">
        <f>VLOOKUP(I1276,'Copy of Enriched Data - IPBES G'!$L$2:$L$229,1,false)</f>
        <v>#N/A</v>
      </c>
      <c r="M1276" s="2" t="s">
        <v>1420</v>
      </c>
      <c r="N1276" s="2" t="s">
        <v>1385</v>
      </c>
      <c r="O1276" s="2" t="s">
        <v>1386</v>
      </c>
      <c r="AB1276" s="2" t="s">
        <v>1406</v>
      </c>
      <c r="AO1276" s="2" t="s">
        <v>1368</v>
      </c>
    </row>
    <row r="1277" ht="15.75" customHeight="1">
      <c r="A1277" s="2" t="s">
        <v>10575</v>
      </c>
      <c r="B1277" s="2" t="s">
        <v>1361</v>
      </c>
      <c r="C1277" s="2">
        <v>2010.0</v>
      </c>
      <c r="D1277" s="2" t="s">
        <v>10576</v>
      </c>
      <c r="E1277" s="2" t="s">
        <v>10577</v>
      </c>
      <c r="F1277" s="2" t="s">
        <v>3841</v>
      </c>
      <c r="I1277" s="2" t="s">
        <v>10578</v>
      </c>
      <c r="J1277" s="12" t="str">
        <f>VLOOKUP(I1277,'Copy of Enriched Data - IPBES G'!$L$2:$L$229,1,false)</f>
        <v>#N/A</v>
      </c>
      <c r="M1277" s="2">
        <v>2010.0</v>
      </c>
      <c r="N1277" s="2" t="s">
        <v>10579</v>
      </c>
      <c r="O1277" s="2" t="s">
        <v>10580</v>
      </c>
      <c r="Q1277" s="2" t="s">
        <v>10581</v>
      </c>
      <c r="S1277" s="2" t="s">
        <v>1462</v>
      </c>
      <c r="T1277" s="2">
        <v>106.0</v>
      </c>
      <c r="AO1277" s="2" t="s">
        <v>1368</v>
      </c>
    </row>
    <row r="1278" ht="15.75" customHeight="1">
      <c r="A1278" s="2" t="s">
        <v>10582</v>
      </c>
      <c r="B1278" s="2" t="s">
        <v>1361</v>
      </c>
      <c r="C1278" s="2">
        <v>2010.0</v>
      </c>
      <c r="D1278" s="2" t="s">
        <v>10583</v>
      </c>
      <c r="E1278" s="2" t="s">
        <v>10584</v>
      </c>
      <c r="F1278" s="2" t="s">
        <v>2216</v>
      </c>
      <c r="I1278" s="2" t="s">
        <v>10585</v>
      </c>
      <c r="J1278" s="12" t="str">
        <f>VLOOKUP(I1278,'Copy of Enriched Data - IPBES G'!$L$2:$L$229,1,false)</f>
        <v>#N/A</v>
      </c>
      <c r="M1278" s="2">
        <v>2010.0</v>
      </c>
      <c r="N1278" s="2" t="s">
        <v>10586</v>
      </c>
      <c r="O1278" s="2" t="s">
        <v>10587</v>
      </c>
      <c r="Q1278" s="2" t="s">
        <v>10588</v>
      </c>
      <c r="S1278" s="2" t="s">
        <v>2646</v>
      </c>
      <c r="T1278" s="2">
        <v>12.0</v>
      </c>
      <c r="AO1278" s="2" t="s">
        <v>1368</v>
      </c>
    </row>
    <row r="1279" ht="15.75" customHeight="1">
      <c r="A1279" s="2" t="s">
        <v>10589</v>
      </c>
      <c r="B1279" s="2" t="s">
        <v>1361</v>
      </c>
      <c r="C1279" s="2">
        <v>2011.0</v>
      </c>
      <c r="D1279" s="2" t="s">
        <v>10590</v>
      </c>
      <c r="E1279" s="2" t="s">
        <v>10591</v>
      </c>
      <c r="F1279" s="2" t="s">
        <v>10592</v>
      </c>
      <c r="I1279" s="2" t="s">
        <v>10593</v>
      </c>
      <c r="J1279" s="12" t="str">
        <f>VLOOKUP(I1279,'Copy of Enriched Data - IPBES G'!$L$2:$L$229,1,false)</f>
        <v>#N/A</v>
      </c>
      <c r="M1279" s="2">
        <v>2011.0</v>
      </c>
      <c r="N1279" s="2" t="s">
        <v>4132</v>
      </c>
      <c r="O1279" s="2" t="s">
        <v>4133</v>
      </c>
      <c r="Q1279" s="2" t="s">
        <v>10594</v>
      </c>
      <c r="S1279" s="2" t="s">
        <v>10595</v>
      </c>
      <c r="T1279" s="2">
        <v>95.0</v>
      </c>
      <c r="AO1279" s="2" t="s">
        <v>1368</v>
      </c>
    </row>
    <row r="1280" ht="15.75" customHeight="1">
      <c r="A1280" s="2" t="s">
        <v>10596</v>
      </c>
      <c r="B1280" s="2" t="s">
        <v>1361</v>
      </c>
      <c r="C1280" s="2">
        <v>2014.0</v>
      </c>
      <c r="D1280" s="2" t="s">
        <v>10597</v>
      </c>
      <c r="E1280" s="2" t="s">
        <v>10598</v>
      </c>
      <c r="F1280" s="2" t="s">
        <v>1474</v>
      </c>
      <c r="I1280" s="2" t="s">
        <v>10599</v>
      </c>
      <c r="J1280" s="12" t="str">
        <f>VLOOKUP(I1280,'Copy of Enriched Data - IPBES G'!$L$2:$L$229,1,false)</f>
        <v>#N/A</v>
      </c>
      <c r="M1280" s="2">
        <v>2014.0</v>
      </c>
      <c r="N1280" s="2" t="s">
        <v>10600</v>
      </c>
      <c r="O1280" s="2" t="s">
        <v>10601</v>
      </c>
      <c r="Q1280" s="2" t="s">
        <v>10602</v>
      </c>
      <c r="S1280" s="2" t="s">
        <v>1537</v>
      </c>
      <c r="T1280" s="2">
        <v>104.0</v>
      </c>
      <c r="AO1280" s="2" t="s">
        <v>1368</v>
      </c>
    </row>
    <row r="1281" ht="15.75" customHeight="1">
      <c r="A1281" s="2" t="s">
        <v>10603</v>
      </c>
      <c r="B1281" s="2" t="s">
        <v>1361</v>
      </c>
      <c r="C1281" s="2">
        <v>2012.0</v>
      </c>
      <c r="D1281" s="2" t="s">
        <v>10604</v>
      </c>
      <c r="E1281" s="2" t="s">
        <v>10605</v>
      </c>
      <c r="F1281" s="2" t="s">
        <v>10606</v>
      </c>
      <c r="J1281" s="12" t="str">
        <f>VLOOKUP(I1281,'Copy of Enriched Data - IPBES G'!$L$2:$L$229,1,false)</f>
        <v>#N/A</v>
      </c>
      <c r="M1281" s="2">
        <v>2012.0</v>
      </c>
      <c r="N1281" s="2" t="s">
        <v>10607</v>
      </c>
      <c r="O1281" s="2" t="s">
        <v>10608</v>
      </c>
      <c r="AO1281" s="2" t="s">
        <v>1368</v>
      </c>
    </row>
    <row r="1282" ht="15.75" customHeight="1">
      <c r="A1282" s="2" t="s">
        <v>10617</v>
      </c>
      <c r="B1282" s="2" t="s">
        <v>1396</v>
      </c>
      <c r="C1282" s="2">
        <v>1994.0</v>
      </c>
      <c r="D1282" s="2" t="s">
        <v>10618</v>
      </c>
      <c r="E1282" s="2" t="s">
        <v>10619</v>
      </c>
      <c r="J1282" s="12" t="str">
        <f>VLOOKUP(I1282,'Copy of Enriched Data - IPBES G'!$L$2:$L$229,1,false)</f>
        <v>#N/A</v>
      </c>
      <c r="M1282" s="2">
        <v>1994.0</v>
      </c>
      <c r="N1282" s="2" t="s">
        <v>1385</v>
      </c>
      <c r="O1282" s="2" t="s">
        <v>1386</v>
      </c>
      <c r="AB1282" s="2" t="s">
        <v>2430</v>
      </c>
      <c r="AO1282" s="2" t="s">
        <v>1368</v>
      </c>
    </row>
    <row r="1283" ht="15.75" customHeight="1">
      <c r="A1283" s="2" t="s">
        <v>10620</v>
      </c>
      <c r="B1283" s="2" t="s">
        <v>1361</v>
      </c>
      <c r="C1283" s="2">
        <v>2003.0</v>
      </c>
      <c r="D1283" s="2" t="s">
        <v>10621</v>
      </c>
      <c r="E1283" s="2" t="s">
        <v>10622</v>
      </c>
      <c r="F1283" s="2" t="s">
        <v>5178</v>
      </c>
      <c r="H1283" s="2" t="s">
        <v>5179</v>
      </c>
      <c r="I1283" s="2" t="s">
        <v>10623</v>
      </c>
      <c r="J1283" s="12" t="str">
        <f>VLOOKUP(I1283,'Copy of Enriched Data - IPBES G'!$L$2:$L$229,1,false)</f>
        <v>#N/A</v>
      </c>
      <c r="L1283" s="2" t="s">
        <v>10624</v>
      </c>
      <c r="M1283" s="2">
        <v>2003.0</v>
      </c>
      <c r="N1283" s="2" t="s">
        <v>1385</v>
      </c>
      <c r="O1283" s="2" t="s">
        <v>1386</v>
      </c>
      <c r="AO1283" s="2" t="s">
        <v>1368</v>
      </c>
    </row>
    <row r="1284" ht="15.75" customHeight="1">
      <c r="A1284" s="2" t="s">
        <v>10625</v>
      </c>
      <c r="B1284" s="2" t="s">
        <v>1361</v>
      </c>
      <c r="C1284" s="2">
        <v>2005.0</v>
      </c>
      <c r="D1284" s="2" t="s">
        <v>10626</v>
      </c>
      <c r="E1284" s="2" t="s">
        <v>10627</v>
      </c>
      <c r="F1284" s="2" t="s">
        <v>1863</v>
      </c>
      <c r="H1284" s="2" t="s">
        <v>2434</v>
      </c>
      <c r="I1284" s="2" t="s">
        <v>10628</v>
      </c>
      <c r="J1284" s="12" t="str">
        <f>VLOOKUP(I1284,'Copy of Enriched Data - IPBES G'!$L$2:$L$229,1,false)</f>
        <v>#N/A</v>
      </c>
      <c r="L1284" s="2" t="s">
        <v>10629</v>
      </c>
      <c r="M1284" s="2">
        <v>2005.0</v>
      </c>
      <c r="N1284" s="2" t="s">
        <v>1385</v>
      </c>
      <c r="O1284" s="2" t="s">
        <v>1386</v>
      </c>
      <c r="Q1284" s="2" t="s">
        <v>10630</v>
      </c>
      <c r="S1284" s="2" t="s">
        <v>1453</v>
      </c>
      <c r="T1284" s="2">
        <v>33.0</v>
      </c>
      <c r="AO1284" s="2" t="s">
        <v>1368</v>
      </c>
    </row>
    <row r="1285" ht="15.75" customHeight="1">
      <c r="A1285" s="2" t="s">
        <v>10631</v>
      </c>
      <c r="B1285" s="2" t="s">
        <v>1361</v>
      </c>
      <c r="C1285" s="2">
        <v>1993.0</v>
      </c>
      <c r="D1285" s="2" t="s">
        <v>10632</v>
      </c>
      <c r="E1285" s="2" t="s">
        <v>10633</v>
      </c>
      <c r="F1285" s="2" t="s">
        <v>3944</v>
      </c>
      <c r="I1285" s="2" t="s">
        <v>10634</v>
      </c>
      <c r="J1285" s="12" t="str">
        <f>VLOOKUP(I1285,'Copy of Enriched Data - IPBES G'!$L$2:$L$229,1,false)</f>
        <v>#N/A</v>
      </c>
      <c r="M1285" s="2" t="s">
        <v>2735</v>
      </c>
      <c r="N1285" s="2" t="s">
        <v>10635</v>
      </c>
      <c r="O1285" s="2" t="s">
        <v>10636</v>
      </c>
      <c r="Q1285" s="2" t="s">
        <v>10637</v>
      </c>
      <c r="AO1285" s="2" t="s">
        <v>1368</v>
      </c>
    </row>
    <row r="1286" ht="15.75" customHeight="1">
      <c r="A1286" s="2" t="s">
        <v>10638</v>
      </c>
      <c r="B1286" s="2" t="s">
        <v>1361</v>
      </c>
      <c r="C1286" s="2">
        <v>2017.0</v>
      </c>
      <c r="D1286" s="2" t="s">
        <v>10639</v>
      </c>
      <c r="E1286" s="2" t="s">
        <v>10640</v>
      </c>
      <c r="I1286" s="2" t="s">
        <v>10641</v>
      </c>
      <c r="J1286" s="12" t="str">
        <f>VLOOKUP(I1286,'Copy of Enriched Data - IPBES G'!$L$2:$L$229,1,false)</f>
        <v>#N/A</v>
      </c>
      <c r="M1286" s="2" t="s">
        <v>1658</v>
      </c>
      <c r="N1286" s="2" t="s">
        <v>10642</v>
      </c>
      <c r="O1286" s="2" t="s">
        <v>10643</v>
      </c>
      <c r="AO1286" s="2" t="s">
        <v>1368</v>
      </c>
    </row>
    <row r="1287" ht="15.75" customHeight="1">
      <c r="A1287" s="2" t="s">
        <v>10644</v>
      </c>
      <c r="B1287" s="2" t="s">
        <v>1361</v>
      </c>
      <c r="C1287" s="2">
        <v>2015.0</v>
      </c>
      <c r="D1287" s="2" t="s">
        <v>10645</v>
      </c>
      <c r="E1287" s="2" t="s">
        <v>10646</v>
      </c>
      <c r="F1287" s="2" t="s">
        <v>10647</v>
      </c>
      <c r="I1287" s="2" t="s">
        <v>10648</v>
      </c>
      <c r="J1287" s="12" t="str">
        <f>VLOOKUP(I1287,'Copy of Enriched Data - IPBES G'!$L$2:$L$229,1,false)</f>
        <v>#N/A</v>
      </c>
      <c r="M1287" s="2" t="s">
        <v>1373</v>
      </c>
      <c r="N1287" s="2" t="s">
        <v>10649</v>
      </c>
      <c r="O1287" s="2" t="s">
        <v>10650</v>
      </c>
      <c r="Q1287" s="2" t="s">
        <v>10651</v>
      </c>
      <c r="S1287" s="2" t="s">
        <v>1453</v>
      </c>
      <c r="T1287" s="2">
        <v>59.0</v>
      </c>
      <c r="AO1287" s="2" t="s">
        <v>1368</v>
      </c>
    </row>
    <row r="1288" ht="15.75" customHeight="1">
      <c r="A1288" s="2" t="s">
        <v>10652</v>
      </c>
      <c r="B1288" s="2" t="s">
        <v>1361</v>
      </c>
      <c r="C1288" s="2">
        <v>1973.0</v>
      </c>
      <c r="D1288" s="2" t="s">
        <v>10653</v>
      </c>
      <c r="E1288" s="2" t="s">
        <v>10654</v>
      </c>
      <c r="F1288" s="2" t="s">
        <v>4007</v>
      </c>
      <c r="I1288" s="2" t="s">
        <v>10655</v>
      </c>
      <c r="J1288" s="12" t="str">
        <f>VLOOKUP(I1288,'Copy of Enriched Data - IPBES G'!$L$2:$L$229,1,false)</f>
        <v>#N/A</v>
      </c>
      <c r="M1288" s="2" t="s">
        <v>3607</v>
      </c>
      <c r="N1288" s="2" t="s">
        <v>10656</v>
      </c>
      <c r="O1288" s="2" t="s">
        <v>10657</v>
      </c>
      <c r="Q1288" s="2" t="s">
        <v>10658</v>
      </c>
      <c r="S1288" s="2" t="s">
        <v>2271</v>
      </c>
      <c r="T1288" s="2">
        <v>30.0</v>
      </c>
      <c r="AO1288" s="2" t="s">
        <v>1368</v>
      </c>
    </row>
    <row r="1289" ht="15.75" customHeight="1">
      <c r="A1289" s="2" t="s">
        <v>10663</v>
      </c>
      <c r="B1289" s="2" t="s">
        <v>1361</v>
      </c>
      <c r="C1289" s="2">
        <v>1994.0</v>
      </c>
      <c r="D1289" s="2" t="s">
        <v>10664</v>
      </c>
      <c r="E1289" s="2" t="s">
        <v>10665</v>
      </c>
      <c r="F1289" s="2" t="s">
        <v>7834</v>
      </c>
      <c r="J1289" s="12" t="str">
        <f>VLOOKUP(I1289,'Copy of Enriched Data - IPBES G'!$L$2:$L$229,1,false)</f>
        <v>#N/A</v>
      </c>
      <c r="M1289" s="2" t="s">
        <v>2327</v>
      </c>
      <c r="N1289" s="2" t="s">
        <v>10666</v>
      </c>
      <c r="O1289" s="2" t="s">
        <v>10667</v>
      </c>
      <c r="Q1289" s="2" t="s">
        <v>10668</v>
      </c>
      <c r="AO1289" s="2" t="s">
        <v>1368</v>
      </c>
    </row>
    <row r="1290" ht="15.75" customHeight="1">
      <c r="A1290" s="2" t="s">
        <v>10669</v>
      </c>
      <c r="B1290" s="2" t="s">
        <v>1361</v>
      </c>
      <c r="C1290" s="2">
        <v>2014.0</v>
      </c>
      <c r="D1290" s="2" t="s">
        <v>10670</v>
      </c>
      <c r="E1290" s="2" t="s">
        <v>10671</v>
      </c>
      <c r="F1290" s="2" t="s">
        <v>3386</v>
      </c>
      <c r="I1290" s="2" t="s">
        <v>10672</v>
      </c>
      <c r="J1290" s="12" t="str">
        <f>VLOOKUP(I1290,'Copy of Enriched Data - IPBES G'!$L$2:$L$229,1,false)</f>
        <v>#N/A</v>
      </c>
      <c r="M1290" s="2" t="s">
        <v>1476</v>
      </c>
      <c r="N1290" s="2" t="s">
        <v>10673</v>
      </c>
      <c r="O1290" s="2" t="s">
        <v>10674</v>
      </c>
      <c r="Q1290" s="2" t="s">
        <v>10675</v>
      </c>
      <c r="S1290" s="2" t="s">
        <v>1600</v>
      </c>
      <c r="T1290" s="2">
        <v>31.0</v>
      </c>
      <c r="AO1290" s="2" t="s">
        <v>1368</v>
      </c>
    </row>
    <row r="1291" ht="15.75" customHeight="1">
      <c r="A1291" s="2" t="s">
        <v>10676</v>
      </c>
      <c r="B1291" s="2" t="s">
        <v>1361</v>
      </c>
      <c r="C1291" s="2">
        <v>2002.0</v>
      </c>
      <c r="D1291" s="2" t="s">
        <v>10677</v>
      </c>
      <c r="E1291" s="2" t="s">
        <v>10678</v>
      </c>
      <c r="F1291" s="2" t="s">
        <v>10679</v>
      </c>
      <c r="I1291" s="2" t="s">
        <v>10680</v>
      </c>
      <c r="J1291" s="12" t="str">
        <f>VLOOKUP(I1291,'Copy of Enriched Data - IPBES G'!$L$2:$L$229,1,false)</f>
        <v>#N/A</v>
      </c>
      <c r="M1291" s="2" t="s">
        <v>1493</v>
      </c>
      <c r="N1291" s="2" t="s">
        <v>10681</v>
      </c>
      <c r="O1291" s="2" t="s">
        <v>10682</v>
      </c>
      <c r="Q1291" s="2" t="s">
        <v>10683</v>
      </c>
      <c r="S1291" s="2" t="s">
        <v>1506</v>
      </c>
      <c r="T1291" s="2">
        <v>15.0</v>
      </c>
      <c r="AO1291" s="2" t="s">
        <v>1368</v>
      </c>
    </row>
    <row r="1292" ht="15.75" customHeight="1">
      <c r="A1292" s="2" t="s">
        <v>10684</v>
      </c>
      <c r="B1292" s="2" t="s">
        <v>1361</v>
      </c>
      <c r="C1292" s="2">
        <v>2010.0</v>
      </c>
      <c r="D1292" s="2" t="s">
        <v>10685</v>
      </c>
      <c r="E1292" s="2" t="s">
        <v>10686</v>
      </c>
      <c r="F1292" s="2" t="s">
        <v>10687</v>
      </c>
      <c r="J1292" s="12" t="str">
        <f>VLOOKUP(I1292,'Copy of Enriched Data - IPBES G'!$L$2:$L$229,1,false)</f>
        <v>#N/A</v>
      </c>
      <c r="M1292" s="2" t="s">
        <v>1449</v>
      </c>
      <c r="N1292" s="2" t="s">
        <v>10688</v>
      </c>
      <c r="O1292" s="2" t="s">
        <v>10689</v>
      </c>
      <c r="Q1292" s="2" t="s">
        <v>10690</v>
      </c>
      <c r="S1292" s="2" t="s">
        <v>1506</v>
      </c>
      <c r="T1292" s="2">
        <v>24.0</v>
      </c>
      <c r="AO1292" s="2" t="s">
        <v>1368</v>
      </c>
    </row>
    <row r="1293" ht="15.75" customHeight="1">
      <c r="A1293" s="2" t="s">
        <v>10691</v>
      </c>
      <c r="B1293" s="2" t="s">
        <v>1361</v>
      </c>
      <c r="C1293" s="2">
        <v>2011.0</v>
      </c>
      <c r="D1293" s="2" t="s">
        <v>10692</v>
      </c>
      <c r="E1293" s="2" t="s">
        <v>10693</v>
      </c>
      <c r="F1293" s="2" t="s">
        <v>10694</v>
      </c>
      <c r="I1293" s="2" t="s">
        <v>10695</v>
      </c>
      <c r="J1293" s="12" t="str">
        <f>VLOOKUP(I1293,'Copy of Enriched Data - IPBES G'!$L$2:$L$229,1,false)</f>
        <v>#N/A</v>
      </c>
      <c r="M1293" s="2" t="s">
        <v>1627</v>
      </c>
      <c r="N1293" s="2" t="s">
        <v>10696</v>
      </c>
      <c r="O1293" s="2" t="s">
        <v>10697</v>
      </c>
      <c r="Q1293" s="2" t="s">
        <v>10698</v>
      </c>
      <c r="S1293" s="2" t="s">
        <v>5192</v>
      </c>
      <c r="T1293" s="2">
        <v>101.0</v>
      </c>
      <c r="AO1293" s="2" t="s">
        <v>1368</v>
      </c>
    </row>
    <row r="1294" ht="15.75" customHeight="1">
      <c r="A1294" s="2" t="s">
        <v>10706</v>
      </c>
      <c r="B1294" s="2" t="s">
        <v>1361</v>
      </c>
      <c r="C1294" s="2">
        <v>2011.0</v>
      </c>
      <c r="D1294" s="2" t="s">
        <v>10670</v>
      </c>
      <c r="E1294" s="2" t="s">
        <v>10707</v>
      </c>
      <c r="F1294" s="2" t="s">
        <v>10708</v>
      </c>
      <c r="I1294" s="2" t="s">
        <v>10709</v>
      </c>
      <c r="J1294" s="12" t="str">
        <f>VLOOKUP(I1294,'Copy of Enriched Data - IPBES G'!$L$2:$L$229,1,false)</f>
        <v>#N/A</v>
      </c>
      <c r="M1294" s="2" t="s">
        <v>1627</v>
      </c>
      <c r="N1294" s="2" t="s">
        <v>10710</v>
      </c>
      <c r="O1294" s="2" t="s">
        <v>10711</v>
      </c>
      <c r="Q1294" s="2" t="s">
        <v>10712</v>
      </c>
      <c r="AO1294" s="2" t="s">
        <v>1368</v>
      </c>
    </row>
    <row r="1295" ht="15.75" customHeight="1">
      <c r="A1295" s="2" t="s">
        <v>10713</v>
      </c>
      <c r="B1295" s="2" t="s">
        <v>1361</v>
      </c>
      <c r="C1295" s="2">
        <v>2007.0</v>
      </c>
      <c r="D1295" s="2" t="s">
        <v>10714</v>
      </c>
      <c r="E1295" s="2" t="s">
        <v>10715</v>
      </c>
      <c r="F1295" s="2" t="s">
        <v>10716</v>
      </c>
      <c r="I1295" s="2" t="s">
        <v>10717</v>
      </c>
      <c r="J1295" s="12" t="str">
        <f>VLOOKUP(I1295,'Copy of Enriched Data - IPBES G'!$L$2:$L$229,1,false)</f>
        <v>#N/A</v>
      </c>
      <c r="M1295" s="2" t="s">
        <v>2380</v>
      </c>
      <c r="N1295" s="2" t="s">
        <v>10718</v>
      </c>
      <c r="O1295" s="2" t="s">
        <v>10719</v>
      </c>
      <c r="Q1295" s="2" t="s">
        <v>10720</v>
      </c>
      <c r="AO1295" s="2" t="s">
        <v>1368</v>
      </c>
    </row>
    <row r="1296" ht="15.75" customHeight="1">
      <c r="A1296" s="2" t="s">
        <v>10721</v>
      </c>
      <c r="B1296" s="2" t="s">
        <v>1361</v>
      </c>
      <c r="C1296" s="2">
        <v>2008.0</v>
      </c>
      <c r="D1296" s="2" t="s">
        <v>10722</v>
      </c>
      <c r="E1296" s="2" t="s">
        <v>10723</v>
      </c>
      <c r="F1296" s="2" t="s">
        <v>1688</v>
      </c>
      <c r="H1296" s="2" t="s">
        <v>2892</v>
      </c>
      <c r="I1296" s="2" t="s">
        <v>10724</v>
      </c>
      <c r="J1296" s="12" t="str">
        <f>VLOOKUP(I1296,'Copy of Enriched Data - IPBES G'!$L$2:$L$229,1,false)</f>
        <v>#N/A</v>
      </c>
      <c r="K1296" s="2" t="s">
        <v>10725</v>
      </c>
      <c r="L1296" s="2" t="s">
        <v>10726</v>
      </c>
      <c r="M1296" s="2" t="s">
        <v>10727</v>
      </c>
      <c r="N1296" s="2" t="s">
        <v>10728</v>
      </c>
      <c r="O1296" s="2" t="s">
        <v>10729</v>
      </c>
      <c r="P1296" s="2" t="s">
        <v>10730</v>
      </c>
      <c r="Q1296" s="2" t="s">
        <v>10731</v>
      </c>
      <c r="S1296" s="2" t="s">
        <v>2714</v>
      </c>
      <c r="T1296" s="2">
        <v>105.0</v>
      </c>
      <c r="V1296" s="2" t="s">
        <v>2901</v>
      </c>
      <c r="AD1296" s="2" t="s">
        <v>1540</v>
      </c>
      <c r="AI1296" s="2" t="s">
        <v>1541</v>
      </c>
      <c r="AO1296" s="2" t="s">
        <v>1872</v>
      </c>
    </row>
    <row r="1297" ht="15.75" customHeight="1">
      <c r="A1297" s="2" t="s">
        <v>10732</v>
      </c>
      <c r="B1297" s="2" t="s">
        <v>1361</v>
      </c>
      <c r="C1297" s="2">
        <v>2003.0</v>
      </c>
      <c r="D1297" s="2" t="s">
        <v>10733</v>
      </c>
      <c r="E1297" s="2" t="s">
        <v>10734</v>
      </c>
      <c r="F1297" s="2" t="s">
        <v>1688</v>
      </c>
      <c r="H1297" s="2" t="s">
        <v>2892</v>
      </c>
      <c r="I1297" s="2" t="s">
        <v>10735</v>
      </c>
      <c r="J1297" s="12" t="str">
        <f>VLOOKUP(I1297,'Copy of Enriched Data - IPBES G'!$L$2:$L$229,1,false)</f>
        <v>#N/A</v>
      </c>
      <c r="K1297" s="2" t="s">
        <v>10736</v>
      </c>
      <c r="L1297" s="2" t="s">
        <v>10737</v>
      </c>
      <c r="M1297" s="2" t="s">
        <v>10738</v>
      </c>
      <c r="N1297" s="2" t="s">
        <v>10739</v>
      </c>
      <c r="O1297" s="2" t="s">
        <v>10740</v>
      </c>
      <c r="P1297" s="2" t="s">
        <v>4804</v>
      </c>
      <c r="Q1297" s="2" t="s">
        <v>10741</v>
      </c>
      <c r="S1297" s="2" t="s">
        <v>6310</v>
      </c>
      <c r="T1297" s="2">
        <v>100.0</v>
      </c>
      <c r="V1297" s="2" t="s">
        <v>2901</v>
      </c>
      <c r="AD1297" s="2" t="s">
        <v>1540</v>
      </c>
      <c r="AI1297" s="2" t="s">
        <v>1541</v>
      </c>
      <c r="AO1297" s="2" t="s">
        <v>1872</v>
      </c>
    </row>
    <row r="1298" ht="15.75" customHeight="1">
      <c r="A1298" s="2" t="s">
        <v>10742</v>
      </c>
      <c r="B1298" s="2" t="s">
        <v>1361</v>
      </c>
      <c r="C1298" s="2">
        <v>2016.0</v>
      </c>
      <c r="D1298" s="2" t="s">
        <v>10743</v>
      </c>
      <c r="E1298" s="2" t="s">
        <v>10744</v>
      </c>
      <c r="F1298" s="2" t="s">
        <v>1789</v>
      </c>
      <c r="H1298" s="2" t="s">
        <v>1790</v>
      </c>
      <c r="I1298" s="2" t="s">
        <v>10745</v>
      </c>
      <c r="J1298" s="12" t="str">
        <f>VLOOKUP(I1298,'Copy of Enriched Data - IPBES G'!$L$2:$L$229,1,false)</f>
        <v>#N/A</v>
      </c>
      <c r="L1298" s="2" t="s">
        <v>10746</v>
      </c>
      <c r="M1298" s="2" t="s">
        <v>1502</v>
      </c>
      <c r="N1298" s="2" t="s">
        <v>10747</v>
      </c>
      <c r="O1298" s="2" t="s">
        <v>10748</v>
      </c>
      <c r="Q1298" s="2" t="s">
        <v>10749</v>
      </c>
      <c r="T1298" s="2">
        <v>38.0</v>
      </c>
      <c r="AO1298" s="2" t="s">
        <v>2188</v>
      </c>
    </row>
    <row r="1299" ht="15.75" customHeight="1">
      <c r="A1299" s="2" t="s">
        <v>10757</v>
      </c>
      <c r="B1299" s="2" t="s">
        <v>1361</v>
      </c>
      <c r="C1299" s="2">
        <v>2009.0</v>
      </c>
      <c r="D1299" s="2" t="s">
        <v>10722</v>
      </c>
      <c r="E1299" s="2" t="s">
        <v>10758</v>
      </c>
      <c r="F1299" s="2" t="s">
        <v>1688</v>
      </c>
      <c r="H1299" s="2" t="s">
        <v>2892</v>
      </c>
      <c r="I1299" s="2" t="s">
        <v>10759</v>
      </c>
      <c r="J1299" s="12" t="str">
        <f>VLOOKUP(I1299,'Copy of Enriched Data - IPBES G'!$L$2:$L$229,1,false)</f>
        <v>#N/A</v>
      </c>
      <c r="K1299" s="2" t="s">
        <v>10760</v>
      </c>
      <c r="L1299" s="2" t="s">
        <v>10761</v>
      </c>
      <c r="M1299" s="2" t="s">
        <v>10762</v>
      </c>
      <c r="N1299" s="2" t="s">
        <v>10763</v>
      </c>
      <c r="O1299" s="2" t="s">
        <v>10764</v>
      </c>
      <c r="P1299" s="2" t="s">
        <v>10765</v>
      </c>
      <c r="Q1299" s="2" t="s">
        <v>10766</v>
      </c>
      <c r="S1299" s="2" t="s">
        <v>6094</v>
      </c>
      <c r="T1299" s="2">
        <v>106.0</v>
      </c>
      <c r="V1299" s="2" t="s">
        <v>2901</v>
      </c>
      <c r="AD1299" s="2" t="s">
        <v>1540</v>
      </c>
      <c r="AI1299" s="2" t="s">
        <v>1541</v>
      </c>
      <c r="AO1299" s="2" t="s">
        <v>8021</v>
      </c>
    </row>
    <row r="1300" ht="15.75" customHeight="1">
      <c r="A1300" s="2" t="s">
        <v>10767</v>
      </c>
      <c r="B1300" s="2" t="s">
        <v>1361</v>
      </c>
      <c r="C1300" s="2">
        <v>2016.0</v>
      </c>
      <c r="D1300" s="2" t="s">
        <v>10768</v>
      </c>
      <c r="E1300" s="2" t="s">
        <v>10769</v>
      </c>
      <c r="F1300" s="2" t="s">
        <v>1688</v>
      </c>
      <c r="H1300" s="2" t="s">
        <v>2892</v>
      </c>
      <c r="I1300" s="2" t="s">
        <v>10770</v>
      </c>
      <c r="J1300" s="12" t="str">
        <f>VLOOKUP(I1300,'Copy of Enriched Data - IPBES G'!$L$2:$L$229,1,false)</f>
        <v>#N/A</v>
      </c>
      <c r="K1300" s="2" t="s">
        <v>10771</v>
      </c>
      <c r="L1300" s="2" t="s">
        <v>10772</v>
      </c>
      <c r="M1300" s="2" t="s">
        <v>10773</v>
      </c>
      <c r="N1300" s="2" t="s">
        <v>10774</v>
      </c>
      <c r="O1300" s="2" t="s">
        <v>10775</v>
      </c>
      <c r="P1300" s="2" t="s">
        <v>10776</v>
      </c>
      <c r="Q1300" s="2" t="s">
        <v>10777</v>
      </c>
      <c r="S1300" s="2" t="s">
        <v>1937</v>
      </c>
      <c r="T1300" s="2">
        <v>113.0</v>
      </c>
      <c r="V1300" s="2" t="s">
        <v>10778</v>
      </c>
      <c r="W1300" s="2" t="s">
        <v>10779</v>
      </c>
      <c r="AD1300" s="2" t="s">
        <v>1540</v>
      </c>
      <c r="AI1300" s="2" t="s">
        <v>10780</v>
      </c>
      <c r="AK1300" s="2" t="s">
        <v>10781</v>
      </c>
      <c r="AO1300" s="2" t="s">
        <v>10782</v>
      </c>
    </row>
    <row r="1301" ht="15.75" customHeight="1">
      <c r="A1301" s="2" t="s">
        <v>10783</v>
      </c>
      <c r="B1301" s="2" t="s">
        <v>1361</v>
      </c>
      <c r="C1301" s="2">
        <v>2014.0</v>
      </c>
      <c r="D1301" s="2" t="s">
        <v>10784</v>
      </c>
      <c r="E1301" s="2" t="s">
        <v>10785</v>
      </c>
      <c r="F1301" s="2" t="s">
        <v>10536</v>
      </c>
      <c r="H1301" s="2" t="s">
        <v>10537</v>
      </c>
      <c r="I1301" s="2" t="s">
        <v>10786</v>
      </c>
      <c r="J1301" s="12" t="str">
        <f>VLOOKUP(I1301,'Copy of Enriched Data - IPBES G'!$L$2:$L$229,1,false)</f>
        <v>#N/A</v>
      </c>
      <c r="K1301" s="2" t="s">
        <v>10787</v>
      </c>
      <c r="M1301" s="2" t="s">
        <v>10788</v>
      </c>
      <c r="N1301" s="2" t="s">
        <v>10789</v>
      </c>
      <c r="O1301" s="2" t="s">
        <v>10790</v>
      </c>
      <c r="P1301" s="2" t="s">
        <v>5895</v>
      </c>
      <c r="Q1301" s="2" t="s">
        <v>10791</v>
      </c>
      <c r="S1301" s="2" t="s">
        <v>2565</v>
      </c>
      <c r="T1301" s="2">
        <v>24.0</v>
      </c>
      <c r="V1301" s="2" t="s">
        <v>10536</v>
      </c>
      <c r="AD1301" s="2" t="s">
        <v>1540</v>
      </c>
      <c r="AI1301" s="2" t="s">
        <v>1541</v>
      </c>
      <c r="AO1301" s="2" t="s">
        <v>1872</v>
      </c>
    </row>
    <row r="1302" ht="15.75" customHeight="1">
      <c r="A1302" s="2" t="s">
        <v>10792</v>
      </c>
      <c r="B1302" s="2" t="s">
        <v>1361</v>
      </c>
      <c r="C1302" s="2">
        <v>2005.0</v>
      </c>
      <c r="D1302" s="2" t="s">
        <v>10793</v>
      </c>
      <c r="E1302" s="2" t="s">
        <v>10794</v>
      </c>
      <c r="F1302" s="2" t="s">
        <v>1363</v>
      </c>
      <c r="H1302" s="2" t="s">
        <v>3465</v>
      </c>
      <c r="I1302" s="2" t="s">
        <v>10795</v>
      </c>
      <c r="J1302" s="12" t="str">
        <f>VLOOKUP(I1302,'Copy of Enriched Data - IPBES G'!$L$2:$L$229,1,false)</f>
        <v>#N/A</v>
      </c>
      <c r="K1302" s="2" t="s">
        <v>10796</v>
      </c>
      <c r="L1302" s="2" t="s">
        <v>10797</v>
      </c>
      <c r="M1302" s="2" t="s">
        <v>10798</v>
      </c>
      <c r="N1302" s="2" t="s">
        <v>10799</v>
      </c>
      <c r="O1302" s="2" t="s">
        <v>10800</v>
      </c>
      <c r="P1302" s="2" t="s">
        <v>10801</v>
      </c>
      <c r="Q1302" s="2" t="s">
        <v>10802</v>
      </c>
      <c r="S1302" s="2" t="s">
        <v>10803</v>
      </c>
      <c r="T1302" s="2">
        <v>360.0</v>
      </c>
      <c r="V1302" s="2" t="s">
        <v>3476</v>
      </c>
      <c r="AD1302" s="2" t="s">
        <v>1540</v>
      </c>
      <c r="AI1302" s="2" t="s">
        <v>1541</v>
      </c>
      <c r="AO1302" s="2" t="s">
        <v>1872</v>
      </c>
    </row>
    <row r="1303" ht="15.75" customHeight="1">
      <c r="A1303" s="2" t="s">
        <v>10804</v>
      </c>
      <c r="B1303" s="2" t="s">
        <v>1396</v>
      </c>
      <c r="C1303" s="2">
        <v>2014.0</v>
      </c>
      <c r="D1303" s="2" t="s">
        <v>10805</v>
      </c>
      <c r="E1303" s="2" t="s">
        <v>10806</v>
      </c>
      <c r="J1303" s="12" t="str">
        <f>VLOOKUP(I1303,'Copy of Enriched Data - IPBES G'!$L$2:$L$229,1,false)</f>
        <v>#N/A</v>
      </c>
      <c r="K1303" s="2" t="s">
        <v>10807</v>
      </c>
      <c r="M1303" s="2" t="s">
        <v>1476</v>
      </c>
      <c r="N1303" s="2" t="s">
        <v>1562</v>
      </c>
      <c r="O1303" s="2" t="s">
        <v>1563</v>
      </c>
      <c r="R1303" s="2">
        <v>175.0</v>
      </c>
      <c r="AB1303" s="2" t="s">
        <v>10808</v>
      </c>
      <c r="AC1303" s="2" t="s">
        <v>10809</v>
      </c>
      <c r="AO1303" s="2" t="s">
        <v>10810</v>
      </c>
    </row>
    <row r="1304" ht="15.75" customHeight="1">
      <c r="A1304" s="2" t="s">
        <v>10811</v>
      </c>
      <c r="B1304" s="2" t="s">
        <v>1361</v>
      </c>
      <c r="C1304" s="2">
        <v>2017.0</v>
      </c>
      <c r="D1304" s="2" t="s">
        <v>10812</v>
      </c>
      <c r="E1304" s="2" t="s">
        <v>10813</v>
      </c>
      <c r="F1304" s="2" t="s">
        <v>3295</v>
      </c>
      <c r="H1304" s="2" t="s">
        <v>3296</v>
      </c>
      <c r="I1304" s="2" t="s">
        <v>10814</v>
      </c>
      <c r="J1304" s="12" t="str">
        <f>VLOOKUP(I1304,'Copy of Enriched Data - IPBES G'!$L$2:$L$229,1,false)</f>
        <v>#N/A</v>
      </c>
      <c r="K1304" s="2" t="s">
        <v>10815</v>
      </c>
      <c r="M1304" s="2" t="s">
        <v>10816</v>
      </c>
      <c r="N1304" s="2" t="s">
        <v>1385</v>
      </c>
      <c r="O1304" s="2" t="s">
        <v>1386</v>
      </c>
      <c r="Q1304" s="2" t="s">
        <v>10817</v>
      </c>
      <c r="S1304" s="2" t="s">
        <v>1462</v>
      </c>
      <c r="T1304" s="2">
        <v>10.0</v>
      </c>
      <c r="AO1304" s="2" t="s">
        <v>1621</v>
      </c>
    </row>
    <row r="1305" ht="15.75" customHeight="1">
      <c r="A1305" s="2" t="s">
        <v>10818</v>
      </c>
      <c r="B1305" s="2" t="s">
        <v>1623</v>
      </c>
      <c r="C1305" s="2">
        <v>2012.0</v>
      </c>
      <c r="D1305" s="2" t="s">
        <v>10805</v>
      </c>
      <c r="E1305" s="2" t="s">
        <v>10819</v>
      </c>
      <c r="J1305" s="12" t="str">
        <f>VLOOKUP(I1305,'Copy of Enriched Data - IPBES G'!$L$2:$L$229,1,false)</f>
        <v>#N/A</v>
      </c>
      <c r="K1305" s="2" t="s">
        <v>10820</v>
      </c>
      <c r="M1305" s="2" t="s">
        <v>1405</v>
      </c>
      <c r="N1305" s="2" t="s">
        <v>1385</v>
      </c>
      <c r="O1305" s="2" t="s">
        <v>1386</v>
      </c>
      <c r="Q1305" s="2" t="s">
        <v>10821</v>
      </c>
      <c r="AB1305" s="2" t="s">
        <v>10808</v>
      </c>
      <c r="AC1305" s="2" t="s">
        <v>10809</v>
      </c>
      <c r="AO1305" s="2" t="s">
        <v>1621</v>
      </c>
    </row>
    <row r="1306" ht="15.75" customHeight="1">
      <c r="A1306" s="2" t="s">
        <v>10822</v>
      </c>
      <c r="B1306" s="2" t="s">
        <v>1361</v>
      </c>
      <c r="C1306" s="2">
        <v>2000.0</v>
      </c>
      <c r="D1306" s="2" t="s">
        <v>10823</v>
      </c>
      <c r="E1306" s="2" t="s">
        <v>10824</v>
      </c>
      <c r="F1306" s="2" t="s">
        <v>1863</v>
      </c>
      <c r="H1306" s="2" t="s">
        <v>2434</v>
      </c>
      <c r="I1306" s="2" t="s">
        <v>10825</v>
      </c>
      <c r="J1306" s="12" t="str">
        <f>VLOOKUP(I1306,'Copy of Enriched Data - IPBES G'!$L$2:$L$229,1,false)</f>
        <v>#N/A</v>
      </c>
      <c r="K1306" s="2" t="s">
        <v>10826</v>
      </c>
      <c r="L1306" s="2" t="s">
        <v>10827</v>
      </c>
      <c r="M1306" s="2" t="s">
        <v>10828</v>
      </c>
      <c r="N1306" s="2" t="s">
        <v>1385</v>
      </c>
      <c r="O1306" s="2" t="s">
        <v>1386</v>
      </c>
      <c r="Q1306" s="2" t="s">
        <v>10829</v>
      </c>
      <c r="S1306" s="2" t="s">
        <v>1537</v>
      </c>
      <c r="T1306" s="2">
        <v>28.0</v>
      </c>
      <c r="V1306" s="2" t="s">
        <v>1863</v>
      </c>
      <c r="AO1306" s="2" t="s">
        <v>1368</v>
      </c>
    </row>
    <row r="1307" ht="15.75" customHeight="1">
      <c r="A1307" s="2" t="s">
        <v>10830</v>
      </c>
      <c r="B1307" s="2" t="s">
        <v>1396</v>
      </c>
      <c r="C1307" s="2">
        <v>2003.0</v>
      </c>
      <c r="D1307" s="2" t="s">
        <v>10831</v>
      </c>
      <c r="E1307" s="2" t="s">
        <v>10832</v>
      </c>
      <c r="G1307" s="2" t="s">
        <v>10833</v>
      </c>
      <c r="J1307" s="12" t="str">
        <f>VLOOKUP(I1307,'Copy of Enriched Data - IPBES G'!$L$2:$L$229,1,false)</f>
        <v>#N/A</v>
      </c>
      <c r="L1307" s="2" t="s">
        <v>10834</v>
      </c>
      <c r="M1307" s="2" t="s">
        <v>1606</v>
      </c>
      <c r="N1307" s="2" t="s">
        <v>1385</v>
      </c>
      <c r="O1307" s="2" t="s">
        <v>1386</v>
      </c>
      <c r="AB1307" s="2" t="s">
        <v>10835</v>
      </c>
      <c r="AO1307" s="2" t="s">
        <v>1368</v>
      </c>
    </row>
    <row r="1308" ht="15.75" customHeight="1">
      <c r="A1308" s="2" t="s">
        <v>10836</v>
      </c>
      <c r="B1308" s="2" t="s">
        <v>1396</v>
      </c>
      <c r="C1308" s="2">
        <v>1960.0</v>
      </c>
      <c r="D1308" s="2" t="s">
        <v>10837</v>
      </c>
      <c r="E1308" s="2" t="s">
        <v>10838</v>
      </c>
      <c r="J1308" s="12" t="str">
        <f>VLOOKUP(I1308,'Copy of Enriched Data - IPBES G'!$L$2:$L$229,1,false)</f>
        <v>#N/A</v>
      </c>
      <c r="L1308" s="2" t="s">
        <v>10839</v>
      </c>
      <c r="M1308" s="2" t="s">
        <v>3365</v>
      </c>
      <c r="N1308" s="2" t="s">
        <v>1385</v>
      </c>
      <c r="O1308" s="2" t="s">
        <v>1386</v>
      </c>
      <c r="AB1308" s="2" t="s">
        <v>3290</v>
      </c>
      <c r="AC1308" s="2" t="s">
        <v>10840</v>
      </c>
      <c r="AO1308" s="2" t="s">
        <v>1368</v>
      </c>
    </row>
    <row r="1309" ht="15.75" customHeight="1">
      <c r="A1309" s="2" t="s">
        <v>10841</v>
      </c>
      <c r="B1309" s="2" t="s">
        <v>1396</v>
      </c>
      <c r="C1309" s="2">
        <v>2018.0</v>
      </c>
      <c r="D1309" s="2" t="s">
        <v>10805</v>
      </c>
      <c r="E1309" s="2" t="s">
        <v>10842</v>
      </c>
      <c r="J1309" s="12" t="str">
        <f>VLOOKUP(I1309,'Copy of Enriched Data - IPBES G'!$L$2:$L$229,1,false)</f>
        <v>#N/A</v>
      </c>
      <c r="K1309" s="2" t="s">
        <v>10843</v>
      </c>
      <c r="M1309" s="2" t="s">
        <v>1420</v>
      </c>
      <c r="N1309" s="2" t="s">
        <v>1385</v>
      </c>
      <c r="O1309" s="2" t="s">
        <v>1386</v>
      </c>
      <c r="AO1309" s="2" t="s">
        <v>1368</v>
      </c>
    </row>
    <row r="1310" ht="15.75" customHeight="1">
      <c r="A1310" s="2" t="s">
        <v>10844</v>
      </c>
      <c r="B1310" s="2" t="s">
        <v>1623</v>
      </c>
      <c r="C1310" s="2">
        <v>1984.0</v>
      </c>
      <c r="D1310" s="2" t="s">
        <v>10845</v>
      </c>
      <c r="E1310" s="2" t="s">
        <v>10846</v>
      </c>
      <c r="J1310" s="12" t="str">
        <f>VLOOKUP(I1310,'Copy of Enriched Data - IPBES G'!$L$2:$L$229,1,false)</f>
        <v>#N/A</v>
      </c>
      <c r="K1310" s="2" t="s">
        <v>10847</v>
      </c>
      <c r="M1310" s="2" t="s">
        <v>10848</v>
      </c>
      <c r="N1310" s="2" t="s">
        <v>1385</v>
      </c>
      <c r="O1310" s="2" t="s">
        <v>1386</v>
      </c>
      <c r="AO1310" s="2" t="s">
        <v>1368</v>
      </c>
    </row>
    <row r="1311" ht="15.75" customHeight="1">
      <c r="A1311" s="2" t="s">
        <v>10849</v>
      </c>
      <c r="B1311" s="2" t="s">
        <v>1361</v>
      </c>
      <c r="C1311" s="2">
        <v>2000.0</v>
      </c>
      <c r="D1311" s="2" t="s">
        <v>10850</v>
      </c>
      <c r="E1311" s="2" t="s">
        <v>10851</v>
      </c>
      <c r="F1311" s="2" t="s">
        <v>4418</v>
      </c>
      <c r="H1311" s="2" t="s">
        <v>4419</v>
      </c>
      <c r="I1311" s="2" t="s">
        <v>10852</v>
      </c>
      <c r="J1311" s="12" t="str">
        <f>VLOOKUP(I1311,'Copy of Enriched Data - IPBES G'!$L$2:$L$229,1,false)</f>
        <v>#N/A</v>
      </c>
      <c r="K1311" s="2" t="s">
        <v>10853</v>
      </c>
      <c r="L1311" s="2" t="s">
        <v>10854</v>
      </c>
      <c r="M1311" s="2" t="s">
        <v>10855</v>
      </c>
      <c r="N1311" s="2" t="s">
        <v>1385</v>
      </c>
      <c r="O1311" s="2" t="s">
        <v>1386</v>
      </c>
      <c r="Q1311" s="2" t="s">
        <v>10856</v>
      </c>
      <c r="S1311" s="2" t="s">
        <v>1506</v>
      </c>
      <c r="T1311" s="2">
        <v>30.0</v>
      </c>
      <c r="AO1311" s="2" t="s">
        <v>1368</v>
      </c>
    </row>
    <row r="1312" ht="15.75" customHeight="1">
      <c r="A1312" s="2" t="s">
        <v>10857</v>
      </c>
      <c r="B1312" s="2" t="s">
        <v>1396</v>
      </c>
      <c r="C1312" s="2">
        <v>2018.0</v>
      </c>
      <c r="D1312" s="2" t="s">
        <v>10858</v>
      </c>
      <c r="E1312" s="2" t="s">
        <v>10859</v>
      </c>
      <c r="J1312" s="12" t="str">
        <f>VLOOKUP(I1312,'Copy of Enriched Data - IPBES G'!$L$2:$L$229,1,false)</f>
        <v>#N/A</v>
      </c>
      <c r="M1312" s="2" t="s">
        <v>1420</v>
      </c>
      <c r="N1312" s="2" t="s">
        <v>1385</v>
      </c>
      <c r="O1312" s="2" t="s">
        <v>1386</v>
      </c>
      <c r="AB1312" s="2" t="s">
        <v>10860</v>
      </c>
      <c r="AO1312" s="2" t="s">
        <v>1368</v>
      </c>
    </row>
    <row r="1313" ht="15.75" customHeight="1">
      <c r="A1313" s="2" t="s">
        <v>10861</v>
      </c>
      <c r="B1313" s="2" t="s">
        <v>1396</v>
      </c>
      <c r="C1313" s="2">
        <v>2018.0</v>
      </c>
      <c r="D1313" s="2" t="s">
        <v>10805</v>
      </c>
      <c r="E1313" s="2" t="s">
        <v>10862</v>
      </c>
      <c r="J1313" s="12" t="str">
        <f>VLOOKUP(I1313,'Copy of Enriched Data - IPBES G'!$L$2:$L$229,1,false)</f>
        <v>#N/A</v>
      </c>
      <c r="M1313" s="2" t="s">
        <v>1420</v>
      </c>
      <c r="N1313" s="2" t="s">
        <v>1385</v>
      </c>
      <c r="O1313" s="2" t="s">
        <v>1386</v>
      </c>
      <c r="AO1313" s="2" t="s">
        <v>1368</v>
      </c>
    </row>
    <row r="1314" ht="15.75" customHeight="1">
      <c r="A1314" s="2" t="s">
        <v>10863</v>
      </c>
      <c r="B1314" s="2" t="s">
        <v>1361</v>
      </c>
      <c r="C1314" s="2">
        <v>2003.0</v>
      </c>
      <c r="D1314" s="2" t="s">
        <v>10864</v>
      </c>
      <c r="E1314" s="2" t="s">
        <v>10865</v>
      </c>
      <c r="J1314" s="12" t="str">
        <f>VLOOKUP(I1314,'Copy of Enriched Data - IPBES G'!$L$2:$L$229,1,false)</f>
        <v>#N/A</v>
      </c>
      <c r="L1314" s="2" t="s">
        <v>10866</v>
      </c>
      <c r="M1314" s="2" t="s">
        <v>1606</v>
      </c>
      <c r="N1314" s="2" t="s">
        <v>1385</v>
      </c>
      <c r="O1314" s="2" t="s">
        <v>1386</v>
      </c>
      <c r="Q1314" s="2" t="s">
        <v>10867</v>
      </c>
      <c r="AO1314" s="2" t="s">
        <v>1368</v>
      </c>
    </row>
    <row r="1315" ht="15.75" customHeight="1">
      <c r="A1315" s="2" t="s">
        <v>10868</v>
      </c>
      <c r="B1315" s="2" t="s">
        <v>1361</v>
      </c>
      <c r="C1315" s="2">
        <v>1988.0</v>
      </c>
      <c r="D1315" s="2" t="s">
        <v>10869</v>
      </c>
      <c r="E1315" s="2" t="s">
        <v>10870</v>
      </c>
      <c r="F1315" s="2" t="s">
        <v>1633</v>
      </c>
      <c r="H1315" s="2" t="s">
        <v>1634</v>
      </c>
      <c r="I1315" s="2" t="s">
        <v>10871</v>
      </c>
      <c r="J1315" s="12" t="str">
        <f>VLOOKUP(I1315,'Copy of Enriched Data - IPBES G'!$L$2:$L$229,1,false)</f>
        <v>#N/A</v>
      </c>
      <c r="L1315" s="2" t="s">
        <v>10872</v>
      </c>
      <c r="M1315" s="2" t="s">
        <v>4055</v>
      </c>
      <c r="N1315" s="2" t="s">
        <v>1385</v>
      </c>
      <c r="O1315" s="2" t="s">
        <v>1386</v>
      </c>
      <c r="Q1315" s="2" t="s">
        <v>10873</v>
      </c>
      <c r="S1315" s="2" t="s">
        <v>1600</v>
      </c>
      <c r="T1315" s="2">
        <v>64.0</v>
      </c>
      <c r="AO1315" s="2" t="s">
        <v>1368</v>
      </c>
    </row>
    <row r="1316" ht="15.75" customHeight="1">
      <c r="A1316" s="2" t="s">
        <v>10874</v>
      </c>
      <c r="B1316" s="2" t="s">
        <v>1361</v>
      </c>
      <c r="C1316" s="2">
        <v>2017.0</v>
      </c>
      <c r="D1316" s="2" t="s">
        <v>10875</v>
      </c>
      <c r="E1316" s="2" t="s">
        <v>10876</v>
      </c>
      <c r="F1316" s="2" t="s">
        <v>2541</v>
      </c>
      <c r="H1316" s="2" t="s">
        <v>10877</v>
      </c>
      <c r="I1316" s="2" t="s">
        <v>10878</v>
      </c>
      <c r="J1316" s="12" t="str">
        <f>VLOOKUP(I1316,'Copy of Enriched Data - IPBES G'!$L$2:$L$229,1,false)</f>
        <v>#N/A</v>
      </c>
      <c r="M1316" s="2" t="s">
        <v>1709</v>
      </c>
      <c r="N1316" s="2" t="s">
        <v>1385</v>
      </c>
      <c r="O1316" s="2" t="s">
        <v>1386</v>
      </c>
      <c r="Q1316" s="2" t="s">
        <v>10879</v>
      </c>
      <c r="S1316" s="2" t="s">
        <v>1937</v>
      </c>
      <c r="T1316" s="2">
        <v>25.0</v>
      </c>
      <c r="AO1316" s="2" t="s">
        <v>1368</v>
      </c>
    </row>
    <row r="1317" ht="15.75" customHeight="1">
      <c r="A1317" s="2" t="s">
        <v>10880</v>
      </c>
      <c r="B1317" s="2" t="s">
        <v>1361</v>
      </c>
      <c r="C1317" s="2">
        <v>1998.0</v>
      </c>
      <c r="D1317" s="2" t="s">
        <v>10881</v>
      </c>
      <c r="E1317" s="2" t="s">
        <v>10882</v>
      </c>
      <c r="F1317" s="2" t="s">
        <v>4995</v>
      </c>
      <c r="H1317" s="2" t="s">
        <v>4996</v>
      </c>
      <c r="I1317" s="2" t="s">
        <v>10883</v>
      </c>
      <c r="J1317" s="12" t="str">
        <f>VLOOKUP(I1317,'Copy of Enriched Data - IPBES G'!$L$2:$L$229,1,false)</f>
        <v>#N/A</v>
      </c>
      <c r="M1317" s="2" t="s">
        <v>1958</v>
      </c>
      <c r="N1317" s="2" t="s">
        <v>1385</v>
      </c>
      <c r="O1317" s="2" t="s">
        <v>1386</v>
      </c>
      <c r="Q1317" s="2" t="s">
        <v>10884</v>
      </c>
      <c r="S1317" s="2" t="s">
        <v>1600</v>
      </c>
      <c r="T1317" s="2">
        <v>29.0</v>
      </c>
      <c r="AO1317" s="2" t="s">
        <v>1368</v>
      </c>
    </row>
    <row r="1318" ht="15.75" customHeight="1">
      <c r="A1318" s="2" t="s">
        <v>10885</v>
      </c>
      <c r="B1318" s="2" t="s">
        <v>1361</v>
      </c>
      <c r="C1318" s="2">
        <v>2009.0</v>
      </c>
      <c r="D1318" s="2" t="s">
        <v>10886</v>
      </c>
      <c r="E1318" s="2" t="s">
        <v>10887</v>
      </c>
      <c r="F1318" s="2" t="s">
        <v>3247</v>
      </c>
      <c r="H1318" s="2" t="s">
        <v>1689</v>
      </c>
      <c r="I1318" s="2" t="s">
        <v>10888</v>
      </c>
      <c r="J1318" s="12" t="str">
        <f>VLOOKUP(I1318,'Copy of Enriched Data - IPBES G'!$L$2:$L$229,1,false)</f>
        <v>#N/A</v>
      </c>
      <c r="L1318" s="2" t="s">
        <v>10889</v>
      </c>
      <c r="M1318" s="2" t="s">
        <v>1364</v>
      </c>
      <c r="N1318" s="2" t="s">
        <v>1385</v>
      </c>
      <c r="O1318" s="2" t="s">
        <v>1386</v>
      </c>
      <c r="AO1318" s="2" t="s">
        <v>1368</v>
      </c>
    </row>
    <row r="1319" ht="15.75" customHeight="1">
      <c r="A1319" s="2" t="s">
        <v>10890</v>
      </c>
      <c r="B1319" s="2" t="s">
        <v>1361</v>
      </c>
      <c r="C1319" s="2">
        <v>2010.0</v>
      </c>
      <c r="D1319" s="2" t="s">
        <v>10891</v>
      </c>
      <c r="E1319" s="2" t="s">
        <v>10892</v>
      </c>
      <c r="F1319" s="2" t="s">
        <v>10893</v>
      </c>
      <c r="H1319" s="2" t="s">
        <v>10894</v>
      </c>
      <c r="I1319" s="2" t="s">
        <v>10895</v>
      </c>
      <c r="J1319" s="12" t="str">
        <f>VLOOKUP(I1319,'Copy of Enriched Data - IPBES G'!$L$2:$L$229,1,false)</f>
        <v>#N/A</v>
      </c>
      <c r="L1319" s="2" t="s">
        <v>10896</v>
      </c>
      <c r="M1319" s="2" t="s">
        <v>1449</v>
      </c>
      <c r="N1319" s="2" t="s">
        <v>1385</v>
      </c>
      <c r="O1319" s="2" t="s">
        <v>1386</v>
      </c>
      <c r="AO1319" s="2" t="s">
        <v>1368</v>
      </c>
    </row>
    <row r="1320" ht="15.75" customHeight="1">
      <c r="A1320" s="2" t="s">
        <v>10901</v>
      </c>
      <c r="B1320" s="2" t="s">
        <v>1361</v>
      </c>
      <c r="C1320" s="2">
        <v>2010.0</v>
      </c>
      <c r="D1320" s="2" t="s">
        <v>10902</v>
      </c>
      <c r="E1320" s="2" t="s">
        <v>10903</v>
      </c>
      <c r="F1320" s="2" t="s">
        <v>10904</v>
      </c>
      <c r="H1320" s="2" t="s">
        <v>10905</v>
      </c>
      <c r="I1320" s="2" t="s">
        <v>10906</v>
      </c>
      <c r="J1320" s="12" t="str">
        <f>VLOOKUP(I1320,'Copy of Enriched Data - IPBES G'!$L$2:$L$229,1,false)</f>
        <v>#N/A</v>
      </c>
      <c r="L1320" s="2" t="s">
        <v>10907</v>
      </c>
      <c r="M1320" s="2" t="s">
        <v>1449</v>
      </c>
      <c r="N1320" s="2" t="s">
        <v>1385</v>
      </c>
      <c r="O1320" s="2" t="s">
        <v>1386</v>
      </c>
      <c r="AO1320" s="2" t="s">
        <v>1368</v>
      </c>
    </row>
    <row r="1321" ht="15.75" customHeight="1">
      <c r="A1321" s="2" t="s">
        <v>10908</v>
      </c>
      <c r="B1321" s="2" t="s">
        <v>1361</v>
      </c>
      <c r="C1321" s="2">
        <v>2010.0</v>
      </c>
      <c r="D1321" s="2" t="s">
        <v>10909</v>
      </c>
      <c r="E1321" s="2" t="s">
        <v>10910</v>
      </c>
      <c r="F1321" s="2" t="s">
        <v>6278</v>
      </c>
      <c r="H1321" s="2" t="s">
        <v>5147</v>
      </c>
      <c r="I1321" s="2" t="s">
        <v>10911</v>
      </c>
      <c r="J1321" s="12" t="str">
        <f>VLOOKUP(I1321,'Copy of Enriched Data - IPBES G'!$L$2:$L$229,1,false)</f>
        <v>#N/A</v>
      </c>
      <c r="L1321" s="2" t="s">
        <v>10912</v>
      </c>
      <c r="M1321" s="2" t="s">
        <v>1449</v>
      </c>
      <c r="N1321" s="2" t="s">
        <v>1385</v>
      </c>
      <c r="O1321" s="2" t="s">
        <v>1386</v>
      </c>
      <c r="Q1321" s="2" t="s">
        <v>10913</v>
      </c>
      <c r="S1321" s="2" t="s">
        <v>2237</v>
      </c>
      <c r="T1321" s="2">
        <v>53.0</v>
      </c>
      <c r="AO1321" s="2" t="s">
        <v>1368</v>
      </c>
    </row>
    <row r="1322" ht="15.75" customHeight="1">
      <c r="A1322" s="2" t="s">
        <v>10924</v>
      </c>
      <c r="B1322" s="2" t="s">
        <v>1361</v>
      </c>
      <c r="C1322" s="2">
        <v>2010.0</v>
      </c>
      <c r="D1322" s="2" t="s">
        <v>10925</v>
      </c>
      <c r="E1322" s="2" t="s">
        <v>10926</v>
      </c>
      <c r="F1322" s="2" t="s">
        <v>1760</v>
      </c>
      <c r="H1322" s="2" t="s">
        <v>1761</v>
      </c>
      <c r="I1322" s="2" t="s">
        <v>10927</v>
      </c>
      <c r="J1322" s="12" t="str">
        <f>VLOOKUP(I1322,'Copy of Enriched Data - IPBES G'!$L$2:$L$229,1,false)</f>
        <v>#N/A</v>
      </c>
      <c r="L1322" s="2" t="s">
        <v>10928</v>
      </c>
      <c r="M1322" s="2" t="s">
        <v>1449</v>
      </c>
      <c r="N1322" s="2" t="s">
        <v>1385</v>
      </c>
      <c r="O1322" s="2" t="s">
        <v>1386</v>
      </c>
      <c r="Q1322" s="2" t="s">
        <v>10929</v>
      </c>
      <c r="S1322" s="2" t="s">
        <v>1600</v>
      </c>
      <c r="T1322" s="2">
        <v>69.0</v>
      </c>
      <c r="AO1322" s="2" t="s">
        <v>1368</v>
      </c>
    </row>
    <row r="1323" ht="15.75" customHeight="1">
      <c r="A1323" s="2" t="s">
        <v>10930</v>
      </c>
      <c r="B1323" s="2" t="s">
        <v>1396</v>
      </c>
      <c r="C1323" s="2">
        <v>2004.0</v>
      </c>
      <c r="D1323" s="2" t="s">
        <v>10931</v>
      </c>
      <c r="E1323" s="2" t="s">
        <v>10932</v>
      </c>
      <c r="J1323" s="12" t="str">
        <f>VLOOKUP(I1323,'Copy of Enriched Data - IPBES G'!$L$2:$L$229,1,false)</f>
        <v>#N/A</v>
      </c>
      <c r="M1323" s="2" t="s">
        <v>2373</v>
      </c>
      <c r="N1323" s="2" t="s">
        <v>1385</v>
      </c>
      <c r="O1323" s="2" t="s">
        <v>1386</v>
      </c>
      <c r="AB1323" s="2" t="s">
        <v>3004</v>
      </c>
      <c r="AO1323" s="2" t="s">
        <v>1368</v>
      </c>
    </row>
    <row r="1324" ht="15.75" customHeight="1">
      <c r="A1324" s="2" t="s">
        <v>10933</v>
      </c>
      <c r="B1324" s="2" t="s">
        <v>1361</v>
      </c>
      <c r="C1324" s="2">
        <v>2009.0</v>
      </c>
      <c r="D1324" s="2" t="s">
        <v>10934</v>
      </c>
      <c r="E1324" s="2" t="s">
        <v>10935</v>
      </c>
      <c r="F1324" s="2" t="s">
        <v>3274</v>
      </c>
      <c r="H1324" s="2" t="s">
        <v>10936</v>
      </c>
      <c r="I1324" s="2" t="s">
        <v>10937</v>
      </c>
      <c r="J1324" s="12" t="str">
        <f>VLOOKUP(I1324,'Copy of Enriched Data - IPBES G'!$L$2:$L$229,1,false)</f>
        <v>#N/A</v>
      </c>
      <c r="L1324" s="2" t="s">
        <v>10938</v>
      </c>
      <c r="M1324" s="2" t="s">
        <v>1364</v>
      </c>
      <c r="N1324" s="2" t="s">
        <v>1385</v>
      </c>
      <c r="O1324" s="2" t="s">
        <v>1386</v>
      </c>
      <c r="Q1324" s="2" t="s">
        <v>10939</v>
      </c>
      <c r="S1324" s="2" t="s">
        <v>1462</v>
      </c>
      <c r="T1324" s="2">
        <v>4.0</v>
      </c>
      <c r="AO1324" s="2" t="s">
        <v>1368</v>
      </c>
    </row>
    <row r="1325" ht="15.75" customHeight="1">
      <c r="A1325" s="2" t="s">
        <v>10940</v>
      </c>
      <c r="B1325" s="2" t="s">
        <v>1361</v>
      </c>
      <c r="C1325" s="2">
        <v>2005.0</v>
      </c>
      <c r="D1325" s="2" t="s">
        <v>10941</v>
      </c>
      <c r="E1325" s="2" t="s">
        <v>10942</v>
      </c>
      <c r="F1325" s="2" t="s">
        <v>2590</v>
      </c>
      <c r="H1325" s="2" t="s">
        <v>2591</v>
      </c>
      <c r="I1325" s="2" t="s">
        <v>10943</v>
      </c>
      <c r="J1325" s="12" t="str">
        <f>VLOOKUP(I1325,'Copy of Enriched Data - IPBES G'!$L$2:$L$229,1,false)</f>
        <v>#N/A</v>
      </c>
      <c r="L1325" s="2" t="s">
        <v>10944</v>
      </c>
      <c r="M1325" s="2" t="s">
        <v>1394</v>
      </c>
      <c r="N1325" s="2" t="s">
        <v>1385</v>
      </c>
      <c r="O1325" s="2" t="s">
        <v>1386</v>
      </c>
      <c r="AO1325" s="2" t="s">
        <v>1368</v>
      </c>
    </row>
    <row r="1326" ht="15.75" customHeight="1">
      <c r="A1326" s="2" t="s">
        <v>10945</v>
      </c>
      <c r="B1326" s="2" t="s">
        <v>1361</v>
      </c>
      <c r="C1326" s="2">
        <v>2013.0</v>
      </c>
      <c r="D1326" s="2" t="s">
        <v>10946</v>
      </c>
      <c r="E1326" s="2" t="s">
        <v>10947</v>
      </c>
      <c r="F1326" s="2" t="s">
        <v>1425</v>
      </c>
      <c r="H1326" s="2" t="s">
        <v>1426</v>
      </c>
      <c r="I1326" s="2" t="s">
        <v>10948</v>
      </c>
      <c r="J1326" s="12" t="str">
        <f>VLOOKUP(I1326,'Copy of Enriched Data - IPBES G'!$L$2:$L$229,1,false)</f>
        <v>#N/A</v>
      </c>
      <c r="L1326" s="2" t="s">
        <v>10949</v>
      </c>
      <c r="M1326" s="2" t="s">
        <v>1429</v>
      </c>
      <c r="N1326" s="2" t="s">
        <v>1385</v>
      </c>
      <c r="O1326" s="2" t="s">
        <v>1386</v>
      </c>
      <c r="Q1326" s="2" t="s">
        <v>10950</v>
      </c>
      <c r="S1326" s="2" t="s">
        <v>1600</v>
      </c>
      <c r="T1326" s="2">
        <v>65.0</v>
      </c>
      <c r="AO1326" s="2" t="s">
        <v>1368</v>
      </c>
    </row>
    <row r="1327" ht="15.75" customHeight="1">
      <c r="A1327" s="2" t="s">
        <v>10951</v>
      </c>
      <c r="B1327" s="2" t="s">
        <v>1361</v>
      </c>
      <c r="C1327" s="2">
        <v>2007.0</v>
      </c>
      <c r="D1327" s="2" t="s">
        <v>10952</v>
      </c>
      <c r="E1327" s="2" t="s">
        <v>10953</v>
      </c>
      <c r="F1327" s="2" t="s">
        <v>10954</v>
      </c>
      <c r="H1327" s="2" t="s">
        <v>10955</v>
      </c>
      <c r="I1327" s="2" t="s">
        <v>10956</v>
      </c>
      <c r="J1327" s="12" t="str">
        <f>VLOOKUP(I1327,'Copy of Enriched Data - IPBES G'!$L$2:$L$229,1,false)</f>
        <v>#N/A</v>
      </c>
      <c r="L1327" s="2" t="s">
        <v>10957</v>
      </c>
      <c r="M1327" s="2" t="s">
        <v>10958</v>
      </c>
      <c r="N1327" s="2" t="s">
        <v>1385</v>
      </c>
      <c r="O1327" s="2" t="s">
        <v>1386</v>
      </c>
      <c r="Q1327" s="2" t="s">
        <v>3368</v>
      </c>
      <c r="S1327" s="2" t="s">
        <v>1462</v>
      </c>
      <c r="T1327" s="2">
        <v>7.0</v>
      </c>
      <c r="AO1327" s="2" t="s">
        <v>1368</v>
      </c>
    </row>
    <row r="1328" ht="15.75" customHeight="1">
      <c r="A1328" s="2" t="s">
        <v>10959</v>
      </c>
      <c r="B1328" s="2" t="s">
        <v>1361</v>
      </c>
      <c r="C1328" s="2">
        <v>2013.0</v>
      </c>
      <c r="D1328" s="2" t="s">
        <v>10960</v>
      </c>
      <c r="E1328" s="2" t="s">
        <v>10961</v>
      </c>
      <c r="F1328" s="2" t="s">
        <v>5909</v>
      </c>
      <c r="I1328" s="2" t="s">
        <v>10962</v>
      </c>
      <c r="J1328" s="12" t="str">
        <f>VLOOKUP(I1328,'Copy of Enriched Data - IPBES G'!$L$2:$L$229,1,false)</f>
        <v>#N/A</v>
      </c>
      <c r="M1328" s="2" t="s">
        <v>1429</v>
      </c>
      <c r="N1328" s="2" t="s">
        <v>1385</v>
      </c>
      <c r="O1328" s="2" t="s">
        <v>1386</v>
      </c>
      <c r="Q1328" s="2" t="s">
        <v>2806</v>
      </c>
      <c r="S1328" s="2" t="s">
        <v>1480</v>
      </c>
      <c r="T1328" s="2">
        <v>26.0</v>
      </c>
      <c r="AO1328" s="2" t="s">
        <v>1368</v>
      </c>
    </row>
    <row r="1329" ht="15.75" customHeight="1">
      <c r="A1329" s="2" t="s">
        <v>10963</v>
      </c>
      <c r="B1329" s="2" t="s">
        <v>1361</v>
      </c>
      <c r="C1329" s="2">
        <v>2007.0</v>
      </c>
      <c r="D1329" s="2" t="s">
        <v>10964</v>
      </c>
      <c r="E1329" s="2" t="s">
        <v>10965</v>
      </c>
      <c r="F1329" s="2" t="s">
        <v>4086</v>
      </c>
      <c r="H1329" s="2" t="s">
        <v>7313</v>
      </c>
      <c r="I1329" s="2" t="s">
        <v>10966</v>
      </c>
      <c r="J1329" s="12" t="str">
        <f>VLOOKUP(I1329,'Copy of Enriched Data - IPBES G'!$L$2:$L$229,1,false)</f>
        <v>#N/A</v>
      </c>
      <c r="M1329" s="2" t="s">
        <v>2380</v>
      </c>
      <c r="N1329" s="2" t="s">
        <v>10967</v>
      </c>
      <c r="O1329" s="2" t="s">
        <v>10968</v>
      </c>
      <c r="Q1329" s="2" t="s">
        <v>10969</v>
      </c>
      <c r="S1329" s="2" t="s">
        <v>1462</v>
      </c>
      <c r="T1329" s="2">
        <v>97.0</v>
      </c>
      <c r="AO1329" s="2" t="s">
        <v>1368</v>
      </c>
    </row>
    <row r="1330" ht="15.75" customHeight="1">
      <c r="A1330" s="2" t="s">
        <v>10988</v>
      </c>
      <c r="B1330" s="2" t="s">
        <v>1361</v>
      </c>
      <c r="C1330" s="2">
        <v>2012.0</v>
      </c>
      <c r="D1330" s="2" t="s">
        <v>10989</v>
      </c>
      <c r="E1330" s="2" t="s">
        <v>10990</v>
      </c>
      <c r="F1330" s="2" t="s">
        <v>1876</v>
      </c>
      <c r="H1330" s="2" t="s">
        <v>1877</v>
      </c>
      <c r="I1330" s="2" t="s">
        <v>10991</v>
      </c>
      <c r="J1330" s="12" t="str">
        <f>VLOOKUP(I1330,'Copy of Enriched Data - IPBES G'!$L$2:$L$229,1,false)</f>
        <v>#N/A</v>
      </c>
      <c r="K1330" s="2" t="s">
        <v>10992</v>
      </c>
      <c r="M1330" s="2" t="s">
        <v>10993</v>
      </c>
      <c r="N1330" s="2" t="s">
        <v>10994</v>
      </c>
      <c r="O1330" s="2" t="s">
        <v>10995</v>
      </c>
      <c r="P1330" s="2" t="s">
        <v>10996</v>
      </c>
      <c r="Q1330" s="2" t="s">
        <v>10997</v>
      </c>
      <c r="S1330" s="2" t="s">
        <v>1600</v>
      </c>
      <c r="T1330" s="2">
        <v>7.0</v>
      </c>
      <c r="V1330" s="2" t="s">
        <v>1876</v>
      </c>
      <c r="AD1330" s="2" t="s">
        <v>1540</v>
      </c>
      <c r="AI1330" s="2" t="s">
        <v>1541</v>
      </c>
      <c r="AO1330" s="2" t="s">
        <v>8021</v>
      </c>
      <c r="AQ1330" s="2" t="s">
        <v>10998</v>
      </c>
    </row>
    <row r="1331" ht="15.75" customHeight="1">
      <c r="A1331" s="2" t="s">
        <v>10999</v>
      </c>
      <c r="B1331" s="2" t="s">
        <v>1623</v>
      </c>
      <c r="C1331" s="2">
        <v>2013.0</v>
      </c>
      <c r="D1331" s="2" t="s">
        <v>11000</v>
      </c>
      <c r="E1331" s="2" t="s">
        <v>11001</v>
      </c>
      <c r="J1331" s="12" t="str">
        <f>VLOOKUP(I1331,'Copy of Enriched Data - IPBES G'!$L$2:$L$229,1,false)</f>
        <v>#N/A</v>
      </c>
      <c r="K1331" s="2" t="s">
        <v>11002</v>
      </c>
      <c r="L1331" s="2" t="s">
        <v>11003</v>
      </c>
      <c r="M1331" s="2" t="s">
        <v>1429</v>
      </c>
      <c r="N1331" s="2" t="s">
        <v>1562</v>
      </c>
      <c r="O1331" s="2" t="s">
        <v>1563</v>
      </c>
      <c r="Q1331" s="2" t="s">
        <v>11004</v>
      </c>
      <c r="AB1331" s="2" t="s">
        <v>11005</v>
      </c>
      <c r="AO1331" s="2" t="s">
        <v>6743</v>
      </c>
    </row>
    <row r="1332" ht="15.75" customHeight="1">
      <c r="A1332" s="2" t="s">
        <v>11006</v>
      </c>
      <c r="B1332" s="2" t="s">
        <v>1781</v>
      </c>
      <c r="C1332" s="2">
        <v>2005.0</v>
      </c>
      <c r="D1332" s="2" t="s">
        <v>11007</v>
      </c>
      <c r="E1332" s="2" t="s">
        <v>11008</v>
      </c>
      <c r="J1332" s="12" t="str">
        <f>VLOOKUP(I1332,'Copy of Enriched Data - IPBES G'!$L$2:$L$229,1,false)</f>
        <v>#N/A</v>
      </c>
      <c r="M1332" s="2" t="s">
        <v>1394</v>
      </c>
      <c r="N1332" s="2" t="s">
        <v>1385</v>
      </c>
      <c r="O1332" s="2" t="s">
        <v>1386</v>
      </c>
      <c r="AO1332" s="2" t="s">
        <v>1368</v>
      </c>
    </row>
    <row r="1333" ht="15.75" customHeight="1">
      <c r="A1333" s="2" t="s">
        <v>11009</v>
      </c>
      <c r="B1333" s="2" t="s">
        <v>1396</v>
      </c>
      <c r="C1333" s="2">
        <v>1989.0</v>
      </c>
      <c r="D1333" s="2" t="s">
        <v>11010</v>
      </c>
      <c r="E1333" s="2" t="s">
        <v>11011</v>
      </c>
      <c r="G1333" s="2" t="s">
        <v>11012</v>
      </c>
      <c r="J1333" s="12" t="str">
        <f>VLOOKUP(I1333,'Copy of Enriched Data - IPBES G'!$L$2:$L$229,1,false)</f>
        <v>#N/A</v>
      </c>
      <c r="M1333" s="2" t="s">
        <v>2701</v>
      </c>
      <c r="N1333" s="2" t="s">
        <v>1385</v>
      </c>
      <c r="O1333" s="2" t="s">
        <v>1386</v>
      </c>
      <c r="R1333" s="2">
        <v>336.0</v>
      </c>
      <c r="X1333" s="2" t="s">
        <v>11013</v>
      </c>
      <c r="AB1333" s="2" t="s">
        <v>11014</v>
      </c>
      <c r="AO1333" s="2" t="s">
        <v>1368</v>
      </c>
    </row>
    <row r="1334" ht="15.75" customHeight="1">
      <c r="A1334" s="2" t="s">
        <v>11015</v>
      </c>
      <c r="B1334" s="2" t="s">
        <v>1361</v>
      </c>
      <c r="C1334" s="2">
        <v>2013.0</v>
      </c>
      <c r="D1334" s="2" t="s">
        <v>11016</v>
      </c>
      <c r="E1334" s="2" t="s">
        <v>11017</v>
      </c>
      <c r="F1334" s="2" t="s">
        <v>3689</v>
      </c>
      <c r="H1334" s="2" t="s">
        <v>3690</v>
      </c>
      <c r="I1334" s="2" t="s">
        <v>11018</v>
      </c>
      <c r="J1334" s="12" t="str">
        <f>VLOOKUP(I1334,'Copy of Enriched Data - IPBES G'!$L$2:$L$229,1,false)</f>
        <v>#N/A</v>
      </c>
      <c r="K1334" s="2" t="s">
        <v>11019</v>
      </c>
      <c r="L1334" s="2" t="s">
        <v>11020</v>
      </c>
      <c r="M1334" s="2" t="s">
        <v>11021</v>
      </c>
      <c r="N1334" s="2" t="s">
        <v>1385</v>
      </c>
      <c r="O1334" s="2" t="s">
        <v>1386</v>
      </c>
      <c r="Q1334" s="2" t="s">
        <v>11022</v>
      </c>
      <c r="S1334" s="2" t="s">
        <v>1462</v>
      </c>
      <c r="T1334" s="2">
        <v>5.0</v>
      </c>
      <c r="AO1334" s="2" t="s">
        <v>1368</v>
      </c>
    </row>
    <row r="1335" ht="15.75" customHeight="1">
      <c r="A1335" s="2" t="s">
        <v>11023</v>
      </c>
      <c r="B1335" s="2" t="s">
        <v>1361</v>
      </c>
      <c r="C1335" s="2">
        <v>2001.0</v>
      </c>
      <c r="D1335" s="2" t="s">
        <v>11024</v>
      </c>
      <c r="E1335" s="2" t="s">
        <v>11025</v>
      </c>
      <c r="F1335" s="2" t="s">
        <v>5146</v>
      </c>
      <c r="H1335" s="2" t="s">
        <v>5147</v>
      </c>
      <c r="I1335" s="2" t="s">
        <v>11026</v>
      </c>
      <c r="J1335" s="12" t="str">
        <f>VLOOKUP(I1335,'Copy of Enriched Data - IPBES G'!$L$2:$L$229,1,false)</f>
        <v>#N/A</v>
      </c>
      <c r="L1335" s="2" t="s">
        <v>11027</v>
      </c>
      <c r="M1335" s="2" t="s">
        <v>1414</v>
      </c>
      <c r="N1335" s="2" t="s">
        <v>1385</v>
      </c>
      <c r="O1335" s="2" t="s">
        <v>1386</v>
      </c>
      <c r="Q1335" s="2" t="s">
        <v>11028</v>
      </c>
      <c r="S1335" s="2" t="s">
        <v>10595</v>
      </c>
      <c r="T1335" s="2">
        <v>44.0</v>
      </c>
      <c r="AO1335" s="2" t="s">
        <v>1368</v>
      </c>
    </row>
    <row r="1336" ht="15.75" customHeight="1">
      <c r="A1336" s="2" t="s">
        <v>11029</v>
      </c>
      <c r="B1336" s="2" t="s">
        <v>1396</v>
      </c>
      <c r="C1336" s="2">
        <v>2006.0</v>
      </c>
      <c r="D1336" s="2" t="s">
        <v>11030</v>
      </c>
      <c r="E1336" s="2" t="s">
        <v>11031</v>
      </c>
      <c r="G1336" s="2" t="s">
        <v>11032</v>
      </c>
      <c r="J1336" s="12" t="str">
        <f>VLOOKUP(I1336,'Copy of Enriched Data - IPBES G'!$L$2:$L$229,1,false)</f>
        <v>#N/A</v>
      </c>
      <c r="L1336" s="2" t="s">
        <v>11033</v>
      </c>
      <c r="M1336" s="2" t="s">
        <v>1727</v>
      </c>
      <c r="N1336" s="2" t="s">
        <v>1385</v>
      </c>
      <c r="O1336" s="2" t="s">
        <v>1386</v>
      </c>
      <c r="R1336" s="2">
        <v>418.0</v>
      </c>
      <c r="AB1336" s="2" t="s">
        <v>1771</v>
      </c>
      <c r="AO1336" s="2" t="s">
        <v>1368</v>
      </c>
    </row>
    <row r="1337" ht="15.75" customHeight="1">
      <c r="A1337" s="2" t="s">
        <v>11034</v>
      </c>
      <c r="B1337" s="2" t="s">
        <v>1361</v>
      </c>
      <c r="C1337" s="2">
        <v>2013.0</v>
      </c>
      <c r="D1337" s="2" t="s">
        <v>11035</v>
      </c>
      <c r="E1337" s="2" t="s">
        <v>11036</v>
      </c>
      <c r="F1337" s="2" t="s">
        <v>1760</v>
      </c>
      <c r="I1337" s="2" t="s">
        <v>11037</v>
      </c>
      <c r="J1337" s="12" t="str">
        <f>VLOOKUP(I1337,'Copy of Enriched Data - IPBES G'!$L$2:$L$229,1,false)</f>
        <v>#N/A</v>
      </c>
      <c r="M1337" s="2" t="s">
        <v>1429</v>
      </c>
      <c r="N1337" s="2" t="s">
        <v>1365</v>
      </c>
      <c r="O1337" s="2" t="s">
        <v>1366</v>
      </c>
      <c r="Q1337" s="2" t="s">
        <v>11038</v>
      </c>
      <c r="T1337" s="2">
        <v>92.0</v>
      </c>
      <c r="AO1337" s="2" t="s">
        <v>1368</v>
      </c>
    </row>
    <row r="1338" ht="15.75" customHeight="1">
      <c r="A1338" s="2" t="s">
        <v>11053</v>
      </c>
      <c r="B1338" s="2" t="s">
        <v>1361</v>
      </c>
      <c r="C1338" s="2">
        <v>2012.0</v>
      </c>
      <c r="D1338" s="2" t="s">
        <v>11054</v>
      </c>
      <c r="E1338" s="2" t="s">
        <v>11055</v>
      </c>
      <c r="F1338" s="2" t="s">
        <v>11056</v>
      </c>
      <c r="H1338" s="2" t="s">
        <v>2434</v>
      </c>
      <c r="I1338" s="2" t="s">
        <v>11057</v>
      </c>
      <c r="J1338" s="12" t="str">
        <f>VLOOKUP(I1338,'Copy of Enriched Data - IPBES G'!$L$2:$L$229,1,false)</f>
        <v>#N/A</v>
      </c>
      <c r="L1338" s="2" t="s">
        <v>11058</v>
      </c>
      <c r="M1338" s="2" t="s">
        <v>9804</v>
      </c>
      <c r="N1338" s="2" t="s">
        <v>1385</v>
      </c>
      <c r="O1338" s="2" t="s">
        <v>1386</v>
      </c>
      <c r="Q1338" s="2" t="s">
        <v>11059</v>
      </c>
      <c r="S1338" s="2">
        <v>6.0</v>
      </c>
      <c r="T1338" s="2">
        <v>40.0</v>
      </c>
      <c r="AO1338" s="2" t="s">
        <v>1368</v>
      </c>
    </row>
    <row r="1339" ht="15.75" customHeight="1">
      <c r="A1339" s="2" t="s">
        <v>11060</v>
      </c>
      <c r="B1339" s="2" t="s">
        <v>1361</v>
      </c>
      <c r="C1339" s="2">
        <v>2010.0</v>
      </c>
      <c r="D1339" s="2" t="s">
        <v>11061</v>
      </c>
      <c r="E1339" s="2" t="s">
        <v>11062</v>
      </c>
      <c r="F1339" s="2" t="s">
        <v>11063</v>
      </c>
      <c r="H1339" s="2" t="s">
        <v>11064</v>
      </c>
      <c r="I1339" s="2" t="s">
        <v>11065</v>
      </c>
      <c r="J1339" s="12" t="str">
        <f>VLOOKUP(I1339,'Copy of Enriched Data - IPBES G'!$L$2:$L$229,1,false)</f>
        <v>#N/A</v>
      </c>
      <c r="K1339" s="2" t="s">
        <v>11066</v>
      </c>
      <c r="L1339" s="2" t="s">
        <v>11067</v>
      </c>
      <c r="M1339" s="2" t="s">
        <v>11068</v>
      </c>
      <c r="N1339" s="2" t="s">
        <v>1385</v>
      </c>
      <c r="O1339" s="2" t="s">
        <v>1386</v>
      </c>
      <c r="Q1339" s="2" t="s">
        <v>11069</v>
      </c>
      <c r="S1339" s="2">
        <v>2.0</v>
      </c>
      <c r="T1339" s="2">
        <v>32.0</v>
      </c>
      <c r="V1339" s="2" t="s">
        <v>11070</v>
      </c>
      <c r="AO1339" s="2" t="s">
        <v>1368</v>
      </c>
    </row>
    <row r="1340" ht="15.75" customHeight="1">
      <c r="A1340" s="2" t="s">
        <v>11071</v>
      </c>
      <c r="B1340" s="2" t="s">
        <v>1361</v>
      </c>
      <c r="C1340" s="2">
        <v>1997.0</v>
      </c>
      <c r="D1340" s="2" t="s">
        <v>11072</v>
      </c>
      <c r="E1340" s="2" t="s">
        <v>11073</v>
      </c>
      <c r="F1340" s="2" t="s">
        <v>4728</v>
      </c>
      <c r="H1340" s="2" t="s">
        <v>7722</v>
      </c>
      <c r="I1340" s="2" t="s">
        <v>11074</v>
      </c>
      <c r="J1340" s="12" t="str">
        <f>VLOOKUP(I1340,'Copy of Enriched Data - IPBES G'!$L$2:$L$229,1,false)</f>
        <v>#N/A</v>
      </c>
      <c r="L1340" s="2" t="s">
        <v>11075</v>
      </c>
      <c r="M1340" s="2" t="s">
        <v>1804</v>
      </c>
      <c r="N1340" s="2" t="s">
        <v>1385</v>
      </c>
      <c r="O1340" s="2" t="s">
        <v>1386</v>
      </c>
      <c r="AO1340" s="2" t="s">
        <v>1368</v>
      </c>
    </row>
    <row r="1341" ht="15.75" customHeight="1">
      <c r="A1341" s="2" t="s">
        <v>11076</v>
      </c>
      <c r="B1341" s="2" t="s">
        <v>1361</v>
      </c>
      <c r="C1341" s="2">
        <v>1985.0</v>
      </c>
      <c r="D1341" s="2" t="s">
        <v>11077</v>
      </c>
      <c r="E1341" s="2" t="s">
        <v>11078</v>
      </c>
      <c r="F1341" s="2" t="s">
        <v>11079</v>
      </c>
      <c r="H1341" s="2" t="s">
        <v>11080</v>
      </c>
      <c r="I1341" s="2" t="s">
        <v>11081</v>
      </c>
      <c r="J1341" s="12" t="str">
        <f>VLOOKUP(I1341,'Copy of Enriched Data - IPBES G'!$L$2:$L$229,1,false)</f>
        <v>#N/A</v>
      </c>
      <c r="L1341" s="2" t="s">
        <v>11082</v>
      </c>
      <c r="M1341" s="2" t="s">
        <v>1820</v>
      </c>
      <c r="N1341" s="2" t="s">
        <v>1385</v>
      </c>
      <c r="O1341" s="2" t="s">
        <v>1386</v>
      </c>
      <c r="AO1341" s="2" t="s">
        <v>1368</v>
      </c>
    </row>
    <row r="1342" ht="15.75" customHeight="1">
      <c r="A1342" s="2" t="s">
        <v>11083</v>
      </c>
      <c r="B1342" s="2" t="s">
        <v>1396</v>
      </c>
      <c r="C1342" s="2">
        <v>2010.0</v>
      </c>
      <c r="D1342" s="2" t="s">
        <v>11084</v>
      </c>
      <c r="E1342" s="2" t="s">
        <v>11085</v>
      </c>
      <c r="J1342" s="12" t="str">
        <f>VLOOKUP(I1342,'Copy of Enriched Data - IPBES G'!$L$2:$L$229,1,false)</f>
        <v>#N/A</v>
      </c>
      <c r="M1342" s="2" t="s">
        <v>1449</v>
      </c>
      <c r="N1342" s="2" t="s">
        <v>1385</v>
      </c>
      <c r="O1342" s="2" t="s">
        <v>1386</v>
      </c>
      <c r="AB1342" s="2" t="s">
        <v>7117</v>
      </c>
      <c r="AO1342" s="2" t="s">
        <v>1368</v>
      </c>
    </row>
    <row r="1343" ht="15.75" customHeight="1">
      <c r="A1343" s="2" t="s">
        <v>11086</v>
      </c>
      <c r="B1343" s="2" t="s">
        <v>1396</v>
      </c>
      <c r="C1343" s="2">
        <v>1980.0</v>
      </c>
      <c r="D1343" s="2" t="s">
        <v>11087</v>
      </c>
      <c r="E1343" s="2" t="s">
        <v>11088</v>
      </c>
      <c r="G1343" s="2" t="s">
        <v>11089</v>
      </c>
      <c r="J1343" s="12" t="str">
        <f>VLOOKUP(I1343,'Copy of Enriched Data - IPBES G'!$L$2:$L$229,1,false)</f>
        <v>#N/A</v>
      </c>
      <c r="K1343" s="2" t="s">
        <v>11090</v>
      </c>
      <c r="M1343" s="2" t="s">
        <v>5815</v>
      </c>
      <c r="N1343" s="2" t="s">
        <v>1385</v>
      </c>
      <c r="O1343" s="2" t="s">
        <v>1386</v>
      </c>
      <c r="AB1343" s="2" t="s">
        <v>11091</v>
      </c>
      <c r="AO1343" s="2" t="s">
        <v>1368</v>
      </c>
    </row>
    <row r="1344" ht="15.75" customHeight="1">
      <c r="A1344" s="2" t="s">
        <v>11092</v>
      </c>
      <c r="B1344" s="2" t="s">
        <v>1361</v>
      </c>
      <c r="C1344" s="2">
        <v>2004.0</v>
      </c>
      <c r="D1344" s="2" t="s">
        <v>11093</v>
      </c>
      <c r="E1344" s="2" t="s">
        <v>11094</v>
      </c>
      <c r="F1344" s="2" t="s">
        <v>1510</v>
      </c>
      <c r="H1344" s="2" t="s">
        <v>1511</v>
      </c>
      <c r="I1344" s="2" t="s">
        <v>11095</v>
      </c>
      <c r="J1344" s="12" t="str">
        <f>VLOOKUP(I1344,'Copy of Enriched Data - IPBES G'!$L$2:$L$229,1,false)</f>
        <v>#N/A</v>
      </c>
      <c r="L1344" s="2" t="s">
        <v>11096</v>
      </c>
      <c r="M1344" s="2" t="s">
        <v>2373</v>
      </c>
      <c r="N1344" s="2" t="s">
        <v>1385</v>
      </c>
      <c r="O1344" s="2" t="s">
        <v>1386</v>
      </c>
      <c r="AO1344" s="2" t="s">
        <v>1368</v>
      </c>
    </row>
    <row r="1345" ht="15.75" customHeight="1">
      <c r="A1345" s="2" t="s">
        <v>11097</v>
      </c>
      <c r="B1345" s="2" t="s">
        <v>1361</v>
      </c>
      <c r="C1345" s="2">
        <v>2004.0</v>
      </c>
      <c r="D1345" s="2" t="s">
        <v>11098</v>
      </c>
      <c r="E1345" s="2" t="s">
        <v>11099</v>
      </c>
      <c r="F1345" s="2" t="s">
        <v>11100</v>
      </c>
      <c r="J1345" s="12" t="str">
        <f>VLOOKUP(I1345,'Copy of Enriched Data - IPBES G'!$L$2:$L$229,1,false)</f>
        <v>#N/A</v>
      </c>
      <c r="M1345" s="2" t="s">
        <v>2373</v>
      </c>
      <c r="N1345" s="2" t="s">
        <v>11101</v>
      </c>
      <c r="O1345" s="2" t="s">
        <v>11102</v>
      </c>
      <c r="Q1345" s="2" t="s">
        <v>11103</v>
      </c>
      <c r="T1345" s="2" t="s">
        <v>6462</v>
      </c>
      <c r="AO1345" s="2" t="s">
        <v>1368</v>
      </c>
    </row>
    <row r="1346" ht="15.75" customHeight="1">
      <c r="A1346" s="2" t="s">
        <v>11104</v>
      </c>
      <c r="B1346" s="2" t="s">
        <v>1361</v>
      </c>
      <c r="C1346" s="2">
        <v>2000.0</v>
      </c>
      <c r="D1346" s="2" t="s">
        <v>11105</v>
      </c>
      <c r="E1346" s="2" t="s">
        <v>11106</v>
      </c>
      <c r="F1346" s="2" t="s">
        <v>5909</v>
      </c>
      <c r="I1346" s="2" t="s">
        <v>11107</v>
      </c>
      <c r="J1346" s="12" t="str">
        <f>VLOOKUP(I1346,'Copy of Enriched Data - IPBES G'!$L$2:$L$229,1,false)</f>
        <v>#N/A</v>
      </c>
      <c r="M1346" s="2" t="s">
        <v>2429</v>
      </c>
      <c r="N1346" s="2" t="s">
        <v>11108</v>
      </c>
      <c r="O1346" s="2" t="s">
        <v>11109</v>
      </c>
      <c r="Q1346" s="2" t="s">
        <v>11110</v>
      </c>
      <c r="S1346" s="2" t="s">
        <v>2646</v>
      </c>
      <c r="T1346" s="2" t="s">
        <v>2042</v>
      </c>
      <c r="AO1346" s="2" t="s">
        <v>1368</v>
      </c>
    </row>
    <row r="1347" ht="15.75" customHeight="1">
      <c r="A1347" s="2" t="s">
        <v>11111</v>
      </c>
      <c r="B1347" s="2" t="s">
        <v>1361</v>
      </c>
      <c r="C1347" s="2">
        <v>2017.0</v>
      </c>
      <c r="D1347" s="2" t="s">
        <v>11112</v>
      </c>
      <c r="E1347" s="2" t="s">
        <v>11113</v>
      </c>
      <c r="F1347" s="2" t="s">
        <v>11114</v>
      </c>
      <c r="I1347" s="2" t="s">
        <v>11115</v>
      </c>
      <c r="J1347" s="12" t="str">
        <f>VLOOKUP(I1347,'Copy of Enriched Data - IPBES G'!$L$2:$L$229,1,false)</f>
        <v>#N/A</v>
      </c>
      <c r="M1347" s="2" t="s">
        <v>1658</v>
      </c>
      <c r="N1347" s="2" t="s">
        <v>11116</v>
      </c>
      <c r="O1347" s="2" t="s">
        <v>11117</v>
      </c>
      <c r="AO1347" s="2" t="s">
        <v>1368</v>
      </c>
    </row>
    <row r="1348" ht="15.75" customHeight="1">
      <c r="A1348" s="2" t="s">
        <v>11118</v>
      </c>
      <c r="B1348" s="2" t="s">
        <v>1361</v>
      </c>
      <c r="C1348" s="2">
        <v>2017.0</v>
      </c>
      <c r="D1348" s="2" t="s">
        <v>11119</v>
      </c>
      <c r="E1348" s="2" t="s">
        <v>11120</v>
      </c>
      <c r="F1348" s="2" t="s">
        <v>1380</v>
      </c>
      <c r="I1348" s="2" t="s">
        <v>11121</v>
      </c>
      <c r="J1348" s="12" t="str">
        <f>VLOOKUP(I1348,'Copy of Enriched Data - IPBES G'!$L$2:$L$229,1,false)</f>
        <v>#N/A</v>
      </c>
      <c r="M1348" s="2" t="s">
        <v>1658</v>
      </c>
      <c r="N1348" s="2" t="s">
        <v>1943</v>
      </c>
      <c r="O1348" s="2" t="s">
        <v>1944</v>
      </c>
      <c r="Q1348" s="2" t="s">
        <v>11122</v>
      </c>
      <c r="S1348" s="2" t="s">
        <v>11123</v>
      </c>
      <c r="T1348" s="2" t="s">
        <v>11124</v>
      </c>
      <c r="AO1348" s="2" t="s">
        <v>1368</v>
      </c>
    </row>
    <row r="1349" ht="15.75" customHeight="1">
      <c r="A1349" s="2" t="s">
        <v>11125</v>
      </c>
      <c r="B1349" s="2" t="s">
        <v>1361</v>
      </c>
      <c r="C1349" s="2">
        <v>2008.0</v>
      </c>
      <c r="D1349" s="2" t="s">
        <v>11126</v>
      </c>
      <c r="E1349" s="2" t="s">
        <v>11127</v>
      </c>
      <c r="F1349" s="2" t="s">
        <v>1587</v>
      </c>
      <c r="I1349" s="2" t="s">
        <v>11128</v>
      </c>
      <c r="J1349" s="12" t="str">
        <f>VLOOKUP(I1349,'Copy of Enriched Data - IPBES G'!$L$2:$L$229,1,false)</f>
        <v>#N/A</v>
      </c>
      <c r="M1349" s="2" t="s">
        <v>1458</v>
      </c>
      <c r="N1349" s="2" t="s">
        <v>11129</v>
      </c>
      <c r="O1349" s="2" t="s">
        <v>11130</v>
      </c>
      <c r="Q1349" s="2" t="s">
        <v>11131</v>
      </c>
      <c r="S1349" s="2" t="s">
        <v>1506</v>
      </c>
      <c r="T1349" s="2" t="s">
        <v>2739</v>
      </c>
      <c r="AD1349" s="2" t="s">
        <v>3263</v>
      </c>
      <c r="AO1349" s="2" t="s">
        <v>1368</v>
      </c>
    </row>
    <row r="1350" ht="15.75" customHeight="1">
      <c r="A1350" s="2" t="s">
        <v>11132</v>
      </c>
      <c r="B1350" s="2" t="s">
        <v>1361</v>
      </c>
      <c r="C1350" s="2">
        <v>2013.0</v>
      </c>
      <c r="D1350" s="2" t="s">
        <v>11133</v>
      </c>
      <c r="E1350" s="2" t="s">
        <v>11134</v>
      </c>
      <c r="F1350" s="2" t="s">
        <v>11135</v>
      </c>
      <c r="I1350" s="2" t="s">
        <v>11136</v>
      </c>
      <c r="J1350" s="12" t="str">
        <f>VLOOKUP(I1350,'Copy of Enriched Data - IPBES G'!$L$2:$L$229,1,false)</f>
        <v>#N/A</v>
      </c>
      <c r="M1350" s="2" t="s">
        <v>1429</v>
      </c>
      <c r="N1350" s="2" t="s">
        <v>11137</v>
      </c>
      <c r="O1350" s="2" t="s">
        <v>11138</v>
      </c>
      <c r="Q1350" s="2" t="s">
        <v>11139</v>
      </c>
      <c r="S1350" s="2" t="s">
        <v>11140</v>
      </c>
      <c r="T1350" s="2" t="s">
        <v>10821</v>
      </c>
      <c r="AO1350" s="2" t="s">
        <v>1368</v>
      </c>
    </row>
    <row r="1351" ht="15.75" customHeight="1">
      <c r="A1351" s="2" t="s">
        <v>11141</v>
      </c>
      <c r="B1351" s="2" t="s">
        <v>1361</v>
      </c>
      <c r="C1351" s="2">
        <v>1997.0</v>
      </c>
      <c r="D1351" s="2" t="s">
        <v>11142</v>
      </c>
      <c r="E1351" s="2" t="s">
        <v>11143</v>
      </c>
      <c r="F1351" s="2" t="s">
        <v>11144</v>
      </c>
      <c r="H1351" s="2" t="s">
        <v>11145</v>
      </c>
      <c r="I1351" s="2" t="s">
        <v>11146</v>
      </c>
      <c r="J1351" s="12" t="str">
        <f>VLOOKUP(I1351,'Copy of Enriched Data - IPBES G'!$L$2:$L$229,1,false)</f>
        <v>#N/A</v>
      </c>
      <c r="L1351" s="2" t="s">
        <v>11147</v>
      </c>
      <c r="M1351" s="2" t="s">
        <v>1804</v>
      </c>
      <c r="N1351" s="2" t="s">
        <v>1851</v>
      </c>
      <c r="O1351" s="2" t="s">
        <v>1852</v>
      </c>
      <c r="AO1351" s="2" t="s">
        <v>1368</v>
      </c>
    </row>
    <row r="1352" ht="15.75" customHeight="1">
      <c r="A1352" s="2" t="s">
        <v>11148</v>
      </c>
      <c r="B1352" s="2" t="s">
        <v>1361</v>
      </c>
      <c r="C1352" s="2">
        <v>2008.0</v>
      </c>
      <c r="D1352" s="2" t="s">
        <v>11149</v>
      </c>
      <c r="E1352" s="2" t="s">
        <v>11150</v>
      </c>
      <c r="F1352" s="2" t="s">
        <v>11151</v>
      </c>
      <c r="I1352" s="2" t="s">
        <v>11152</v>
      </c>
      <c r="J1352" s="12" t="str">
        <f>VLOOKUP(I1352,'Copy of Enriched Data - IPBES G'!$L$2:$L$229,1,false)</f>
        <v>#N/A</v>
      </c>
      <c r="M1352" s="2" t="s">
        <v>1458</v>
      </c>
      <c r="N1352" s="2" t="s">
        <v>11153</v>
      </c>
      <c r="O1352" s="2" t="s">
        <v>11154</v>
      </c>
      <c r="Q1352" s="2" t="s">
        <v>11155</v>
      </c>
      <c r="S1352" s="2" t="s">
        <v>1600</v>
      </c>
      <c r="T1352" s="2" t="s">
        <v>6310</v>
      </c>
      <c r="AO1352" s="2" t="s">
        <v>1368</v>
      </c>
    </row>
    <row r="1353" ht="15.75" customHeight="1">
      <c r="A1353" s="2" t="s">
        <v>11156</v>
      </c>
      <c r="B1353" s="2" t="s">
        <v>1361</v>
      </c>
      <c r="C1353" s="2">
        <v>1998.0</v>
      </c>
      <c r="D1353" s="2" t="s">
        <v>11157</v>
      </c>
      <c r="E1353" s="2" t="s">
        <v>11158</v>
      </c>
      <c r="F1353" s="2" t="s">
        <v>11159</v>
      </c>
      <c r="J1353" s="12" t="str">
        <f>VLOOKUP(I1353,'Copy of Enriched Data - IPBES G'!$L$2:$L$229,1,false)</f>
        <v>#N/A</v>
      </c>
      <c r="M1353" s="2" t="s">
        <v>1958</v>
      </c>
      <c r="N1353" s="2" t="s">
        <v>11160</v>
      </c>
      <c r="O1353" s="2" t="s">
        <v>11161</v>
      </c>
      <c r="Q1353" s="2" t="s">
        <v>11162</v>
      </c>
      <c r="AO1353" s="2" t="s">
        <v>1368</v>
      </c>
    </row>
    <row r="1354" ht="15.75" customHeight="1">
      <c r="A1354" s="2" t="s">
        <v>11163</v>
      </c>
      <c r="B1354" s="2" t="s">
        <v>1361</v>
      </c>
      <c r="C1354" s="2">
        <v>2012.0</v>
      </c>
      <c r="D1354" s="2" t="s">
        <v>11164</v>
      </c>
      <c r="E1354" s="2" t="s">
        <v>11165</v>
      </c>
      <c r="F1354" s="2" t="s">
        <v>6356</v>
      </c>
      <c r="H1354" s="2" t="s">
        <v>6357</v>
      </c>
      <c r="J1354" s="12" t="str">
        <f>VLOOKUP(I1354,'Copy of Enriched Data - IPBES G'!$L$2:$L$229,1,false)</f>
        <v>#N/A</v>
      </c>
      <c r="L1354" s="2" t="s">
        <v>11166</v>
      </c>
      <c r="M1354" s="2" t="s">
        <v>1405</v>
      </c>
      <c r="N1354" s="2" t="s">
        <v>11167</v>
      </c>
      <c r="O1354" s="2" t="s">
        <v>11168</v>
      </c>
      <c r="Q1354" s="2" t="s">
        <v>11169</v>
      </c>
      <c r="S1354" s="2" t="s">
        <v>1453</v>
      </c>
      <c r="T1354" s="2" t="s">
        <v>1480</v>
      </c>
      <c r="AO1354" s="2" t="s">
        <v>1368</v>
      </c>
    </row>
    <row r="1355" ht="15.75" customHeight="1">
      <c r="A1355" s="2" t="s">
        <v>11170</v>
      </c>
      <c r="B1355" s="2" t="s">
        <v>1361</v>
      </c>
      <c r="C1355" s="2">
        <v>2010.0</v>
      </c>
      <c r="D1355" s="2" t="s">
        <v>11171</v>
      </c>
      <c r="E1355" s="2" t="s">
        <v>11172</v>
      </c>
      <c r="F1355" s="2" t="s">
        <v>4956</v>
      </c>
      <c r="I1355" s="2" t="s">
        <v>11173</v>
      </c>
      <c r="J1355" s="12" t="str">
        <f>VLOOKUP(I1355,'Copy of Enriched Data - IPBES G'!$L$2:$L$229,1,false)</f>
        <v>#N/A</v>
      </c>
      <c r="M1355" s="2" t="s">
        <v>1449</v>
      </c>
      <c r="N1355" s="2" t="s">
        <v>11174</v>
      </c>
      <c r="O1355" s="2" t="s">
        <v>11175</v>
      </c>
      <c r="Q1355" s="2" t="s">
        <v>11176</v>
      </c>
      <c r="S1355" s="2" t="s">
        <v>1462</v>
      </c>
      <c r="T1355" s="2" t="s">
        <v>11177</v>
      </c>
      <c r="AO1355" s="2" t="s">
        <v>1368</v>
      </c>
    </row>
    <row r="1356" ht="15.75" customHeight="1">
      <c r="A1356" s="2" t="s">
        <v>11178</v>
      </c>
      <c r="B1356" s="2" t="s">
        <v>1361</v>
      </c>
      <c r="C1356" s="2">
        <v>1979.0</v>
      </c>
      <c r="D1356" s="2" t="s">
        <v>11179</v>
      </c>
      <c r="E1356" s="2" t="s">
        <v>11180</v>
      </c>
      <c r="F1356" s="2" t="s">
        <v>11181</v>
      </c>
      <c r="I1356" s="2" t="s">
        <v>11182</v>
      </c>
      <c r="J1356" s="12" t="str">
        <f>VLOOKUP(I1356,'Copy of Enriched Data - IPBES G'!$L$2:$L$229,1,false)</f>
        <v>#N/A</v>
      </c>
      <c r="M1356" s="2" t="s">
        <v>11183</v>
      </c>
      <c r="N1356" s="2" t="s">
        <v>11184</v>
      </c>
      <c r="O1356" s="2" t="s">
        <v>11185</v>
      </c>
      <c r="Q1356" s="2" t="s">
        <v>11186</v>
      </c>
      <c r="S1356" s="2" t="s">
        <v>1506</v>
      </c>
      <c r="T1356" s="2" t="s">
        <v>1443</v>
      </c>
      <c r="AO1356" s="2" t="s">
        <v>1368</v>
      </c>
    </row>
    <row r="1357" ht="15.75" customHeight="1">
      <c r="A1357" s="2" t="s">
        <v>11187</v>
      </c>
      <c r="B1357" s="2" t="s">
        <v>1361</v>
      </c>
      <c r="C1357" s="2">
        <v>1993.0</v>
      </c>
      <c r="D1357" s="2" t="s">
        <v>11188</v>
      </c>
      <c r="E1357" s="2" t="s">
        <v>11189</v>
      </c>
      <c r="F1357" s="2" t="s">
        <v>11190</v>
      </c>
      <c r="H1357" s="2" t="s">
        <v>11191</v>
      </c>
      <c r="I1357" s="2" t="s">
        <v>11192</v>
      </c>
      <c r="J1357" s="12" t="str">
        <f>VLOOKUP(I1357,'Copy of Enriched Data - IPBES G'!$L$2:$L$229,1,false)</f>
        <v>#N/A</v>
      </c>
      <c r="L1357" s="2" t="s">
        <v>11193</v>
      </c>
      <c r="M1357" s="2" t="s">
        <v>2735</v>
      </c>
      <c r="N1357" s="2" t="s">
        <v>11194</v>
      </c>
      <c r="O1357" s="2" t="s">
        <v>11195</v>
      </c>
      <c r="Q1357" s="2" t="s">
        <v>11196</v>
      </c>
      <c r="S1357" s="2" t="s">
        <v>1453</v>
      </c>
      <c r="T1357" s="2" t="s">
        <v>3665</v>
      </c>
      <c r="AO1357" s="2" t="s">
        <v>1368</v>
      </c>
    </row>
    <row r="1358" ht="15.75" customHeight="1">
      <c r="A1358" s="2" t="s">
        <v>11197</v>
      </c>
      <c r="B1358" s="2" t="s">
        <v>1361</v>
      </c>
      <c r="C1358" s="2">
        <v>2014.0</v>
      </c>
      <c r="D1358" s="2" t="s">
        <v>11198</v>
      </c>
      <c r="E1358" s="2" t="s">
        <v>11199</v>
      </c>
      <c r="F1358" s="2" t="s">
        <v>9142</v>
      </c>
      <c r="H1358" s="2" t="s">
        <v>11200</v>
      </c>
      <c r="I1358" s="2" t="s">
        <v>11201</v>
      </c>
      <c r="J1358" s="12" t="str">
        <f>VLOOKUP(I1358,'Copy of Enriched Data - IPBES G'!$L$2:$L$229,1,false)</f>
        <v>#N/A</v>
      </c>
      <c r="L1358" s="2" t="s">
        <v>11202</v>
      </c>
      <c r="M1358" s="2" t="s">
        <v>1476</v>
      </c>
      <c r="N1358" s="2" t="s">
        <v>11203</v>
      </c>
      <c r="O1358" s="2" t="s">
        <v>11204</v>
      </c>
      <c r="Q1358" s="2" t="s">
        <v>11205</v>
      </c>
      <c r="S1358" s="2" t="s">
        <v>1453</v>
      </c>
      <c r="T1358" s="2" t="s">
        <v>2646</v>
      </c>
      <c r="AO1358" s="2" t="s">
        <v>1368</v>
      </c>
    </row>
    <row r="1359" ht="15.75" customHeight="1">
      <c r="A1359" s="2" t="s">
        <v>11206</v>
      </c>
      <c r="B1359" s="2" t="s">
        <v>1361</v>
      </c>
      <c r="C1359" s="2">
        <v>2001.0</v>
      </c>
      <c r="D1359" s="2" t="s">
        <v>11207</v>
      </c>
      <c r="E1359" s="2" t="s">
        <v>11208</v>
      </c>
      <c r="F1359" s="2" t="s">
        <v>11209</v>
      </c>
      <c r="I1359" s="2" t="s">
        <v>11210</v>
      </c>
      <c r="J1359" s="12" t="str">
        <f>VLOOKUP(I1359,'Copy of Enriched Data - IPBES G'!$L$2:$L$229,1,false)</f>
        <v>#N/A</v>
      </c>
      <c r="M1359" s="2" t="s">
        <v>1414</v>
      </c>
      <c r="N1359" s="2" t="s">
        <v>11211</v>
      </c>
      <c r="O1359" s="2" t="s">
        <v>11212</v>
      </c>
      <c r="Q1359" s="2" t="s">
        <v>11213</v>
      </c>
      <c r="S1359" s="2" t="s">
        <v>1462</v>
      </c>
      <c r="T1359" s="2" t="s">
        <v>2739</v>
      </c>
      <c r="AO1359" s="2" t="s">
        <v>1368</v>
      </c>
    </row>
    <row r="1360" ht="15.75" customHeight="1">
      <c r="A1360" s="2" t="s">
        <v>11214</v>
      </c>
      <c r="B1360" s="2" t="s">
        <v>1361</v>
      </c>
      <c r="C1360" s="2">
        <v>2016.0</v>
      </c>
      <c r="D1360" s="2" t="s">
        <v>11215</v>
      </c>
      <c r="E1360" s="2" t="s">
        <v>11216</v>
      </c>
      <c r="F1360" s="2" t="s">
        <v>1613</v>
      </c>
      <c r="I1360" s="2" t="s">
        <v>11217</v>
      </c>
      <c r="J1360" s="12" t="str">
        <f>VLOOKUP(I1360,'Copy of Enriched Data - IPBES G'!$L$2:$L$229,1,false)</f>
        <v>#N/A</v>
      </c>
      <c r="M1360" s="2" t="s">
        <v>1502</v>
      </c>
      <c r="N1360" s="2" t="s">
        <v>11218</v>
      </c>
      <c r="O1360" s="2" t="s">
        <v>11219</v>
      </c>
      <c r="S1360" s="2" t="s">
        <v>2271</v>
      </c>
      <c r="T1360" s="2" t="s">
        <v>1453</v>
      </c>
      <c r="AO1360" s="2" t="s">
        <v>1368</v>
      </c>
    </row>
    <row r="1361" ht="15.75" customHeight="1">
      <c r="A1361" s="2" t="s">
        <v>11220</v>
      </c>
      <c r="B1361" s="2" t="s">
        <v>1361</v>
      </c>
      <c r="C1361" s="2">
        <v>2003.0</v>
      </c>
      <c r="D1361" s="2" t="s">
        <v>11221</v>
      </c>
      <c r="E1361" s="2" t="s">
        <v>11222</v>
      </c>
      <c r="F1361" s="2" t="s">
        <v>11223</v>
      </c>
      <c r="I1361" s="2" t="s">
        <v>11224</v>
      </c>
      <c r="J1361" s="12" t="str">
        <f>VLOOKUP(I1361,'Copy of Enriched Data - IPBES G'!$L$2:$L$229,1,false)</f>
        <v>#N/A</v>
      </c>
      <c r="M1361" s="2" t="s">
        <v>1606</v>
      </c>
      <c r="N1361" s="2" t="s">
        <v>11225</v>
      </c>
      <c r="O1361" s="2" t="s">
        <v>11226</v>
      </c>
      <c r="Q1361" s="2" t="s">
        <v>11227</v>
      </c>
      <c r="S1361" s="2" t="s">
        <v>1462</v>
      </c>
      <c r="T1361" s="2" t="s">
        <v>6462</v>
      </c>
      <c r="AO1361" s="2" t="s">
        <v>1368</v>
      </c>
    </row>
    <row r="1362" ht="15.75" customHeight="1">
      <c r="A1362" s="2" t="s">
        <v>11228</v>
      </c>
      <c r="B1362" s="2" t="s">
        <v>1361</v>
      </c>
      <c r="C1362" s="2">
        <v>2009.0</v>
      </c>
      <c r="D1362" s="2" t="s">
        <v>11229</v>
      </c>
      <c r="E1362" s="2" t="s">
        <v>11230</v>
      </c>
      <c r="F1362" s="2" t="s">
        <v>8645</v>
      </c>
      <c r="I1362" s="2" t="s">
        <v>11231</v>
      </c>
      <c r="J1362" s="12" t="str">
        <f>VLOOKUP(I1362,'Copy of Enriched Data - IPBES G'!$L$2:$L$229,1,false)</f>
        <v>#N/A</v>
      </c>
      <c r="M1362" s="2" t="s">
        <v>1364</v>
      </c>
      <c r="N1362" s="2" t="s">
        <v>11232</v>
      </c>
      <c r="O1362" s="2" t="s">
        <v>11233</v>
      </c>
      <c r="Q1362" s="2" t="s">
        <v>11234</v>
      </c>
      <c r="S1362" s="2" t="s">
        <v>1506</v>
      </c>
      <c r="T1362" s="2" t="s">
        <v>4442</v>
      </c>
      <c r="AO1362" s="2" t="s">
        <v>1368</v>
      </c>
    </row>
    <row r="1363" ht="15.75" customHeight="1">
      <c r="A1363" s="2" t="s">
        <v>11235</v>
      </c>
      <c r="B1363" s="2" t="s">
        <v>1361</v>
      </c>
      <c r="C1363" s="2">
        <v>1991.0</v>
      </c>
      <c r="D1363" s="2" t="s">
        <v>11236</v>
      </c>
      <c r="E1363" s="2" t="s">
        <v>11237</v>
      </c>
      <c r="F1363" s="2" t="s">
        <v>2781</v>
      </c>
      <c r="I1363" s="2" t="s">
        <v>11238</v>
      </c>
      <c r="J1363" s="12" t="str">
        <f>VLOOKUP(I1363,'Copy of Enriched Data - IPBES G'!$L$2:$L$229,1,false)</f>
        <v>#N/A</v>
      </c>
      <c r="M1363" s="2" t="s">
        <v>2607</v>
      </c>
      <c r="N1363" s="2" t="s">
        <v>11239</v>
      </c>
      <c r="O1363" s="2" t="s">
        <v>11240</v>
      </c>
      <c r="Q1363" s="2" t="s">
        <v>11241</v>
      </c>
      <c r="S1363" s="2" t="s">
        <v>1600</v>
      </c>
      <c r="T1363" s="2" t="s">
        <v>1537</v>
      </c>
      <c r="AO1363" s="2" t="s">
        <v>1368</v>
      </c>
    </row>
    <row r="1364" ht="15.75" customHeight="1">
      <c r="A1364" s="2" t="s">
        <v>11242</v>
      </c>
      <c r="B1364" s="2" t="s">
        <v>1361</v>
      </c>
      <c r="C1364" s="2">
        <v>2011.0</v>
      </c>
      <c r="D1364" s="2" t="s">
        <v>11243</v>
      </c>
      <c r="E1364" s="2" t="s">
        <v>11244</v>
      </c>
      <c r="F1364" s="2" t="s">
        <v>11245</v>
      </c>
      <c r="I1364" s="2" t="s">
        <v>11246</v>
      </c>
      <c r="J1364" s="12" t="str">
        <f>VLOOKUP(I1364,'Copy of Enriched Data - IPBES G'!$L$2:$L$229,1,false)</f>
        <v>#N/A</v>
      </c>
      <c r="M1364" s="2" t="s">
        <v>1627</v>
      </c>
      <c r="N1364" s="2" t="s">
        <v>11247</v>
      </c>
      <c r="O1364" s="2" t="s">
        <v>11248</v>
      </c>
      <c r="Q1364" s="2" t="s">
        <v>11249</v>
      </c>
      <c r="S1364" s="2" t="s">
        <v>1453</v>
      </c>
      <c r="T1364" s="2" t="s">
        <v>6310</v>
      </c>
      <c r="AO1364" s="2" t="s">
        <v>1368</v>
      </c>
    </row>
    <row r="1365" ht="15.75" customHeight="1">
      <c r="A1365" s="2" t="s">
        <v>11250</v>
      </c>
      <c r="B1365" s="2" t="s">
        <v>1361</v>
      </c>
      <c r="C1365" s="2">
        <v>1995.0</v>
      </c>
      <c r="D1365" s="2" t="s">
        <v>11251</v>
      </c>
      <c r="E1365" s="2" t="s">
        <v>11252</v>
      </c>
      <c r="F1365" s="2" t="s">
        <v>11253</v>
      </c>
      <c r="J1365" s="12" t="str">
        <f>VLOOKUP(I1365,'Copy of Enriched Data - IPBES G'!$L$2:$L$229,1,false)</f>
        <v>#N/A</v>
      </c>
      <c r="M1365" s="2" t="s">
        <v>2089</v>
      </c>
      <c r="N1365" s="2" t="s">
        <v>11254</v>
      </c>
      <c r="O1365" s="2" t="s">
        <v>11255</v>
      </c>
      <c r="Q1365" s="2" t="s">
        <v>11256</v>
      </c>
      <c r="S1365" s="2" t="s">
        <v>1462</v>
      </c>
      <c r="T1365" s="2" t="s">
        <v>2877</v>
      </c>
      <c r="AO1365" s="2" t="s">
        <v>1368</v>
      </c>
    </row>
    <row r="1366" ht="15.75" customHeight="1">
      <c r="A1366" s="2" t="s">
        <v>11257</v>
      </c>
      <c r="B1366" s="2" t="s">
        <v>1361</v>
      </c>
      <c r="C1366" s="2">
        <v>2018.0</v>
      </c>
      <c r="D1366" s="2" t="s">
        <v>11258</v>
      </c>
      <c r="E1366" s="2" t="s">
        <v>11259</v>
      </c>
      <c r="F1366" s="2" t="s">
        <v>11260</v>
      </c>
      <c r="I1366" s="2" t="s">
        <v>11261</v>
      </c>
      <c r="J1366" s="12" t="str">
        <f>VLOOKUP(I1366,'Copy of Enriched Data - IPBES G'!$L$2:$L$229,1,false)</f>
        <v>#N/A</v>
      </c>
      <c r="M1366" s="2" t="s">
        <v>1420</v>
      </c>
      <c r="N1366" s="2" t="s">
        <v>11262</v>
      </c>
      <c r="O1366" s="2" t="s">
        <v>11263</v>
      </c>
      <c r="Q1366" s="2" t="s">
        <v>11264</v>
      </c>
      <c r="S1366" s="2" t="s">
        <v>1462</v>
      </c>
      <c r="T1366" s="2" t="s">
        <v>1537</v>
      </c>
      <c r="AO1366" s="2" t="s">
        <v>1368</v>
      </c>
    </row>
    <row r="1367" ht="15.75" customHeight="1">
      <c r="A1367" s="2" t="s">
        <v>11265</v>
      </c>
      <c r="B1367" s="2" t="s">
        <v>1361</v>
      </c>
      <c r="C1367" s="2">
        <v>2004.0</v>
      </c>
      <c r="D1367" s="2" t="s">
        <v>11266</v>
      </c>
      <c r="E1367" s="2" t="s">
        <v>11267</v>
      </c>
      <c r="F1367" s="2" t="s">
        <v>11268</v>
      </c>
      <c r="I1367" s="2" t="s">
        <v>11269</v>
      </c>
      <c r="J1367" s="12" t="str">
        <f>VLOOKUP(I1367,'Copy of Enriched Data - IPBES G'!$L$2:$L$229,1,false)</f>
        <v>#N/A</v>
      </c>
      <c r="M1367" s="2" t="s">
        <v>2373</v>
      </c>
      <c r="N1367" s="2" t="s">
        <v>11270</v>
      </c>
      <c r="O1367" s="2" t="s">
        <v>11271</v>
      </c>
      <c r="Q1367" s="2" t="s">
        <v>11272</v>
      </c>
      <c r="S1367" s="2" t="s">
        <v>1480</v>
      </c>
      <c r="T1367" s="2" t="s">
        <v>2739</v>
      </c>
      <c r="AO1367" s="2" t="s">
        <v>1368</v>
      </c>
    </row>
    <row r="1368" ht="15.75" customHeight="1">
      <c r="A1368" s="2" t="s">
        <v>11273</v>
      </c>
      <c r="B1368" s="2" t="s">
        <v>1361</v>
      </c>
      <c r="C1368" s="2">
        <v>2007.0</v>
      </c>
      <c r="D1368" s="2" t="s">
        <v>11274</v>
      </c>
      <c r="E1368" s="2" t="s">
        <v>11275</v>
      </c>
      <c r="F1368" s="2" t="s">
        <v>11276</v>
      </c>
      <c r="I1368" s="2" t="s">
        <v>11277</v>
      </c>
      <c r="J1368" s="12" t="str">
        <f>VLOOKUP(I1368,'Copy of Enriched Data - IPBES G'!$L$2:$L$229,1,false)</f>
        <v>#N/A</v>
      </c>
      <c r="M1368" s="2" t="s">
        <v>2380</v>
      </c>
      <c r="N1368" s="2" t="s">
        <v>10600</v>
      </c>
      <c r="O1368" s="2" t="s">
        <v>10601</v>
      </c>
      <c r="Q1368" s="2" t="s">
        <v>11278</v>
      </c>
      <c r="S1368" s="2" t="s">
        <v>1462</v>
      </c>
      <c r="T1368" s="2" t="s">
        <v>5953</v>
      </c>
      <c r="AO1368" s="2" t="s">
        <v>1368</v>
      </c>
    </row>
    <row r="1369" ht="15.75" customHeight="1">
      <c r="A1369" s="2" t="s">
        <v>11279</v>
      </c>
      <c r="B1369" s="2" t="s">
        <v>1396</v>
      </c>
      <c r="C1369" s="2">
        <v>2018.0</v>
      </c>
      <c r="D1369" s="2" t="s">
        <v>11280</v>
      </c>
      <c r="E1369" s="2" t="s">
        <v>11281</v>
      </c>
      <c r="J1369" s="12" t="str">
        <f>VLOOKUP(I1369,'Copy of Enriched Data - IPBES G'!$L$2:$L$229,1,false)</f>
        <v>#N/A</v>
      </c>
      <c r="M1369" s="2" t="s">
        <v>1420</v>
      </c>
      <c r="N1369" s="2" t="s">
        <v>11282</v>
      </c>
      <c r="O1369" s="2" t="s">
        <v>11283</v>
      </c>
      <c r="AB1369" s="2" t="s">
        <v>11284</v>
      </c>
      <c r="AC1369" s="2" t="s">
        <v>11285</v>
      </c>
      <c r="AD1369" s="2" t="s">
        <v>1540</v>
      </c>
      <c r="AO1369" s="2" t="s">
        <v>11286</v>
      </c>
      <c r="AQ1369" s="2" t="s">
        <v>11287</v>
      </c>
    </row>
    <row r="1370" ht="15.75" customHeight="1">
      <c r="A1370" s="2" t="s">
        <v>11298</v>
      </c>
      <c r="B1370" s="2" t="s">
        <v>1361</v>
      </c>
      <c r="C1370" s="2">
        <v>2009.0</v>
      </c>
      <c r="D1370" s="2" t="s">
        <v>11299</v>
      </c>
      <c r="E1370" s="2" t="s">
        <v>11300</v>
      </c>
      <c r="F1370" s="2" t="s">
        <v>6641</v>
      </c>
      <c r="I1370" s="2" t="s">
        <v>11301</v>
      </c>
      <c r="J1370" s="12" t="str">
        <f>VLOOKUP(I1370,'Copy of Enriched Data - IPBES G'!$L$2:$L$229,1,false)</f>
        <v>#N/A</v>
      </c>
      <c r="L1370" s="2" t="s">
        <v>11302</v>
      </c>
      <c r="M1370" s="2" t="s">
        <v>1364</v>
      </c>
      <c r="N1370" s="2" t="s">
        <v>11303</v>
      </c>
      <c r="O1370" s="2" t="s">
        <v>11304</v>
      </c>
      <c r="Q1370" s="2" t="s">
        <v>11305</v>
      </c>
      <c r="S1370" s="2" t="s">
        <v>1462</v>
      </c>
      <c r="T1370" s="2" t="s">
        <v>3665</v>
      </c>
      <c r="AO1370" s="2" t="s">
        <v>2169</v>
      </c>
    </row>
    <row r="1371" ht="15.75" customHeight="1">
      <c r="A1371" s="2" t="s">
        <v>11306</v>
      </c>
      <c r="B1371" s="2" t="s">
        <v>1623</v>
      </c>
      <c r="C1371" s="2">
        <v>2015.0</v>
      </c>
      <c r="D1371" s="2" t="s">
        <v>11307</v>
      </c>
      <c r="E1371" s="2" t="s">
        <v>11308</v>
      </c>
      <c r="J1371" s="12" t="str">
        <f>VLOOKUP(I1371,'Copy of Enriched Data - IPBES G'!$L$2:$L$229,1,false)</f>
        <v>#N/A</v>
      </c>
      <c r="K1371" s="2" t="s">
        <v>11309</v>
      </c>
      <c r="M1371" s="2" t="s">
        <v>1373</v>
      </c>
      <c r="N1371" s="2" t="s">
        <v>1562</v>
      </c>
      <c r="O1371" s="2" t="s">
        <v>1563</v>
      </c>
      <c r="AB1371" s="2" t="s">
        <v>11310</v>
      </c>
      <c r="AC1371" s="2" t="s">
        <v>11311</v>
      </c>
      <c r="AO1371" s="2" t="s">
        <v>2188</v>
      </c>
    </row>
    <row r="1372" ht="15.75" customHeight="1">
      <c r="A1372" s="2" t="s">
        <v>11312</v>
      </c>
      <c r="B1372" s="2" t="s">
        <v>1623</v>
      </c>
      <c r="C1372" s="2">
        <v>2014.0</v>
      </c>
      <c r="D1372" s="2" t="s">
        <v>11313</v>
      </c>
      <c r="E1372" s="2" t="s">
        <v>11314</v>
      </c>
      <c r="J1372" s="12" t="str">
        <f>VLOOKUP(I1372,'Copy of Enriched Data - IPBES G'!$L$2:$L$229,1,false)</f>
        <v>#N/A</v>
      </c>
      <c r="K1372" s="2" t="s">
        <v>11315</v>
      </c>
      <c r="M1372" s="2" t="s">
        <v>1476</v>
      </c>
      <c r="N1372" s="2" t="s">
        <v>11316</v>
      </c>
      <c r="O1372" s="2" t="s">
        <v>11317</v>
      </c>
      <c r="AB1372" s="2" t="s">
        <v>11318</v>
      </c>
      <c r="AC1372" s="2" t="s">
        <v>7543</v>
      </c>
      <c r="AD1372" s="2" t="s">
        <v>1540</v>
      </c>
      <c r="AK1372" s="2" t="s">
        <v>11319</v>
      </c>
      <c r="AO1372" s="2" t="s">
        <v>1885</v>
      </c>
    </row>
    <row r="1373" ht="15.75" customHeight="1">
      <c r="A1373" s="2" t="s">
        <v>11320</v>
      </c>
      <c r="B1373" s="2" t="s">
        <v>1361</v>
      </c>
      <c r="C1373" s="2">
        <v>2017.0</v>
      </c>
      <c r="D1373" s="2" t="s">
        <v>11321</v>
      </c>
      <c r="E1373" s="2" t="s">
        <v>11322</v>
      </c>
      <c r="F1373" s="2" t="s">
        <v>1789</v>
      </c>
      <c r="H1373" s="2" t="s">
        <v>1790</v>
      </c>
      <c r="I1373" s="2" t="s">
        <v>11323</v>
      </c>
      <c r="J1373" s="12" t="str">
        <f>VLOOKUP(I1373,'Copy of Enriched Data - IPBES G'!$L$2:$L$229,1,false)</f>
        <v>#N/A</v>
      </c>
      <c r="K1373" s="2" t="s">
        <v>11324</v>
      </c>
      <c r="L1373" s="2" t="s">
        <v>11325</v>
      </c>
      <c r="M1373" s="2" t="s">
        <v>1658</v>
      </c>
      <c r="N1373" s="2" t="s">
        <v>1385</v>
      </c>
      <c r="O1373" s="2" t="s">
        <v>1386</v>
      </c>
      <c r="Q1373" s="2" t="s">
        <v>11326</v>
      </c>
      <c r="T1373" s="2" t="s">
        <v>10032</v>
      </c>
      <c r="AO1373" s="2" t="s">
        <v>1368</v>
      </c>
    </row>
    <row r="1374" ht="15.75" customHeight="1">
      <c r="A1374" s="2" t="s">
        <v>11340</v>
      </c>
      <c r="B1374" s="2" t="s">
        <v>1623</v>
      </c>
      <c r="C1374" s="2">
        <v>2015.0</v>
      </c>
      <c r="D1374" s="2" t="s">
        <v>11341</v>
      </c>
      <c r="E1374" s="2" t="s">
        <v>11342</v>
      </c>
      <c r="J1374" s="12" t="str">
        <f>VLOOKUP(I1374,'Copy of Enriched Data - IPBES G'!$L$2:$L$229,1,false)</f>
        <v>#N/A</v>
      </c>
      <c r="M1374" s="2" t="s">
        <v>1373</v>
      </c>
      <c r="N1374" s="2" t="s">
        <v>1385</v>
      </c>
      <c r="O1374" s="2" t="s">
        <v>1386</v>
      </c>
      <c r="Q1374" s="2" t="s">
        <v>11343</v>
      </c>
      <c r="AC1374" s="2" t="s">
        <v>11344</v>
      </c>
      <c r="AO1374" s="2" t="s">
        <v>2244</v>
      </c>
    </row>
    <row r="1375" ht="15.75" customHeight="1">
      <c r="A1375" s="2" t="s">
        <v>11345</v>
      </c>
      <c r="B1375" s="2" t="s">
        <v>1396</v>
      </c>
      <c r="C1375" s="2">
        <v>2013.0</v>
      </c>
      <c r="D1375" s="2" t="s">
        <v>11280</v>
      </c>
      <c r="E1375" s="2" t="s">
        <v>11346</v>
      </c>
      <c r="J1375" s="12" t="str">
        <f>VLOOKUP(I1375,'Copy of Enriched Data - IPBES G'!$L$2:$L$229,1,false)</f>
        <v>#N/A</v>
      </c>
      <c r="M1375" s="2" t="s">
        <v>1429</v>
      </c>
      <c r="N1375" s="2" t="s">
        <v>1385</v>
      </c>
      <c r="O1375" s="2" t="s">
        <v>1386</v>
      </c>
      <c r="AB1375" s="2" t="s">
        <v>2187</v>
      </c>
      <c r="AC1375" s="2" t="s">
        <v>11347</v>
      </c>
      <c r="AO1375" s="2" t="s">
        <v>2244</v>
      </c>
      <c r="AQ1375" s="2" t="s">
        <v>11348</v>
      </c>
    </row>
    <row r="1376" ht="15.75" customHeight="1">
      <c r="A1376" s="2" t="s">
        <v>11349</v>
      </c>
      <c r="B1376" s="2" t="s">
        <v>1396</v>
      </c>
      <c r="C1376" s="2">
        <v>2014.0</v>
      </c>
      <c r="D1376" s="2" t="s">
        <v>11280</v>
      </c>
      <c r="E1376" s="2" t="s">
        <v>11350</v>
      </c>
      <c r="J1376" s="12" t="str">
        <f>VLOOKUP(I1376,'Copy of Enriched Data - IPBES G'!$L$2:$L$229,1,false)</f>
        <v>#N/A</v>
      </c>
      <c r="M1376" s="2" t="s">
        <v>1476</v>
      </c>
      <c r="N1376" s="2" t="s">
        <v>1385</v>
      </c>
      <c r="O1376" s="2" t="s">
        <v>1386</v>
      </c>
      <c r="R1376" s="2" t="s">
        <v>11351</v>
      </c>
      <c r="AB1376" s="2" t="s">
        <v>11280</v>
      </c>
      <c r="AC1376" s="2" t="s">
        <v>11285</v>
      </c>
      <c r="AO1376" s="2" t="s">
        <v>11352</v>
      </c>
      <c r="AQ1376" s="2" t="s">
        <v>11353</v>
      </c>
    </row>
    <row r="1377" ht="15.75" customHeight="1">
      <c r="A1377" s="2" t="s">
        <v>11354</v>
      </c>
      <c r="B1377" s="2" t="s">
        <v>1396</v>
      </c>
      <c r="C1377" s="2">
        <v>2018.0</v>
      </c>
      <c r="D1377" s="2" t="s">
        <v>11307</v>
      </c>
      <c r="E1377" s="2" t="s">
        <v>11355</v>
      </c>
      <c r="J1377" s="12" t="str">
        <f>VLOOKUP(I1377,'Copy of Enriched Data - IPBES G'!$L$2:$L$229,1,false)</f>
        <v>#N/A</v>
      </c>
      <c r="M1377" s="2" t="s">
        <v>1420</v>
      </c>
      <c r="N1377" s="2" t="s">
        <v>1385</v>
      </c>
      <c r="O1377" s="2" t="s">
        <v>1386</v>
      </c>
      <c r="R1377" s="2" t="s">
        <v>6533</v>
      </c>
      <c r="AB1377" s="2" t="s">
        <v>11356</v>
      </c>
      <c r="AC1377" s="2" t="s">
        <v>11311</v>
      </c>
      <c r="AO1377" s="2" t="s">
        <v>2169</v>
      </c>
      <c r="AQ1377" s="2" t="s">
        <v>11357</v>
      </c>
    </row>
    <row r="1378" ht="15.75" customHeight="1">
      <c r="A1378" s="2" t="s">
        <v>11358</v>
      </c>
      <c r="B1378" s="2" t="s">
        <v>1396</v>
      </c>
      <c r="C1378" s="2">
        <v>2018.0</v>
      </c>
      <c r="D1378" s="2" t="s">
        <v>11359</v>
      </c>
      <c r="E1378" s="2" t="s">
        <v>11360</v>
      </c>
      <c r="J1378" s="12" t="str">
        <f>VLOOKUP(I1378,'Copy of Enriched Data - IPBES G'!$L$2:$L$229,1,false)</f>
        <v>#N/A</v>
      </c>
      <c r="M1378" s="2" t="s">
        <v>1420</v>
      </c>
      <c r="N1378" s="2" t="s">
        <v>1385</v>
      </c>
      <c r="O1378" s="2" t="s">
        <v>1386</v>
      </c>
      <c r="R1378" s="2" t="s">
        <v>10032</v>
      </c>
      <c r="AB1378" s="2" t="s">
        <v>11356</v>
      </c>
      <c r="AC1378" s="2" t="s">
        <v>11311</v>
      </c>
      <c r="AO1378" s="2" t="s">
        <v>9692</v>
      </c>
      <c r="AQ1378" s="2" t="s">
        <v>11361</v>
      </c>
      <c r="AR1378" s="2" t="s">
        <v>11362</v>
      </c>
    </row>
    <row r="1379" ht="15.75" customHeight="1">
      <c r="A1379" s="2" t="s">
        <v>11363</v>
      </c>
      <c r="B1379" s="2" t="s">
        <v>1396</v>
      </c>
      <c r="C1379" s="2">
        <v>2018.0</v>
      </c>
      <c r="D1379" s="2" t="s">
        <v>11359</v>
      </c>
      <c r="E1379" s="2" t="s">
        <v>11364</v>
      </c>
      <c r="J1379" s="12" t="str">
        <f>VLOOKUP(I1379,'Copy of Enriched Data - IPBES G'!$L$2:$L$229,1,false)</f>
        <v>#N/A</v>
      </c>
      <c r="L1379" s="2" t="s">
        <v>11365</v>
      </c>
      <c r="M1379" s="2" t="s">
        <v>1420</v>
      </c>
      <c r="N1379" s="2" t="s">
        <v>1385</v>
      </c>
      <c r="O1379" s="2" t="s">
        <v>1386</v>
      </c>
      <c r="R1379" s="2" t="s">
        <v>11366</v>
      </c>
      <c r="Y1379" s="2" t="s">
        <v>5633</v>
      </c>
      <c r="AB1379" s="2" t="s">
        <v>11356</v>
      </c>
      <c r="AC1379" s="2" t="s">
        <v>11311</v>
      </c>
      <c r="AO1379" s="2" t="s">
        <v>2169</v>
      </c>
      <c r="AQ1379" s="2" t="s">
        <v>11367</v>
      </c>
      <c r="AR1379" s="2" t="s">
        <v>11368</v>
      </c>
    </row>
    <row r="1380" ht="15.75" customHeight="1">
      <c r="A1380" s="2" t="s">
        <v>11369</v>
      </c>
      <c r="B1380" s="2" t="s">
        <v>1396</v>
      </c>
      <c r="C1380" s="2">
        <v>2018.0</v>
      </c>
      <c r="D1380" s="2" t="s">
        <v>11359</v>
      </c>
      <c r="E1380" s="2" t="s">
        <v>11370</v>
      </c>
      <c r="J1380" s="12" t="str">
        <f>VLOOKUP(I1380,'Copy of Enriched Data - IPBES G'!$L$2:$L$229,1,false)</f>
        <v>#N/A</v>
      </c>
      <c r="M1380" s="2" t="s">
        <v>1420</v>
      </c>
      <c r="N1380" s="2" t="s">
        <v>1385</v>
      </c>
      <c r="O1380" s="2" t="s">
        <v>1386</v>
      </c>
      <c r="R1380" s="2" t="s">
        <v>11371</v>
      </c>
      <c r="Y1380" s="2" t="s">
        <v>5633</v>
      </c>
      <c r="AB1380" s="2" t="s">
        <v>11356</v>
      </c>
      <c r="AC1380" s="2" t="s">
        <v>11311</v>
      </c>
      <c r="AO1380" s="2" t="s">
        <v>2169</v>
      </c>
      <c r="AQ1380" s="2" t="s">
        <v>11372</v>
      </c>
      <c r="AR1380" s="2" t="s">
        <v>11373</v>
      </c>
    </row>
    <row r="1381" ht="15.75" customHeight="1">
      <c r="A1381" s="2" t="s">
        <v>11374</v>
      </c>
      <c r="B1381" s="2" t="s">
        <v>1396</v>
      </c>
      <c r="C1381" s="2">
        <v>2018.0</v>
      </c>
      <c r="D1381" s="2" t="s">
        <v>11359</v>
      </c>
      <c r="E1381" s="2" t="s">
        <v>11375</v>
      </c>
      <c r="J1381" s="12" t="str">
        <f>VLOOKUP(I1381,'Copy of Enriched Data - IPBES G'!$L$2:$L$229,1,false)</f>
        <v>#N/A</v>
      </c>
      <c r="M1381" s="2" t="s">
        <v>1420</v>
      </c>
      <c r="N1381" s="2" t="s">
        <v>1385</v>
      </c>
      <c r="O1381" s="2" t="s">
        <v>1386</v>
      </c>
      <c r="R1381" s="2" t="s">
        <v>11376</v>
      </c>
      <c r="AB1381" s="2" t="s">
        <v>11356</v>
      </c>
      <c r="AC1381" s="2" t="s">
        <v>11311</v>
      </c>
      <c r="AO1381" s="2" t="s">
        <v>2169</v>
      </c>
      <c r="AR1381" s="2" t="s">
        <v>11377</v>
      </c>
    </row>
    <row r="1382" ht="15.75" customHeight="1">
      <c r="A1382" s="2" t="s">
        <v>11378</v>
      </c>
      <c r="B1382" s="2" t="s">
        <v>1623</v>
      </c>
      <c r="C1382" s="2">
        <v>2015.0</v>
      </c>
      <c r="D1382" s="2" t="s">
        <v>11379</v>
      </c>
      <c r="E1382" s="2" t="s">
        <v>11380</v>
      </c>
      <c r="J1382" s="12" t="str">
        <f>VLOOKUP(I1382,'Copy of Enriched Data - IPBES G'!$L$2:$L$229,1,false)</f>
        <v>#N/A</v>
      </c>
      <c r="K1382" s="2" t="s">
        <v>11381</v>
      </c>
      <c r="M1382" s="2" t="s">
        <v>1373</v>
      </c>
      <c r="N1382" s="2" t="s">
        <v>1385</v>
      </c>
      <c r="O1382" s="2" t="s">
        <v>1386</v>
      </c>
      <c r="AB1382" s="2" t="s">
        <v>11382</v>
      </c>
      <c r="AC1382" s="2" t="s">
        <v>2146</v>
      </c>
      <c r="AO1382" s="2" t="s">
        <v>1368</v>
      </c>
    </row>
    <row r="1383" ht="15.75" customHeight="1">
      <c r="A1383" s="2" t="s">
        <v>11383</v>
      </c>
      <c r="B1383" s="2" t="s">
        <v>1623</v>
      </c>
      <c r="C1383" s="2">
        <v>2005.0</v>
      </c>
      <c r="D1383" s="2" t="s">
        <v>11384</v>
      </c>
      <c r="E1383" s="2" t="s">
        <v>11385</v>
      </c>
      <c r="J1383" s="12" t="str">
        <f>VLOOKUP(I1383,'Copy of Enriched Data - IPBES G'!$L$2:$L$229,1,false)</f>
        <v>#N/A</v>
      </c>
      <c r="K1383" s="2" t="s">
        <v>11386</v>
      </c>
      <c r="M1383" s="2" t="s">
        <v>1394</v>
      </c>
      <c r="N1383" s="2" t="s">
        <v>1385</v>
      </c>
      <c r="O1383" s="2" t="s">
        <v>1386</v>
      </c>
      <c r="AB1383" s="2" t="s">
        <v>1628</v>
      </c>
      <c r="AC1383" s="2" t="s">
        <v>9394</v>
      </c>
      <c r="AO1383" s="2" t="s">
        <v>1368</v>
      </c>
    </row>
    <row r="1384" ht="15.75" customHeight="1">
      <c r="A1384" s="2" t="s">
        <v>11387</v>
      </c>
      <c r="B1384" s="2" t="s">
        <v>1396</v>
      </c>
      <c r="C1384" s="2">
        <v>1989.0</v>
      </c>
      <c r="D1384" s="2" t="s">
        <v>11388</v>
      </c>
      <c r="E1384" s="2" t="s">
        <v>11389</v>
      </c>
      <c r="J1384" s="12" t="str">
        <f>VLOOKUP(I1384,'Copy of Enriched Data - IPBES G'!$L$2:$L$229,1,false)</f>
        <v>#N/A</v>
      </c>
      <c r="K1384" s="2" t="s">
        <v>11390</v>
      </c>
      <c r="M1384" s="2" t="s">
        <v>2701</v>
      </c>
      <c r="N1384" s="2" t="s">
        <v>1385</v>
      </c>
      <c r="O1384" s="2" t="s">
        <v>1386</v>
      </c>
      <c r="AO1384" s="2" t="s">
        <v>1368</v>
      </c>
    </row>
    <row r="1385" ht="15.75" customHeight="1">
      <c r="A1385" s="2" t="s">
        <v>11391</v>
      </c>
      <c r="B1385" s="2" t="s">
        <v>1361</v>
      </c>
      <c r="C1385" s="2">
        <v>1972.0</v>
      </c>
      <c r="D1385" s="2" t="s">
        <v>11379</v>
      </c>
      <c r="E1385" s="2" t="s">
        <v>11392</v>
      </c>
      <c r="J1385" s="12" t="str">
        <f>VLOOKUP(I1385,'Copy of Enriched Data - IPBES G'!$L$2:$L$229,1,false)</f>
        <v>#N/A</v>
      </c>
      <c r="M1385" s="2" t="s">
        <v>6522</v>
      </c>
      <c r="N1385" s="2" t="s">
        <v>1385</v>
      </c>
      <c r="O1385" s="2" t="s">
        <v>1386</v>
      </c>
      <c r="AO1385" s="2" t="s">
        <v>1368</v>
      </c>
    </row>
    <row r="1386" ht="15.75" customHeight="1">
      <c r="A1386" s="2" t="s">
        <v>11393</v>
      </c>
      <c r="B1386" s="2" t="s">
        <v>1623</v>
      </c>
      <c r="C1386" s="2">
        <v>2012.0</v>
      </c>
      <c r="D1386" s="2" t="s">
        <v>11394</v>
      </c>
      <c r="E1386" s="2" t="s">
        <v>11395</v>
      </c>
      <c r="J1386" s="12" t="str">
        <f>VLOOKUP(I1386,'Copy of Enriched Data - IPBES G'!$L$2:$L$229,1,false)</f>
        <v>#N/A</v>
      </c>
      <c r="M1386" s="2" t="s">
        <v>1405</v>
      </c>
      <c r="N1386" s="2" t="s">
        <v>1385</v>
      </c>
      <c r="O1386" s="2" t="s">
        <v>1386</v>
      </c>
      <c r="AB1386" s="2" t="s">
        <v>11396</v>
      </c>
      <c r="AC1386" s="2" t="s">
        <v>11397</v>
      </c>
      <c r="AO1386" s="2" t="s">
        <v>1368</v>
      </c>
    </row>
    <row r="1387" ht="15.75" customHeight="1">
      <c r="A1387" s="2" t="s">
        <v>11398</v>
      </c>
      <c r="B1387" s="2" t="s">
        <v>1623</v>
      </c>
      <c r="C1387" s="2">
        <v>2015.0</v>
      </c>
      <c r="D1387" s="2" t="s">
        <v>11399</v>
      </c>
      <c r="E1387" s="2" t="s">
        <v>11400</v>
      </c>
      <c r="J1387" s="12" t="str">
        <f>VLOOKUP(I1387,'Copy of Enriched Data - IPBES G'!$L$2:$L$229,1,false)</f>
        <v>#N/A</v>
      </c>
      <c r="K1387" s="2" t="s">
        <v>11401</v>
      </c>
      <c r="M1387" s="2" t="s">
        <v>1373</v>
      </c>
      <c r="N1387" s="2" t="s">
        <v>1385</v>
      </c>
      <c r="O1387" s="2" t="s">
        <v>1386</v>
      </c>
      <c r="AB1387" s="2" t="s">
        <v>11402</v>
      </c>
      <c r="AC1387" s="2" t="s">
        <v>11403</v>
      </c>
      <c r="AO1387" s="2" t="s">
        <v>1368</v>
      </c>
    </row>
    <row r="1388" ht="15.75" customHeight="1">
      <c r="A1388" s="2" t="s">
        <v>11404</v>
      </c>
      <c r="B1388" s="2" t="s">
        <v>1361</v>
      </c>
      <c r="C1388" s="2">
        <v>2018.0</v>
      </c>
      <c r="D1388" s="2" t="s">
        <v>11405</v>
      </c>
      <c r="E1388" s="2" t="s">
        <v>11406</v>
      </c>
      <c r="F1388" s="2" t="s">
        <v>4533</v>
      </c>
      <c r="H1388" s="2" t="s">
        <v>4534</v>
      </c>
      <c r="I1388" s="2" t="s">
        <v>11407</v>
      </c>
      <c r="J1388" s="12" t="str">
        <f>VLOOKUP(I1388,'Copy of Enriched Data - IPBES G'!$L$2:$L$229,1,false)</f>
        <v>#N/A</v>
      </c>
      <c r="K1388" s="2" t="s">
        <v>11408</v>
      </c>
      <c r="L1388" s="2" t="s">
        <v>11409</v>
      </c>
      <c r="M1388" s="2" t="s">
        <v>6058</v>
      </c>
      <c r="N1388" s="2" t="s">
        <v>1385</v>
      </c>
      <c r="O1388" s="2" t="s">
        <v>1386</v>
      </c>
      <c r="Q1388" s="2" t="s">
        <v>11410</v>
      </c>
      <c r="T1388" s="2" t="s">
        <v>11411</v>
      </c>
      <c r="AO1388" s="2" t="s">
        <v>1368</v>
      </c>
    </row>
    <row r="1389" ht="15.75" customHeight="1">
      <c r="A1389" s="2" t="s">
        <v>11412</v>
      </c>
      <c r="B1389" s="2" t="s">
        <v>1396</v>
      </c>
      <c r="C1389" s="2">
        <v>2017.0</v>
      </c>
      <c r="D1389" s="2" t="s">
        <v>11413</v>
      </c>
      <c r="E1389" s="2" t="s">
        <v>11414</v>
      </c>
      <c r="J1389" s="12" t="str">
        <f>VLOOKUP(I1389,'Copy of Enriched Data - IPBES G'!$L$2:$L$229,1,false)</f>
        <v>#N/A</v>
      </c>
      <c r="M1389" s="2" t="s">
        <v>1658</v>
      </c>
      <c r="N1389" s="2" t="s">
        <v>1385</v>
      </c>
      <c r="O1389" s="2" t="s">
        <v>1386</v>
      </c>
      <c r="AO1389" s="2" t="s">
        <v>1368</v>
      </c>
    </row>
    <row r="1390" ht="15.75" customHeight="1">
      <c r="A1390" s="2" t="s">
        <v>11415</v>
      </c>
      <c r="B1390" s="2" t="s">
        <v>1396</v>
      </c>
      <c r="C1390" s="2">
        <v>2009.0</v>
      </c>
      <c r="D1390" s="2" t="s">
        <v>11416</v>
      </c>
      <c r="E1390" s="2" t="s">
        <v>11417</v>
      </c>
      <c r="G1390" s="2" t="s">
        <v>11418</v>
      </c>
      <c r="J1390" s="12" t="str">
        <f>VLOOKUP(I1390,'Copy of Enriched Data - IPBES G'!$L$2:$L$229,1,false)</f>
        <v>#N/A</v>
      </c>
      <c r="K1390" s="2" t="s">
        <v>11419</v>
      </c>
      <c r="M1390" s="2" t="s">
        <v>1364</v>
      </c>
      <c r="N1390" s="2" t="s">
        <v>1385</v>
      </c>
      <c r="O1390" s="2" t="s">
        <v>1386</v>
      </c>
      <c r="AB1390" s="2" t="s">
        <v>11416</v>
      </c>
      <c r="AC1390" s="2" t="s">
        <v>2431</v>
      </c>
      <c r="AO1390" s="2" t="s">
        <v>1368</v>
      </c>
    </row>
    <row r="1391" ht="15.75" customHeight="1">
      <c r="A1391" s="2" t="s">
        <v>11420</v>
      </c>
      <c r="B1391" s="2" t="s">
        <v>1361</v>
      </c>
      <c r="C1391" s="2">
        <v>2015.0</v>
      </c>
      <c r="D1391" s="2" t="s">
        <v>11421</v>
      </c>
      <c r="E1391" s="2" t="s">
        <v>11422</v>
      </c>
      <c r="F1391" s="2" t="s">
        <v>1789</v>
      </c>
      <c r="I1391" s="2" t="s">
        <v>11423</v>
      </c>
      <c r="J1391" s="12" t="str">
        <f>VLOOKUP(I1391,'Copy of Enriched Data - IPBES G'!$L$2:$L$229,1,false)</f>
        <v>#N/A</v>
      </c>
      <c r="K1391" s="2" t="s">
        <v>11424</v>
      </c>
      <c r="L1391" s="2" t="s">
        <v>11425</v>
      </c>
      <c r="M1391" s="2" t="s">
        <v>1373</v>
      </c>
      <c r="N1391" s="2" t="s">
        <v>1385</v>
      </c>
      <c r="O1391" s="2" t="s">
        <v>1386</v>
      </c>
      <c r="Q1391" s="2" t="s">
        <v>11426</v>
      </c>
      <c r="T1391" s="2" t="s">
        <v>5953</v>
      </c>
      <c r="AO1391" s="2" t="s">
        <v>1368</v>
      </c>
    </row>
    <row r="1392" ht="15.75" customHeight="1">
      <c r="A1392" s="2" t="s">
        <v>11427</v>
      </c>
      <c r="B1392" s="2" t="s">
        <v>1361</v>
      </c>
      <c r="C1392" s="2">
        <v>2018.0</v>
      </c>
      <c r="D1392" s="2" t="s">
        <v>11428</v>
      </c>
      <c r="E1392" s="2" t="s">
        <v>11429</v>
      </c>
      <c r="F1392" s="2" t="s">
        <v>11430</v>
      </c>
      <c r="H1392" s="2" t="s">
        <v>11431</v>
      </c>
      <c r="I1392" s="2" t="s">
        <v>11432</v>
      </c>
      <c r="J1392" s="12" t="str">
        <f>VLOOKUP(I1392,'Copy of Enriched Data - IPBES G'!$L$2:$L$229,1,false)</f>
        <v>#N/A</v>
      </c>
      <c r="L1392" s="2" t="s">
        <v>11433</v>
      </c>
      <c r="M1392" s="2" t="s">
        <v>1420</v>
      </c>
      <c r="N1392" s="2" t="s">
        <v>1385</v>
      </c>
      <c r="O1392" s="2" t="s">
        <v>1386</v>
      </c>
      <c r="Q1392" s="2" t="s">
        <v>11434</v>
      </c>
      <c r="S1392" s="2" t="s">
        <v>11435</v>
      </c>
      <c r="T1392" s="2" t="s">
        <v>11436</v>
      </c>
      <c r="AO1392" s="2" t="s">
        <v>1368</v>
      </c>
    </row>
    <row r="1393" ht="15.75" customHeight="1">
      <c r="A1393" s="2" t="s">
        <v>11437</v>
      </c>
      <c r="B1393" s="2" t="s">
        <v>1361</v>
      </c>
      <c r="C1393" s="2">
        <v>2017.0</v>
      </c>
      <c r="D1393" s="2" t="s">
        <v>11438</v>
      </c>
      <c r="E1393" s="2" t="s">
        <v>11439</v>
      </c>
      <c r="F1393" s="2" t="s">
        <v>1425</v>
      </c>
      <c r="H1393" s="2" t="s">
        <v>1426</v>
      </c>
      <c r="I1393" s="2" t="s">
        <v>11440</v>
      </c>
      <c r="J1393" s="12" t="str">
        <f>VLOOKUP(I1393,'Copy of Enriched Data - IPBES G'!$L$2:$L$229,1,false)</f>
        <v>#N/A</v>
      </c>
      <c r="M1393" s="2" t="s">
        <v>1618</v>
      </c>
      <c r="N1393" s="2" t="s">
        <v>1385</v>
      </c>
      <c r="O1393" s="2" t="s">
        <v>1386</v>
      </c>
      <c r="Q1393" s="2" t="s">
        <v>11441</v>
      </c>
      <c r="T1393" s="2" t="s">
        <v>5680</v>
      </c>
      <c r="AO1393" s="2" t="s">
        <v>1368</v>
      </c>
    </row>
    <row r="1394" ht="15.75" customHeight="1">
      <c r="A1394" s="2" t="s">
        <v>11442</v>
      </c>
      <c r="B1394" s="2" t="s">
        <v>1396</v>
      </c>
      <c r="C1394" s="2">
        <v>1998.0</v>
      </c>
      <c r="E1394" s="2" t="s">
        <v>11443</v>
      </c>
      <c r="J1394" s="12" t="str">
        <f>VLOOKUP(I1394,'Copy of Enriched Data - IPBES G'!$L$2:$L$229,1,false)</f>
        <v>#N/A</v>
      </c>
      <c r="M1394" s="2" t="s">
        <v>1958</v>
      </c>
      <c r="N1394" s="2" t="s">
        <v>1385</v>
      </c>
      <c r="O1394" s="2" t="s">
        <v>1386</v>
      </c>
      <c r="AB1394" s="2" t="s">
        <v>11444</v>
      </c>
      <c r="AO1394" s="2" t="s">
        <v>1368</v>
      </c>
      <c r="AQ1394" s="2" t="s">
        <v>11445</v>
      </c>
    </row>
    <row r="1395" ht="15.75" customHeight="1">
      <c r="A1395" s="2" t="s">
        <v>11446</v>
      </c>
      <c r="B1395" s="2" t="s">
        <v>1781</v>
      </c>
      <c r="C1395" s="2">
        <v>2016.0</v>
      </c>
      <c r="D1395" s="2" t="s">
        <v>11447</v>
      </c>
      <c r="E1395" s="2" t="s">
        <v>11448</v>
      </c>
      <c r="J1395" s="12" t="str">
        <f>VLOOKUP(I1395,'Copy of Enriched Data - IPBES G'!$L$2:$L$229,1,false)</f>
        <v>#N/A</v>
      </c>
      <c r="M1395" s="2" t="s">
        <v>1502</v>
      </c>
      <c r="N1395" s="2" t="s">
        <v>1385</v>
      </c>
      <c r="O1395" s="2" t="s">
        <v>1386</v>
      </c>
      <c r="AC1395" s="2" t="s">
        <v>11449</v>
      </c>
      <c r="AO1395" s="2" t="s">
        <v>1368</v>
      </c>
    </row>
    <row r="1396" ht="15.75" customHeight="1">
      <c r="A1396" s="2" t="s">
        <v>11450</v>
      </c>
      <c r="B1396" s="2" t="s">
        <v>1396</v>
      </c>
      <c r="C1396" s="2">
        <v>2015.0</v>
      </c>
      <c r="D1396" s="2" t="s">
        <v>11451</v>
      </c>
      <c r="E1396" s="2" t="s">
        <v>11452</v>
      </c>
      <c r="J1396" s="12" t="str">
        <f>VLOOKUP(I1396,'Copy of Enriched Data - IPBES G'!$L$2:$L$229,1,false)</f>
        <v>#N/A</v>
      </c>
      <c r="M1396" s="2" t="s">
        <v>1373</v>
      </c>
      <c r="N1396" s="2" t="s">
        <v>1385</v>
      </c>
      <c r="O1396" s="2" t="s">
        <v>1386</v>
      </c>
      <c r="AO1396" s="2" t="s">
        <v>1368</v>
      </c>
    </row>
    <row r="1397" ht="15.75" customHeight="1">
      <c r="A1397" s="2" t="s">
        <v>11453</v>
      </c>
      <c r="B1397" s="2" t="s">
        <v>1396</v>
      </c>
      <c r="C1397" s="2">
        <v>2008.0</v>
      </c>
      <c r="D1397" s="2" t="s">
        <v>11451</v>
      </c>
      <c r="E1397" s="2" t="s">
        <v>11454</v>
      </c>
      <c r="J1397" s="12" t="str">
        <f>VLOOKUP(I1397,'Copy of Enriched Data - IPBES G'!$L$2:$L$229,1,false)</f>
        <v>#N/A</v>
      </c>
      <c r="L1397" s="2" t="s">
        <v>11455</v>
      </c>
      <c r="M1397" s="2" t="s">
        <v>1458</v>
      </c>
      <c r="N1397" s="2" t="s">
        <v>1385</v>
      </c>
      <c r="O1397" s="2" t="s">
        <v>1386</v>
      </c>
      <c r="AC1397" s="2" t="s">
        <v>7822</v>
      </c>
      <c r="AO1397" s="2" t="s">
        <v>1368</v>
      </c>
    </row>
    <row r="1398" ht="15.75" customHeight="1">
      <c r="A1398" s="2" t="s">
        <v>11456</v>
      </c>
      <c r="B1398" s="2" t="s">
        <v>1396</v>
      </c>
      <c r="C1398" s="2">
        <v>1980.0</v>
      </c>
      <c r="D1398" s="2" t="s">
        <v>11451</v>
      </c>
      <c r="E1398" s="2" t="s">
        <v>11457</v>
      </c>
      <c r="J1398" s="12" t="str">
        <f>VLOOKUP(I1398,'Copy of Enriched Data - IPBES G'!$L$2:$L$229,1,false)</f>
        <v>#N/A</v>
      </c>
      <c r="M1398" s="2" t="s">
        <v>5815</v>
      </c>
      <c r="N1398" s="2" t="s">
        <v>1385</v>
      </c>
      <c r="O1398" s="2" t="s">
        <v>1386</v>
      </c>
      <c r="AB1398" s="2" t="s">
        <v>11458</v>
      </c>
      <c r="AO1398" s="2" t="s">
        <v>1368</v>
      </c>
    </row>
    <row r="1399" ht="15.75" customHeight="1">
      <c r="A1399" s="2" t="s">
        <v>11459</v>
      </c>
      <c r="B1399" s="2" t="s">
        <v>1396</v>
      </c>
      <c r="C1399" s="2">
        <v>2012.0</v>
      </c>
      <c r="D1399" s="2" t="s">
        <v>11460</v>
      </c>
      <c r="E1399" s="2" t="s">
        <v>11461</v>
      </c>
      <c r="J1399" s="12" t="str">
        <f>VLOOKUP(I1399,'Copy of Enriched Data - IPBES G'!$L$2:$L$229,1,false)</f>
        <v>#N/A</v>
      </c>
      <c r="L1399" s="2" t="s">
        <v>11462</v>
      </c>
      <c r="M1399" s="2" t="s">
        <v>1405</v>
      </c>
      <c r="N1399" s="2" t="s">
        <v>1385</v>
      </c>
      <c r="O1399" s="2" t="s">
        <v>1386</v>
      </c>
      <c r="R1399" s="2" t="s">
        <v>6193</v>
      </c>
      <c r="AB1399" s="2" t="s">
        <v>11463</v>
      </c>
      <c r="AO1399" s="2" t="s">
        <v>1368</v>
      </c>
    </row>
    <row r="1400" ht="15.75" customHeight="1">
      <c r="A1400" s="2" t="s">
        <v>11464</v>
      </c>
      <c r="B1400" s="2" t="s">
        <v>1396</v>
      </c>
      <c r="C1400" s="2">
        <v>2007.0</v>
      </c>
      <c r="D1400" s="2" t="s">
        <v>11280</v>
      </c>
      <c r="E1400" s="2" t="s">
        <v>11465</v>
      </c>
      <c r="J1400" s="12" t="str">
        <f>VLOOKUP(I1400,'Copy of Enriched Data - IPBES G'!$L$2:$L$229,1,false)</f>
        <v>#N/A</v>
      </c>
      <c r="M1400" s="2" t="s">
        <v>2380</v>
      </c>
      <c r="N1400" s="2" t="s">
        <v>1385</v>
      </c>
      <c r="O1400" s="2" t="s">
        <v>1386</v>
      </c>
      <c r="R1400" s="2" t="s">
        <v>6736</v>
      </c>
      <c r="AC1400" s="2" t="s">
        <v>11285</v>
      </c>
      <c r="AO1400" s="2" t="s">
        <v>1368</v>
      </c>
      <c r="AQ1400" s="2" t="s">
        <v>11466</v>
      </c>
    </row>
    <row r="1401" ht="15.75" customHeight="1">
      <c r="A1401" s="2" t="s">
        <v>11467</v>
      </c>
      <c r="B1401" s="2" t="s">
        <v>1361</v>
      </c>
      <c r="C1401" s="2">
        <v>2003.0</v>
      </c>
      <c r="D1401" s="2" t="s">
        <v>11468</v>
      </c>
      <c r="E1401" s="2" t="s">
        <v>11469</v>
      </c>
      <c r="F1401" s="2" t="s">
        <v>11470</v>
      </c>
      <c r="H1401" s="2" t="s">
        <v>11471</v>
      </c>
      <c r="I1401" s="2" t="s">
        <v>11472</v>
      </c>
      <c r="J1401" s="12" t="str">
        <f>VLOOKUP(I1401,'Copy of Enriched Data - IPBES G'!$L$2:$L$229,1,false)</f>
        <v>#N/A</v>
      </c>
      <c r="L1401" s="2" t="s">
        <v>11473</v>
      </c>
      <c r="M1401" s="2" t="s">
        <v>11474</v>
      </c>
      <c r="N1401" s="2" t="s">
        <v>1385</v>
      </c>
      <c r="O1401" s="2" t="s">
        <v>1386</v>
      </c>
      <c r="Q1401" s="2" t="s">
        <v>11475</v>
      </c>
      <c r="S1401" s="2" t="s">
        <v>1600</v>
      </c>
      <c r="T1401" s="2" t="s">
        <v>2899</v>
      </c>
      <c r="AO1401" s="2" t="s">
        <v>1368</v>
      </c>
    </row>
    <row r="1402" ht="15.75" customHeight="1">
      <c r="A1402" s="2" t="s">
        <v>11486</v>
      </c>
      <c r="B1402" s="2" t="s">
        <v>1361</v>
      </c>
      <c r="C1402" s="2">
        <v>2005.0</v>
      </c>
      <c r="D1402" s="2" t="s">
        <v>11487</v>
      </c>
      <c r="E1402" s="2" t="s">
        <v>11488</v>
      </c>
      <c r="F1402" s="2" t="s">
        <v>1425</v>
      </c>
      <c r="H1402" s="2" t="s">
        <v>1426</v>
      </c>
      <c r="I1402" s="2" t="s">
        <v>11489</v>
      </c>
      <c r="J1402" s="12" t="str">
        <f>VLOOKUP(I1402,'Copy of Enriched Data - IPBES G'!$L$2:$L$229,1,false)</f>
        <v>#N/A</v>
      </c>
      <c r="M1402" s="2" t="s">
        <v>11490</v>
      </c>
      <c r="N1402" s="2" t="s">
        <v>1385</v>
      </c>
      <c r="O1402" s="2" t="s">
        <v>1386</v>
      </c>
      <c r="Q1402" s="2" t="s">
        <v>11491</v>
      </c>
      <c r="S1402" s="2" t="s">
        <v>1453</v>
      </c>
      <c r="T1402" s="2" t="s">
        <v>3235</v>
      </c>
      <c r="AO1402" s="2" t="s">
        <v>1368</v>
      </c>
    </row>
    <row r="1403" ht="15.75" customHeight="1">
      <c r="A1403" s="2" t="s">
        <v>11492</v>
      </c>
      <c r="B1403" s="2" t="s">
        <v>1361</v>
      </c>
      <c r="C1403" s="2">
        <v>1997.0</v>
      </c>
      <c r="D1403" s="2" t="s">
        <v>11487</v>
      </c>
      <c r="E1403" s="2" t="s">
        <v>11493</v>
      </c>
      <c r="F1403" s="2" t="s">
        <v>1425</v>
      </c>
      <c r="H1403" s="2" t="s">
        <v>1426</v>
      </c>
      <c r="I1403" s="2" t="s">
        <v>11494</v>
      </c>
      <c r="J1403" s="12" t="str">
        <f>VLOOKUP(I1403,'Copy of Enriched Data - IPBES G'!$L$2:$L$229,1,false)</f>
        <v>#N/A</v>
      </c>
      <c r="L1403" s="2" t="s">
        <v>11495</v>
      </c>
      <c r="M1403" s="2" t="s">
        <v>1804</v>
      </c>
      <c r="N1403" s="2" t="s">
        <v>1385</v>
      </c>
      <c r="O1403" s="2" t="s">
        <v>1386</v>
      </c>
      <c r="Q1403" s="2" t="s">
        <v>11496</v>
      </c>
      <c r="S1403" s="2" t="s">
        <v>1462</v>
      </c>
      <c r="T1403" s="2" t="s">
        <v>2730</v>
      </c>
      <c r="AO1403" s="2" t="s">
        <v>1368</v>
      </c>
    </row>
    <row r="1404" ht="15.75" customHeight="1">
      <c r="A1404" s="2" t="s">
        <v>11497</v>
      </c>
      <c r="B1404" s="2" t="s">
        <v>1781</v>
      </c>
      <c r="C1404" s="2">
        <v>2009.0</v>
      </c>
      <c r="D1404" s="2" t="s">
        <v>11498</v>
      </c>
      <c r="E1404" s="2" t="s">
        <v>11499</v>
      </c>
      <c r="J1404" s="12" t="str">
        <f>VLOOKUP(I1404,'Copy of Enriched Data - IPBES G'!$L$2:$L$229,1,false)</f>
        <v>#N/A</v>
      </c>
      <c r="M1404" s="2" t="s">
        <v>9775</v>
      </c>
      <c r="N1404" s="2" t="s">
        <v>1385</v>
      </c>
      <c r="O1404" s="2" t="s">
        <v>1386</v>
      </c>
      <c r="AC1404" s="2" t="s">
        <v>1629</v>
      </c>
      <c r="AO1404" s="2" t="s">
        <v>1368</v>
      </c>
    </row>
    <row r="1405" ht="15.75" customHeight="1">
      <c r="A1405" s="2" t="s">
        <v>11500</v>
      </c>
      <c r="B1405" s="2" t="s">
        <v>1396</v>
      </c>
      <c r="C1405" s="2">
        <v>2005.0</v>
      </c>
      <c r="D1405" s="2" t="s">
        <v>11501</v>
      </c>
      <c r="E1405" s="2" t="s">
        <v>11502</v>
      </c>
      <c r="G1405" s="2" t="s">
        <v>11503</v>
      </c>
      <c r="J1405" s="12" t="str">
        <f>VLOOKUP(I1405,'Copy of Enriched Data - IPBES G'!$L$2:$L$229,1,false)</f>
        <v>#N/A</v>
      </c>
      <c r="L1405" s="2" t="s">
        <v>11504</v>
      </c>
      <c r="M1405" s="2" t="s">
        <v>1394</v>
      </c>
      <c r="N1405" s="2" t="s">
        <v>1385</v>
      </c>
      <c r="O1405" s="2" t="s">
        <v>1386</v>
      </c>
      <c r="R1405" s="2" t="s">
        <v>11505</v>
      </c>
      <c r="AB1405" s="2" t="s">
        <v>11506</v>
      </c>
      <c r="AO1405" s="2" t="s">
        <v>1368</v>
      </c>
    </row>
    <row r="1406" ht="15.75" customHeight="1">
      <c r="A1406" s="2" t="s">
        <v>11507</v>
      </c>
      <c r="B1406" s="2" t="s">
        <v>1361</v>
      </c>
      <c r="C1406" s="2">
        <v>2012.0</v>
      </c>
      <c r="D1406" s="2" t="s">
        <v>11508</v>
      </c>
      <c r="E1406" s="2" t="s">
        <v>11509</v>
      </c>
      <c r="F1406" s="2" t="s">
        <v>1688</v>
      </c>
      <c r="H1406" s="2" t="s">
        <v>1689</v>
      </c>
      <c r="I1406" s="2" t="s">
        <v>11510</v>
      </c>
      <c r="J1406" s="12" t="str">
        <f>VLOOKUP(I1406,'Copy of Enriched Data - IPBES G'!$L$2:$L$229,1,false)</f>
        <v>#N/A</v>
      </c>
      <c r="L1406" s="2" t="s">
        <v>11511</v>
      </c>
      <c r="M1406" s="2" t="s">
        <v>1405</v>
      </c>
      <c r="N1406" s="2" t="s">
        <v>1385</v>
      </c>
      <c r="O1406" s="2" t="s">
        <v>1386</v>
      </c>
      <c r="AO1406" s="2" t="s">
        <v>1368</v>
      </c>
    </row>
    <row r="1407" ht="15.75" customHeight="1">
      <c r="A1407" s="2" t="s">
        <v>11512</v>
      </c>
      <c r="B1407" s="2" t="s">
        <v>1396</v>
      </c>
      <c r="C1407" s="2">
        <v>2012.0</v>
      </c>
      <c r="D1407" s="2" t="s">
        <v>11513</v>
      </c>
      <c r="E1407" s="2" t="s">
        <v>11514</v>
      </c>
      <c r="G1407" s="2" t="s">
        <v>11515</v>
      </c>
      <c r="J1407" s="12" t="str">
        <f>VLOOKUP(I1407,'Copy of Enriched Data - IPBES G'!$L$2:$L$229,1,false)</f>
        <v>#N/A</v>
      </c>
      <c r="L1407" s="2" t="s">
        <v>11516</v>
      </c>
      <c r="M1407" s="2" t="s">
        <v>1405</v>
      </c>
      <c r="N1407" s="2" t="s">
        <v>1385</v>
      </c>
      <c r="O1407" s="2" t="s">
        <v>1386</v>
      </c>
      <c r="R1407" s="2" t="s">
        <v>11517</v>
      </c>
      <c r="T1407" s="2" t="s">
        <v>11339</v>
      </c>
      <c r="Y1407" s="2" t="s">
        <v>11338</v>
      </c>
      <c r="AB1407" s="2" t="s">
        <v>4843</v>
      </c>
      <c r="AC1407" s="2" t="s">
        <v>1629</v>
      </c>
      <c r="AO1407" s="2" t="s">
        <v>1368</v>
      </c>
    </row>
    <row r="1408" ht="15.75" customHeight="1">
      <c r="A1408" s="2" t="s">
        <v>11518</v>
      </c>
      <c r="B1408" s="2" t="s">
        <v>1361</v>
      </c>
      <c r="C1408" s="2">
        <v>2014.0</v>
      </c>
      <c r="D1408" s="2" t="s">
        <v>11519</v>
      </c>
      <c r="E1408" s="2" t="s">
        <v>11520</v>
      </c>
      <c r="F1408" s="2" t="s">
        <v>1474</v>
      </c>
      <c r="H1408" s="2" t="s">
        <v>6401</v>
      </c>
      <c r="I1408" s="2" t="s">
        <v>11521</v>
      </c>
      <c r="J1408" s="12" t="str">
        <f>VLOOKUP(I1408,'Copy of Enriched Data - IPBES G'!$L$2:$L$229,1,false)</f>
        <v>#N/A</v>
      </c>
      <c r="M1408" s="2" t="s">
        <v>1476</v>
      </c>
      <c r="N1408" s="2" t="s">
        <v>1385</v>
      </c>
      <c r="O1408" s="2" t="s">
        <v>1386</v>
      </c>
      <c r="Q1408" s="2" t="s">
        <v>11522</v>
      </c>
      <c r="S1408" s="2" t="s">
        <v>2271</v>
      </c>
      <c r="T1408" s="2" t="s">
        <v>6736</v>
      </c>
      <c r="AO1408" s="2" t="s">
        <v>1368</v>
      </c>
    </row>
    <row r="1409" ht="15.75" customHeight="1">
      <c r="A1409" s="2" t="s">
        <v>11523</v>
      </c>
      <c r="B1409" s="2" t="s">
        <v>1396</v>
      </c>
      <c r="C1409" s="2">
        <v>2012.0</v>
      </c>
      <c r="D1409" s="2" t="s">
        <v>11524</v>
      </c>
      <c r="E1409" s="2" t="s">
        <v>645</v>
      </c>
      <c r="G1409" s="2" t="s">
        <v>1755</v>
      </c>
      <c r="J1409" s="12" t="str">
        <f>VLOOKUP(I1409,'Copy of Enriched Data - IPBES G'!$L$2:$L$229,1,false)</f>
        <v>#N/A</v>
      </c>
      <c r="L1409" s="2" t="s">
        <v>11525</v>
      </c>
      <c r="M1409" s="2" t="s">
        <v>1405</v>
      </c>
      <c r="N1409" s="2" t="s">
        <v>1385</v>
      </c>
      <c r="O1409" s="2" t="s">
        <v>1386</v>
      </c>
      <c r="AO1409" s="2" t="s">
        <v>1368</v>
      </c>
    </row>
    <row r="1410" ht="15.75" customHeight="1">
      <c r="A1410" s="2" t="s">
        <v>11526</v>
      </c>
      <c r="B1410" s="2" t="s">
        <v>1361</v>
      </c>
      <c r="C1410" s="2">
        <v>2005.0</v>
      </c>
      <c r="D1410" s="2" t="s">
        <v>11527</v>
      </c>
      <c r="E1410" s="2" t="s">
        <v>11528</v>
      </c>
      <c r="F1410" s="2" t="s">
        <v>11529</v>
      </c>
      <c r="H1410" s="2" t="s">
        <v>11530</v>
      </c>
      <c r="I1410" s="2" t="s">
        <v>11531</v>
      </c>
      <c r="J1410" s="12" t="str">
        <f>VLOOKUP(I1410,'Copy of Enriched Data - IPBES G'!$L$2:$L$229,1,false)</f>
        <v>#N/A</v>
      </c>
      <c r="L1410" s="2" t="s">
        <v>11532</v>
      </c>
      <c r="M1410" s="2" t="s">
        <v>1394</v>
      </c>
      <c r="N1410" s="2" t="s">
        <v>1385</v>
      </c>
      <c r="O1410" s="2" t="s">
        <v>1386</v>
      </c>
      <c r="AO1410" s="2" t="s">
        <v>1368</v>
      </c>
    </row>
    <row r="1411" ht="15.75" customHeight="1">
      <c r="A1411" s="2" t="s">
        <v>11533</v>
      </c>
      <c r="B1411" s="2" t="s">
        <v>1361</v>
      </c>
      <c r="C1411" s="2">
        <v>1990.0</v>
      </c>
      <c r="D1411" s="2" t="s">
        <v>11534</v>
      </c>
      <c r="E1411" s="2" t="s">
        <v>11535</v>
      </c>
      <c r="F1411" s="2" t="s">
        <v>4995</v>
      </c>
      <c r="H1411" s="2" t="s">
        <v>4996</v>
      </c>
      <c r="I1411" s="2" t="s">
        <v>11536</v>
      </c>
      <c r="J1411" s="12" t="str">
        <f>VLOOKUP(I1411,'Copy of Enriched Data - IPBES G'!$L$2:$L$229,1,false)</f>
        <v>#N/A</v>
      </c>
      <c r="M1411" s="2" t="s">
        <v>11537</v>
      </c>
      <c r="N1411" s="2" t="s">
        <v>1385</v>
      </c>
      <c r="O1411" s="2" t="s">
        <v>1386</v>
      </c>
      <c r="Q1411" s="2" t="s">
        <v>11538</v>
      </c>
      <c r="S1411" s="2" t="s">
        <v>1600</v>
      </c>
      <c r="T1411" s="2" t="s">
        <v>2840</v>
      </c>
      <c r="AO1411" s="2" t="s">
        <v>1368</v>
      </c>
    </row>
    <row r="1412" ht="15.75" customHeight="1">
      <c r="A1412" s="2" t="s">
        <v>11539</v>
      </c>
      <c r="B1412" s="2" t="s">
        <v>1766</v>
      </c>
      <c r="C1412" s="2">
        <v>2016.0</v>
      </c>
      <c r="D1412" s="2" t="s">
        <v>11540</v>
      </c>
      <c r="E1412" s="2" t="s">
        <v>11541</v>
      </c>
      <c r="F1412" s="2" t="s">
        <v>6197</v>
      </c>
      <c r="J1412" s="12" t="str">
        <f>VLOOKUP(I1412,'Copy of Enriched Data - IPBES G'!$L$2:$L$229,1,false)</f>
        <v>#N/A</v>
      </c>
      <c r="M1412" s="2" t="s">
        <v>1502</v>
      </c>
      <c r="N1412" s="2" t="s">
        <v>1385</v>
      </c>
      <c r="O1412" s="2" t="s">
        <v>1386</v>
      </c>
      <c r="Q1412" s="2" t="s">
        <v>11542</v>
      </c>
      <c r="AB1412" s="2" t="s">
        <v>6199</v>
      </c>
      <c r="AO1412" s="2" t="s">
        <v>1368</v>
      </c>
      <c r="AQ1412" s="2" t="s">
        <v>6200</v>
      </c>
    </row>
    <row r="1413" ht="15.75" customHeight="1">
      <c r="A1413" s="2" t="s">
        <v>11543</v>
      </c>
      <c r="B1413" s="2" t="s">
        <v>1361</v>
      </c>
      <c r="C1413" s="2">
        <v>1996.0</v>
      </c>
      <c r="D1413" s="2" t="s">
        <v>11544</v>
      </c>
      <c r="E1413" s="2" t="s">
        <v>11545</v>
      </c>
      <c r="F1413" s="2" t="s">
        <v>11546</v>
      </c>
      <c r="H1413" s="2" t="s">
        <v>11547</v>
      </c>
      <c r="I1413" s="2" t="s">
        <v>11548</v>
      </c>
      <c r="J1413" s="12" t="str">
        <f>VLOOKUP(I1413,'Copy of Enriched Data - IPBES G'!$L$2:$L$229,1,false)</f>
        <v>#N/A</v>
      </c>
      <c r="L1413" s="2" t="s">
        <v>11549</v>
      </c>
      <c r="M1413" s="2" t="s">
        <v>2492</v>
      </c>
      <c r="N1413" s="2" t="s">
        <v>1385</v>
      </c>
      <c r="O1413" s="2" t="s">
        <v>1386</v>
      </c>
      <c r="Q1413" s="2" t="s">
        <v>11550</v>
      </c>
      <c r="S1413" s="2" t="s">
        <v>1462</v>
      </c>
      <c r="T1413" s="2" t="s">
        <v>3349</v>
      </c>
      <c r="AO1413" s="2" t="s">
        <v>1368</v>
      </c>
    </row>
    <row r="1414" ht="15.75" customHeight="1">
      <c r="A1414" s="2" t="s">
        <v>11551</v>
      </c>
      <c r="B1414" s="2" t="s">
        <v>1361</v>
      </c>
      <c r="C1414" s="2">
        <v>2013.0</v>
      </c>
      <c r="D1414" s="2" t="s">
        <v>11552</v>
      </c>
      <c r="E1414" s="2" t="s">
        <v>11553</v>
      </c>
      <c r="F1414" s="2" t="s">
        <v>11554</v>
      </c>
      <c r="H1414" s="2" t="s">
        <v>11555</v>
      </c>
      <c r="I1414" s="2" t="s">
        <v>11556</v>
      </c>
      <c r="J1414" s="12" t="str">
        <f>VLOOKUP(I1414,'Copy of Enriched Data - IPBES G'!$L$2:$L$229,1,false)</f>
        <v>#N/A</v>
      </c>
      <c r="L1414" s="2" t="s">
        <v>11557</v>
      </c>
      <c r="M1414" s="2" t="s">
        <v>1429</v>
      </c>
      <c r="N1414" s="2" t="s">
        <v>1385</v>
      </c>
      <c r="O1414" s="2" t="s">
        <v>1386</v>
      </c>
      <c r="AO1414" s="2" t="s">
        <v>1368</v>
      </c>
    </row>
    <row r="1415" ht="15.75" customHeight="1">
      <c r="A1415" s="2" t="s">
        <v>11558</v>
      </c>
      <c r="B1415" s="2" t="s">
        <v>1361</v>
      </c>
      <c r="C1415" s="2">
        <v>2015.0</v>
      </c>
      <c r="D1415" s="2" t="s">
        <v>11559</v>
      </c>
      <c r="E1415" s="2" t="s">
        <v>11560</v>
      </c>
      <c r="F1415" s="2" t="s">
        <v>11561</v>
      </c>
      <c r="H1415" s="2" t="s">
        <v>11562</v>
      </c>
      <c r="I1415" s="2" t="s">
        <v>11563</v>
      </c>
      <c r="J1415" s="12" t="str">
        <f>VLOOKUP(I1415,'Copy of Enriched Data - IPBES G'!$L$2:$L$229,1,false)</f>
        <v>#N/A</v>
      </c>
      <c r="L1415" s="2" t="s">
        <v>11564</v>
      </c>
      <c r="M1415" s="2" t="s">
        <v>1373</v>
      </c>
      <c r="N1415" s="2" t="s">
        <v>1385</v>
      </c>
      <c r="O1415" s="2" t="s">
        <v>1386</v>
      </c>
      <c r="Q1415" s="2" t="s">
        <v>11565</v>
      </c>
      <c r="T1415" s="2" t="s">
        <v>3211</v>
      </c>
      <c r="AO1415" s="2" t="s">
        <v>1368</v>
      </c>
    </row>
    <row r="1416" ht="15.75" customHeight="1">
      <c r="A1416" s="2" t="s">
        <v>11566</v>
      </c>
      <c r="B1416" s="2" t="s">
        <v>1396</v>
      </c>
      <c r="C1416" s="2">
        <v>2005.0</v>
      </c>
      <c r="D1416" s="2" t="s">
        <v>11567</v>
      </c>
      <c r="E1416" s="2" t="s">
        <v>11568</v>
      </c>
      <c r="G1416" s="2" t="s">
        <v>11569</v>
      </c>
      <c r="J1416" s="12" t="str">
        <f>VLOOKUP(I1416,'Copy of Enriched Data - IPBES G'!$L$2:$L$229,1,false)</f>
        <v>#N/A</v>
      </c>
      <c r="L1416" s="2" t="s">
        <v>11570</v>
      </c>
      <c r="M1416" s="2" t="s">
        <v>1394</v>
      </c>
      <c r="N1416" s="2" t="s">
        <v>1385</v>
      </c>
      <c r="O1416" s="2" t="s">
        <v>1386</v>
      </c>
      <c r="AO1416" s="2" t="s">
        <v>1368</v>
      </c>
    </row>
    <row r="1417" ht="15.75" customHeight="1">
      <c r="A1417" s="2" t="s">
        <v>11571</v>
      </c>
      <c r="B1417" s="2" t="s">
        <v>1361</v>
      </c>
      <c r="C1417" s="2">
        <v>2000.0</v>
      </c>
      <c r="D1417" s="2" t="s">
        <v>11567</v>
      </c>
      <c r="E1417" s="2" t="s">
        <v>11572</v>
      </c>
      <c r="F1417" s="2" t="s">
        <v>2340</v>
      </c>
      <c r="H1417" s="2" t="s">
        <v>11573</v>
      </c>
      <c r="I1417" s="2" t="s">
        <v>11574</v>
      </c>
      <c r="J1417" s="12" t="str">
        <f>VLOOKUP(I1417,'Copy of Enriched Data - IPBES G'!$L$2:$L$229,1,false)</f>
        <v>#N/A</v>
      </c>
      <c r="L1417" s="2" t="s">
        <v>11575</v>
      </c>
      <c r="M1417" s="2" t="s">
        <v>2429</v>
      </c>
      <c r="N1417" s="2" t="s">
        <v>1385</v>
      </c>
      <c r="O1417" s="2" t="s">
        <v>1386</v>
      </c>
      <c r="AO1417" s="2" t="s">
        <v>1368</v>
      </c>
    </row>
    <row r="1418" ht="15.75" customHeight="1">
      <c r="A1418" s="2" t="s">
        <v>11580</v>
      </c>
      <c r="B1418" s="2" t="s">
        <v>1361</v>
      </c>
      <c r="C1418" s="2">
        <v>2002.0</v>
      </c>
      <c r="D1418" s="2" t="s">
        <v>11581</v>
      </c>
      <c r="E1418" s="2" t="s">
        <v>11582</v>
      </c>
      <c r="F1418" s="2" t="s">
        <v>9435</v>
      </c>
      <c r="H1418" s="2" t="s">
        <v>9436</v>
      </c>
      <c r="I1418" s="2" t="s">
        <v>11583</v>
      </c>
      <c r="J1418" s="12" t="str">
        <f>VLOOKUP(I1418,'Copy of Enriched Data - IPBES G'!$L$2:$L$229,1,false)</f>
        <v>#N/A</v>
      </c>
      <c r="M1418" s="2" t="s">
        <v>1493</v>
      </c>
      <c r="N1418" s="2" t="s">
        <v>1385</v>
      </c>
      <c r="O1418" s="2" t="s">
        <v>1386</v>
      </c>
      <c r="Q1418" s="2" t="s">
        <v>11584</v>
      </c>
      <c r="S1418" s="2" t="s">
        <v>1462</v>
      </c>
      <c r="T1418" s="2" t="s">
        <v>1443</v>
      </c>
      <c r="AO1418" s="2" t="s">
        <v>1368</v>
      </c>
    </row>
    <row r="1419" ht="15.75" customHeight="1">
      <c r="A1419" s="2" t="s">
        <v>11585</v>
      </c>
      <c r="B1419" s="2" t="s">
        <v>1623</v>
      </c>
      <c r="C1419" s="2">
        <v>2005.0</v>
      </c>
      <c r="D1419" s="2" t="s">
        <v>11586</v>
      </c>
      <c r="E1419" s="2" t="s">
        <v>11587</v>
      </c>
      <c r="J1419" s="12" t="str">
        <f>VLOOKUP(I1419,'Copy of Enriched Data - IPBES G'!$L$2:$L$229,1,false)</f>
        <v>#N/A</v>
      </c>
      <c r="M1419" s="2" t="s">
        <v>1394</v>
      </c>
      <c r="N1419" s="2" t="s">
        <v>1385</v>
      </c>
      <c r="O1419" s="2" t="s">
        <v>1386</v>
      </c>
      <c r="AO1419" s="2" t="s">
        <v>1368</v>
      </c>
    </row>
    <row r="1420" ht="15.75" customHeight="1">
      <c r="A1420" s="2" t="s">
        <v>11588</v>
      </c>
      <c r="B1420" s="2" t="s">
        <v>1361</v>
      </c>
      <c r="C1420" s="2">
        <v>2012.0</v>
      </c>
      <c r="D1420" s="2" t="s">
        <v>11589</v>
      </c>
      <c r="E1420" s="2" t="s">
        <v>11590</v>
      </c>
      <c r="F1420" s="2" t="s">
        <v>11591</v>
      </c>
      <c r="H1420" s="2" t="s">
        <v>11592</v>
      </c>
      <c r="I1420" s="2" t="s">
        <v>11593</v>
      </c>
      <c r="J1420" s="12" t="str">
        <f>VLOOKUP(I1420,'Copy of Enriched Data - IPBES G'!$L$2:$L$229,1,false)</f>
        <v>#N/A</v>
      </c>
      <c r="L1420" s="2" t="s">
        <v>11594</v>
      </c>
      <c r="M1420" s="2" t="s">
        <v>1405</v>
      </c>
      <c r="N1420" s="2" t="s">
        <v>1385</v>
      </c>
      <c r="O1420" s="2" t="s">
        <v>1386</v>
      </c>
      <c r="AO1420" s="2" t="s">
        <v>1368</v>
      </c>
    </row>
    <row r="1421" ht="15.75" customHeight="1">
      <c r="A1421" s="2" t="s">
        <v>11595</v>
      </c>
      <c r="B1421" s="2" t="s">
        <v>1361</v>
      </c>
      <c r="C1421" s="2">
        <v>2014.0</v>
      </c>
      <c r="D1421" s="2" t="s">
        <v>11596</v>
      </c>
      <c r="E1421" s="2" t="s">
        <v>11597</v>
      </c>
      <c r="F1421" s="2" t="s">
        <v>10389</v>
      </c>
      <c r="H1421" s="2" t="s">
        <v>11598</v>
      </c>
      <c r="I1421" s="2" t="s">
        <v>11599</v>
      </c>
      <c r="J1421" s="12" t="str">
        <f>VLOOKUP(I1421,'Copy of Enriched Data - IPBES G'!$L$2:$L$229,1,false)</f>
        <v>#N/A</v>
      </c>
      <c r="L1421" s="2" t="s">
        <v>11600</v>
      </c>
      <c r="M1421" s="2" t="s">
        <v>1476</v>
      </c>
      <c r="N1421" s="2" t="s">
        <v>1385</v>
      </c>
      <c r="O1421" s="2" t="s">
        <v>1386</v>
      </c>
      <c r="AO1421" s="2" t="s">
        <v>1368</v>
      </c>
    </row>
    <row r="1422" ht="15.75" customHeight="1">
      <c r="A1422" s="2" t="s">
        <v>11601</v>
      </c>
      <c r="B1422" s="2" t="s">
        <v>1361</v>
      </c>
      <c r="C1422" s="2">
        <v>2012.0</v>
      </c>
      <c r="D1422" s="2" t="s">
        <v>11602</v>
      </c>
      <c r="E1422" s="2" t="s">
        <v>11603</v>
      </c>
      <c r="F1422" s="2" t="s">
        <v>2340</v>
      </c>
      <c r="H1422" s="2" t="s">
        <v>2341</v>
      </c>
      <c r="I1422" s="2" t="s">
        <v>11604</v>
      </c>
      <c r="J1422" s="12" t="str">
        <f>VLOOKUP(I1422,'Copy of Enriched Data - IPBES G'!$L$2:$L$229,1,false)</f>
        <v>#N/A</v>
      </c>
      <c r="L1422" s="2" t="s">
        <v>11605</v>
      </c>
      <c r="M1422" s="2" t="s">
        <v>1405</v>
      </c>
      <c r="N1422" s="2" t="s">
        <v>1385</v>
      </c>
      <c r="O1422" s="2" t="s">
        <v>1386</v>
      </c>
      <c r="AO1422" s="2" t="s">
        <v>1368</v>
      </c>
    </row>
    <row r="1423" ht="15.75" customHeight="1">
      <c r="A1423" s="2" t="s">
        <v>11606</v>
      </c>
      <c r="B1423" s="2" t="s">
        <v>1361</v>
      </c>
      <c r="C1423" s="2">
        <v>2008.0</v>
      </c>
      <c r="D1423" s="2" t="s">
        <v>11607</v>
      </c>
      <c r="E1423" s="2" t="s">
        <v>11608</v>
      </c>
      <c r="J1423" s="12" t="str">
        <f>VLOOKUP(I1423,'Copy of Enriched Data - IPBES G'!$L$2:$L$229,1,false)</f>
        <v>#N/A</v>
      </c>
      <c r="M1423" s="2" t="s">
        <v>1458</v>
      </c>
      <c r="N1423" s="2" t="s">
        <v>1385</v>
      </c>
      <c r="O1423" s="2" t="s">
        <v>1386</v>
      </c>
      <c r="Q1423" s="2" t="s">
        <v>11609</v>
      </c>
      <c r="S1423" s="2" t="s">
        <v>3628</v>
      </c>
      <c r="T1423" s="2" t="s">
        <v>3528</v>
      </c>
      <c r="AO1423" s="2" t="s">
        <v>1368</v>
      </c>
    </row>
    <row r="1424" ht="15.75" customHeight="1">
      <c r="A1424" s="2" t="s">
        <v>11610</v>
      </c>
      <c r="B1424" s="2" t="s">
        <v>1361</v>
      </c>
      <c r="C1424" s="2">
        <v>2012.0</v>
      </c>
      <c r="D1424" s="2" t="s">
        <v>11611</v>
      </c>
      <c r="E1424" s="2" t="s">
        <v>11612</v>
      </c>
      <c r="F1424" s="2" t="s">
        <v>3201</v>
      </c>
      <c r="H1424" s="2" t="s">
        <v>3202</v>
      </c>
      <c r="I1424" s="2" t="s">
        <v>11613</v>
      </c>
      <c r="J1424" s="12" t="str">
        <f>VLOOKUP(I1424,'Copy of Enriched Data - IPBES G'!$L$2:$L$229,1,false)</f>
        <v>#N/A</v>
      </c>
      <c r="L1424" s="2" t="s">
        <v>11614</v>
      </c>
      <c r="M1424" s="2" t="s">
        <v>1405</v>
      </c>
      <c r="N1424" s="2" t="s">
        <v>1385</v>
      </c>
      <c r="O1424" s="2" t="s">
        <v>1386</v>
      </c>
      <c r="AO1424" s="2" t="s">
        <v>1368</v>
      </c>
    </row>
    <row r="1425" ht="15.75" customHeight="1">
      <c r="A1425" s="2" t="s">
        <v>11615</v>
      </c>
      <c r="B1425" s="2" t="s">
        <v>1766</v>
      </c>
      <c r="C1425" s="2">
        <v>2010.0</v>
      </c>
      <c r="D1425" s="2" t="s">
        <v>11616</v>
      </c>
      <c r="E1425" s="2" t="s">
        <v>11617</v>
      </c>
      <c r="F1425" s="2" t="s">
        <v>11618</v>
      </c>
      <c r="G1425" s="2" t="s">
        <v>11619</v>
      </c>
      <c r="J1425" s="12" t="str">
        <f>VLOOKUP(I1425,'Copy of Enriched Data - IPBES G'!$L$2:$L$229,1,false)</f>
        <v>#N/A</v>
      </c>
      <c r="L1425" s="2" t="s">
        <v>11620</v>
      </c>
      <c r="M1425" s="2" t="s">
        <v>1449</v>
      </c>
      <c r="N1425" s="2" t="s">
        <v>1385</v>
      </c>
      <c r="O1425" s="2" t="s">
        <v>1386</v>
      </c>
      <c r="Q1425" s="2" t="s">
        <v>11621</v>
      </c>
      <c r="AB1425" s="2" t="s">
        <v>6967</v>
      </c>
      <c r="AO1425" s="2" t="s">
        <v>1368</v>
      </c>
      <c r="AQ1425" s="2" t="s">
        <v>11622</v>
      </c>
    </row>
    <row r="1426" ht="15.75" customHeight="1">
      <c r="A1426" s="2" t="s">
        <v>11623</v>
      </c>
      <c r="B1426" s="2" t="s">
        <v>1361</v>
      </c>
      <c r="C1426" s="2">
        <v>2010.0</v>
      </c>
      <c r="D1426" s="2" t="s">
        <v>11624</v>
      </c>
      <c r="E1426" s="2" t="s">
        <v>11625</v>
      </c>
      <c r="F1426" s="2" t="s">
        <v>11626</v>
      </c>
      <c r="H1426" s="2" t="s">
        <v>11627</v>
      </c>
      <c r="I1426" s="2" t="s">
        <v>11628</v>
      </c>
      <c r="J1426" s="12" t="str">
        <f>VLOOKUP(I1426,'Copy of Enriched Data - IPBES G'!$L$2:$L$229,1,false)</f>
        <v>#N/A</v>
      </c>
      <c r="L1426" s="2" t="s">
        <v>11629</v>
      </c>
      <c r="M1426" s="2" t="s">
        <v>11630</v>
      </c>
      <c r="N1426" s="2" t="s">
        <v>1385</v>
      </c>
      <c r="O1426" s="2" t="s">
        <v>1386</v>
      </c>
      <c r="Q1426" s="2" t="s">
        <v>11631</v>
      </c>
      <c r="S1426" s="2" t="s">
        <v>1506</v>
      </c>
      <c r="T1426" s="2" t="s">
        <v>1620</v>
      </c>
      <c r="AO1426" s="2" t="s">
        <v>1368</v>
      </c>
    </row>
    <row r="1427" ht="15.75" customHeight="1">
      <c r="A1427" s="2" t="s">
        <v>11632</v>
      </c>
      <c r="B1427" s="2" t="s">
        <v>1361</v>
      </c>
      <c r="C1427" s="2">
        <v>2013.0</v>
      </c>
      <c r="D1427" s="2" t="s">
        <v>11633</v>
      </c>
      <c r="E1427" s="2" t="s">
        <v>11634</v>
      </c>
      <c r="F1427" s="2" t="s">
        <v>2205</v>
      </c>
      <c r="H1427" s="2" t="s">
        <v>2206</v>
      </c>
      <c r="I1427" s="2" t="s">
        <v>11635</v>
      </c>
      <c r="J1427" s="12" t="str">
        <f>VLOOKUP(I1427,'Copy of Enriched Data - IPBES G'!$L$2:$L$229,1,false)</f>
        <v>#N/A</v>
      </c>
      <c r="L1427" s="2" t="s">
        <v>11636</v>
      </c>
      <c r="M1427" s="2" t="s">
        <v>1429</v>
      </c>
      <c r="N1427" s="2" t="s">
        <v>1385</v>
      </c>
      <c r="O1427" s="2" t="s">
        <v>1386</v>
      </c>
      <c r="AO1427" s="2" t="s">
        <v>1368</v>
      </c>
    </row>
    <row r="1428" ht="15.75" customHeight="1">
      <c r="A1428" s="2" t="s">
        <v>11637</v>
      </c>
      <c r="B1428" s="2" t="s">
        <v>1781</v>
      </c>
      <c r="C1428" s="2">
        <v>2014.0</v>
      </c>
      <c r="D1428" s="2" t="s">
        <v>11638</v>
      </c>
      <c r="E1428" s="2" t="s">
        <v>11639</v>
      </c>
      <c r="J1428" s="12" t="str">
        <f>VLOOKUP(I1428,'Copy of Enriched Data - IPBES G'!$L$2:$L$229,1,false)</f>
        <v>#N/A</v>
      </c>
      <c r="M1428" s="2" t="s">
        <v>1476</v>
      </c>
      <c r="N1428" s="2" t="s">
        <v>1385</v>
      </c>
      <c r="O1428" s="2" t="s">
        <v>1386</v>
      </c>
      <c r="AO1428" s="2" t="s">
        <v>1368</v>
      </c>
    </row>
    <row r="1429" ht="15.75" customHeight="1">
      <c r="A1429" s="2" t="s">
        <v>11640</v>
      </c>
      <c r="B1429" s="2" t="s">
        <v>1361</v>
      </c>
      <c r="C1429" s="2">
        <v>2016.0</v>
      </c>
      <c r="D1429" s="2" t="s">
        <v>11641</v>
      </c>
      <c r="E1429" s="2" t="s">
        <v>11642</v>
      </c>
      <c r="F1429" s="2" t="s">
        <v>3256</v>
      </c>
      <c r="I1429" s="2" t="s">
        <v>11643</v>
      </c>
      <c r="J1429" s="12" t="str">
        <f>VLOOKUP(I1429,'Copy of Enriched Data - IPBES G'!$L$2:$L$229,1,false)</f>
        <v>#N/A</v>
      </c>
      <c r="M1429" s="2" t="s">
        <v>1502</v>
      </c>
      <c r="N1429" s="2" t="s">
        <v>1385</v>
      </c>
      <c r="O1429" s="2" t="s">
        <v>1386</v>
      </c>
      <c r="Q1429" s="2" t="s">
        <v>11644</v>
      </c>
      <c r="T1429" s="2" t="s">
        <v>2840</v>
      </c>
      <c r="AO1429" s="2" t="s">
        <v>1368</v>
      </c>
    </row>
    <row r="1430" ht="15.75" customHeight="1">
      <c r="A1430" s="2" t="s">
        <v>11645</v>
      </c>
      <c r="B1430" s="2" t="s">
        <v>1361</v>
      </c>
      <c r="C1430" s="2">
        <v>2012.0</v>
      </c>
      <c r="D1430" s="2" t="s">
        <v>11646</v>
      </c>
      <c r="E1430" s="2" t="s">
        <v>11647</v>
      </c>
      <c r="F1430" s="2" t="s">
        <v>4086</v>
      </c>
      <c r="H1430" s="2" t="s">
        <v>7313</v>
      </c>
      <c r="I1430" s="2" t="s">
        <v>11648</v>
      </c>
      <c r="J1430" s="12" t="str">
        <f>VLOOKUP(I1430,'Copy of Enriched Data - IPBES G'!$L$2:$L$229,1,false)</f>
        <v>#N/A</v>
      </c>
      <c r="L1430" s="2" t="s">
        <v>11649</v>
      </c>
      <c r="M1430" s="2" t="s">
        <v>1405</v>
      </c>
      <c r="N1430" s="2" t="s">
        <v>1385</v>
      </c>
      <c r="O1430" s="2" t="s">
        <v>1386</v>
      </c>
      <c r="AO1430" s="2" t="s">
        <v>1368</v>
      </c>
    </row>
    <row r="1431" ht="15.75" customHeight="1">
      <c r="A1431" s="2" t="s">
        <v>11650</v>
      </c>
      <c r="B1431" s="2" t="s">
        <v>1361</v>
      </c>
      <c r="C1431" s="2">
        <v>2009.0</v>
      </c>
      <c r="D1431" s="2" t="s">
        <v>11651</v>
      </c>
      <c r="E1431" s="2" t="s">
        <v>11652</v>
      </c>
      <c r="F1431" s="2" t="s">
        <v>1484</v>
      </c>
      <c r="H1431" s="2" t="s">
        <v>3119</v>
      </c>
      <c r="I1431" s="2" t="s">
        <v>11653</v>
      </c>
      <c r="J1431" s="12" t="str">
        <f>VLOOKUP(I1431,'Copy of Enriched Data - IPBES G'!$L$2:$L$229,1,false)</f>
        <v>#N/A</v>
      </c>
      <c r="L1431" s="2" t="s">
        <v>11654</v>
      </c>
      <c r="M1431" s="2" t="s">
        <v>1364</v>
      </c>
      <c r="N1431" s="2" t="s">
        <v>1385</v>
      </c>
      <c r="O1431" s="2" t="s">
        <v>1386</v>
      </c>
      <c r="AO1431" s="2" t="s">
        <v>1368</v>
      </c>
    </row>
    <row r="1432" ht="15.75" customHeight="1">
      <c r="A1432" s="2" t="s">
        <v>11655</v>
      </c>
      <c r="B1432" s="2" t="s">
        <v>1361</v>
      </c>
      <c r="C1432" s="2">
        <v>2011.0</v>
      </c>
      <c r="D1432" s="2" t="s">
        <v>11656</v>
      </c>
      <c r="E1432" s="2" t="s">
        <v>11657</v>
      </c>
      <c r="F1432" s="2" t="s">
        <v>10389</v>
      </c>
      <c r="H1432" s="2" t="s">
        <v>11658</v>
      </c>
      <c r="I1432" s="2" t="s">
        <v>11659</v>
      </c>
      <c r="J1432" s="12" t="str">
        <f>VLOOKUP(I1432,'Copy of Enriched Data - IPBES G'!$L$2:$L$229,1,false)</f>
        <v>#N/A</v>
      </c>
      <c r="M1432" s="2" t="s">
        <v>3107</v>
      </c>
      <c r="N1432" s="2" t="s">
        <v>1385</v>
      </c>
      <c r="O1432" s="2" t="s">
        <v>1386</v>
      </c>
      <c r="Q1432" s="2" t="s">
        <v>11660</v>
      </c>
      <c r="S1432" s="2" t="s">
        <v>1600</v>
      </c>
      <c r="T1432" s="2" t="s">
        <v>3391</v>
      </c>
      <c r="AO1432" s="2" t="s">
        <v>1368</v>
      </c>
    </row>
    <row r="1433" ht="15.75" customHeight="1">
      <c r="A1433" s="2" t="s">
        <v>11661</v>
      </c>
      <c r="B1433" s="2" t="s">
        <v>1361</v>
      </c>
      <c r="C1433" s="2">
        <v>2009.0</v>
      </c>
      <c r="D1433" s="2" t="s">
        <v>11662</v>
      </c>
      <c r="E1433" s="2" t="s">
        <v>11663</v>
      </c>
      <c r="F1433" s="2" t="s">
        <v>1876</v>
      </c>
      <c r="H1433" s="2" t="s">
        <v>6702</v>
      </c>
      <c r="I1433" s="2" t="s">
        <v>11664</v>
      </c>
      <c r="J1433" s="12" t="str">
        <f>VLOOKUP(I1433,'Copy of Enriched Data - IPBES G'!$L$2:$L$229,1,false)</f>
        <v>#N/A</v>
      </c>
      <c r="L1433" s="2" t="s">
        <v>11665</v>
      </c>
      <c r="M1433" s="2" t="s">
        <v>1364</v>
      </c>
      <c r="N1433" s="2" t="s">
        <v>1385</v>
      </c>
      <c r="O1433" s="2" t="s">
        <v>1386</v>
      </c>
      <c r="AO1433" s="2" t="s">
        <v>1368</v>
      </c>
    </row>
    <row r="1434" ht="15.75" customHeight="1">
      <c r="A1434" s="2" t="s">
        <v>11670</v>
      </c>
      <c r="B1434" s="2" t="s">
        <v>1781</v>
      </c>
      <c r="C1434" s="2">
        <v>2003.0</v>
      </c>
      <c r="D1434" s="2" t="s">
        <v>11671</v>
      </c>
      <c r="E1434" s="2" t="s">
        <v>11672</v>
      </c>
      <c r="J1434" s="12" t="str">
        <f>VLOOKUP(I1434,'Copy of Enriched Data - IPBES G'!$L$2:$L$229,1,false)</f>
        <v>#N/A</v>
      </c>
      <c r="M1434" s="2" t="s">
        <v>1606</v>
      </c>
      <c r="N1434" s="2" t="s">
        <v>1385</v>
      </c>
      <c r="O1434" s="2" t="s">
        <v>1386</v>
      </c>
      <c r="AO1434" s="2" t="s">
        <v>1368</v>
      </c>
    </row>
    <row r="1435" ht="15.75" customHeight="1">
      <c r="A1435" s="2" t="s">
        <v>11673</v>
      </c>
      <c r="B1435" s="2" t="s">
        <v>1361</v>
      </c>
      <c r="C1435" s="2">
        <v>2005.0</v>
      </c>
      <c r="D1435" s="2" t="s">
        <v>11674</v>
      </c>
      <c r="E1435" s="2" t="s">
        <v>11675</v>
      </c>
      <c r="F1435" s="2" t="s">
        <v>11676</v>
      </c>
      <c r="H1435" s="2" t="s">
        <v>11677</v>
      </c>
      <c r="I1435" s="2" t="s">
        <v>11678</v>
      </c>
      <c r="J1435" s="12" t="str">
        <f>VLOOKUP(I1435,'Copy of Enriched Data - IPBES G'!$L$2:$L$229,1,false)</f>
        <v>#N/A</v>
      </c>
      <c r="M1435" s="2" t="s">
        <v>11679</v>
      </c>
      <c r="N1435" s="2" t="s">
        <v>1385</v>
      </c>
      <c r="O1435" s="2" t="s">
        <v>1386</v>
      </c>
      <c r="Q1435" s="2" t="s">
        <v>11680</v>
      </c>
      <c r="S1435" s="2" t="s">
        <v>1506</v>
      </c>
      <c r="T1435" s="2" t="s">
        <v>6310</v>
      </c>
      <c r="AO1435" s="2" t="s">
        <v>1368</v>
      </c>
    </row>
    <row r="1436" ht="15.75" customHeight="1">
      <c r="A1436" s="2" t="s">
        <v>11685</v>
      </c>
      <c r="B1436" s="2" t="s">
        <v>1781</v>
      </c>
      <c r="C1436" s="2">
        <v>2016.0</v>
      </c>
      <c r="D1436" s="2" t="s">
        <v>11686</v>
      </c>
      <c r="E1436" s="2" t="s">
        <v>11687</v>
      </c>
      <c r="J1436" s="12" t="str">
        <f>VLOOKUP(I1436,'Copy of Enriched Data - IPBES G'!$L$2:$L$229,1,false)</f>
        <v>#N/A</v>
      </c>
      <c r="M1436" s="2" t="s">
        <v>1502</v>
      </c>
      <c r="N1436" s="2" t="s">
        <v>1385</v>
      </c>
      <c r="O1436" s="2" t="s">
        <v>1386</v>
      </c>
      <c r="AC1436" s="2" t="s">
        <v>11688</v>
      </c>
      <c r="AO1436" s="2" t="s">
        <v>1368</v>
      </c>
    </row>
    <row r="1437" ht="15.75" customHeight="1">
      <c r="A1437" s="2" t="s">
        <v>11689</v>
      </c>
      <c r="B1437" s="2" t="s">
        <v>1361</v>
      </c>
      <c r="C1437" s="2">
        <v>2010.0</v>
      </c>
      <c r="D1437" s="2" t="s">
        <v>11690</v>
      </c>
      <c r="E1437" s="2" t="s">
        <v>11691</v>
      </c>
      <c r="F1437" s="2" t="s">
        <v>2665</v>
      </c>
      <c r="I1437" s="2" t="s">
        <v>11692</v>
      </c>
      <c r="J1437" s="12" t="str">
        <f>VLOOKUP(I1437,'Copy of Enriched Data - IPBES G'!$L$2:$L$229,1,false)</f>
        <v>#N/A</v>
      </c>
      <c r="M1437" s="2" t="s">
        <v>1449</v>
      </c>
      <c r="N1437" s="2" t="s">
        <v>11693</v>
      </c>
      <c r="O1437" s="2" t="s">
        <v>11694</v>
      </c>
      <c r="Q1437" s="2" t="s">
        <v>11695</v>
      </c>
      <c r="S1437" s="2" t="s">
        <v>1462</v>
      </c>
      <c r="T1437" s="2">
        <v>38.0</v>
      </c>
      <c r="AO1437" s="2" t="s">
        <v>1368</v>
      </c>
    </row>
    <row r="1438" ht="15.75" customHeight="1">
      <c r="A1438" s="2" t="s">
        <v>11696</v>
      </c>
      <c r="B1438" s="2" t="s">
        <v>1361</v>
      </c>
      <c r="C1438" s="2">
        <v>2002.0</v>
      </c>
      <c r="D1438" s="2" t="s">
        <v>11697</v>
      </c>
      <c r="E1438" s="2" t="s">
        <v>11698</v>
      </c>
      <c r="F1438" s="2" t="s">
        <v>11699</v>
      </c>
      <c r="I1438" s="2" t="s">
        <v>11700</v>
      </c>
      <c r="J1438" s="12" t="str">
        <f>VLOOKUP(I1438,'Copy of Enriched Data - IPBES G'!$L$2:$L$229,1,false)</f>
        <v>#N/A</v>
      </c>
      <c r="M1438" s="2" t="s">
        <v>1493</v>
      </c>
      <c r="N1438" s="2" t="s">
        <v>11701</v>
      </c>
      <c r="O1438" s="2" t="s">
        <v>11702</v>
      </c>
      <c r="Q1438" s="2" t="s">
        <v>11703</v>
      </c>
      <c r="S1438" s="2" t="s">
        <v>1453</v>
      </c>
      <c r="T1438" s="2">
        <v>24.0</v>
      </c>
      <c r="AO1438" s="2" t="s">
        <v>1368</v>
      </c>
    </row>
    <row r="1439" ht="15.75" customHeight="1">
      <c r="A1439" s="2" t="s">
        <v>11704</v>
      </c>
      <c r="B1439" s="2" t="s">
        <v>1361</v>
      </c>
      <c r="C1439" s="2">
        <v>2007.0</v>
      </c>
      <c r="D1439" s="2" t="s">
        <v>11705</v>
      </c>
      <c r="E1439" s="2" t="s">
        <v>11706</v>
      </c>
      <c r="F1439" s="2" t="s">
        <v>11707</v>
      </c>
      <c r="I1439" s="2" t="s">
        <v>11708</v>
      </c>
      <c r="J1439" s="12" t="str">
        <f>VLOOKUP(I1439,'Copy of Enriched Data - IPBES G'!$L$2:$L$229,1,false)</f>
        <v>#N/A</v>
      </c>
      <c r="M1439" s="2" t="s">
        <v>2380</v>
      </c>
      <c r="N1439" s="2" t="s">
        <v>10152</v>
      </c>
      <c r="O1439" s="2" t="s">
        <v>10153</v>
      </c>
      <c r="Q1439" s="2" t="s">
        <v>11709</v>
      </c>
      <c r="S1439" s="2" t="s">
        <v>1453</v>
      </c>
      <c r="T1439" s="2">
        <v>113.0</v>
      </c>
      <c r="AO1439" s="2" t="s">
        <v>1368</v>
      </c>
    </row>
    <row r="1440" ht="15.75" customHeight="1">
      <c r="A1440" s="2" t="s">
        <v>11710</v>
      </c>
      <c r="B1440" s="2" t="s">
        <v>1361</v>
      </c>
      <c r="C1440" s="2">
        <v>2018.0</v>
      </c>
      <c r="D1440" s="2" t="s">
        <v>11711</v>
      </c>
      <c r="E1440" s="2" t="s">
        <v>11712</v>
      </c>
      <c r="F1440" s="2" t="s">
        <v>11713</v>
      </c>
      <c r="H1440" s="2" t="s">
        <v>11714</v>
      </c>
      <c r="I1440" s="2" t="s">
        <v>11715</v>
      </c>
      <c r="J1440" s="12" t="str">
        <f>VLOOKUP(I1440,'Copy of Enriched Data - IPBES G'!$L$2:$L$229,1,false)</f>
        <v>#N/A</v>
      </c>
      <c r="K1440" s="2" t="s">
        <v>11716</v>
      </c>
      <c r="M1440" s="2" t="s">
        <v>11717</v>
      </c>
      <c r="N1440" s="2" t="s">
        <v>11718</v>
      </c>
      <c r="O1440" s="2" t="s">
        <v>11719</v>
      </c>
      <c r="P1440" s="2" t="s">
        <v>11720</v>
      </c>
      <c r="Q1440" s="2" t="s">
        <v>11721</v>
      </c>
      <c r="S1440" s="2" t="s">
        <v>1462</v>
      </c>
      <c r="T1440" s="2">
        <v>14.0</v>
      </c>
      <c r="V1440" s="2" t="s">
        <v>11713</v>
      </c>
      <c r="AD1440" s="2" t="s">
        <v>1540</v>
      </c>
      <c r="AI1440" s="2" t="s">
        <v>1541</v>
      </c>
      <c r="AO1440" s="2" t="s">
        <v>1885</v>
      </c>
    </row>
    <row r="1441" ht="15.75" customHeight="1">
      <c r="A1441" s="2" t="s">
        <v>11722</v>
      </c>
      <c r="B1441" s="2" t="s">
        <v>1361</v>
      </c>
      <c r="C1441" s="2">
        <v>2014.0</v>
      </c>
      <c r="D1441" s="2" t="s">
        <v>11723</v>
      </c>
      <c r="E1441" s="2" t="s">
        <v>11724</v>
      </c>
      <c r="F1441" s="2" t="s">
        <v>6306</v>
      </c>
      <c r="H1441" s="2" t="s">
        <v>6307</v>
      </c>
      <c r="I1441" s="2" t="s">
        <v>11725</v>
      </c>
      <c r="J1441" s="12" t="str">
        <f>VLOOKUP(I1441,'Copy of Enriched Data - IPBES G'!$L$2:$L$229,1,false)</f>
        <v>#N/A</v>
      </c>
      <c r="L1441" s="2" t="s">
        <v>11726</v>
      </c>
      <c r="M1441" s="2" t="s">
        <v>1476</v>
      </c>
      <c r="N1441" s="2" t="s">
        <v>1385</v>
      </c>
      <c r="O1441" s="2" t="s">
        <v>1386</v>
      </c>
      <c r="AO1441" s="2" t="s">
        <v>1368</v>
      </c>
    </row>
    <row r="1442" ht="15.75" customHeight="1">
      <c r="A1442" s="2" t="s">
        <v>11727</v>
      </c>
      <c r="B1442" s="2" t="s">
        <v>1361</v>
      </c>
      <c r="C1442" s="2">
        <v>2003.0</v>
      </c>
      <c r="D1442" s="2" t="s">
        <v>11728</v>
      </c>
      <c r="E1442" s="2" t="s">
        <v>11729</v>
      </c>
      <c r="F1442" s="2" t="s">
        <v>5418</v>
      </c>
      <c r="H1442" s="2" t="s">
        <v>11730</v>
      </c>
      <c r="I1442" s="2" t="s">
        <v>11731</v>
      </c>
      <c r="J1442" s="12" t="str">
        <f>VLOOKUP(I1442,'Copy of Enriched Data - IPBES G'!$L$2:$L$229,1,false)</f>
        <v>#N/A</v>
      </c>
      <c r="M1442" s="2" t="s">
        <v>1606</v>
      </c>
      <c r="N1442" s="2" t="s">
        <v>1385</v>
      </c>
      <c r="O1442" s="2" t="s">
        <v>1386</v>
      </c>
      <c r="Q1442" s="2" t="s">
        <v>11732</v>
      </c>
      <c r="S1442" s="2" t="s">
        <v>5460</v>
      </c>
      <c r="T1442" s="2">
        <v>111.0</v>
      </c>
      <c r="AO1442" s="2" t="s">
        <v>1368</v>
      </c>
    </row>
    <row r="1443" ht="15.75" customHeight="1">
      <c r="A1443" s="2" t="s">
        <v>11733</v>
      </c>
      <c r="B1443" s="2" t="s">
        <v>1361</v>
      </c>
      <c r="C1443" s="2">
        <v>2003.0</v>
      </c>
      <c r="D1443" s="2" t="s">
        <v>11734</v>
      </c>
      <c r="E1443" s="2" t="s">
        <v>11735</v>
      </c>
      <c r="F1443" s="2" t="s">
        <v>11736</v>
      </c>
      <c r="H1443" s="2" t="s">
        <v>11737</v>
      </c>
      <c r="I1443" s="2" t="s">
        <v>11738</v>
      </c>
      <c r="J1443" s="12" t="str">
        <f>VLOOKUP(I1443,'Copy of Enriched Data - IPBES G'!$L$2:$L$229,1,false)</f>
        <v>#N/A</v>
      </c>
      <c r="L1443" s="2" t="s">
        <v>11739</v>
      </c>
      <c r="M1443" s="2" t="s">
        <v>1606</v>
      </c>
      <c r="N1443" s="2" t="s">
        <v>1385</v>
      </c>
      <c r="O1443" s="2" t="s">
        <v>1386</v>
      </c>
      <c r="AO1443" s="2" t="s">
        <v>1368</v>
      </c>
    </row>
    <row r="1444" ht="15.75" customHeight="1">
      <c r="A1444" s="2" t="s">
        <v>11740</v>
      </c>
      <c r="B1444" s="2" t="s">
        <v>2615</v>
      </c>
      <c r="C1444" s="2">
        <v>2006.0</v>
      </c>
      <c r="D1444" s="2" t="s">
        <v>11741</v>
      </c>
      <c r="E1444" s="2" t="s">
        <v>11742</v>
      </c>
      <c r="F1444" s="2" t="s">
        <v>1474</v>
      </c>
      <c r="G1444" s="2">
        <v>28282.0</v>
      </c>
      <c r="I1444" s="2" t="s">
        <v>11743</v>
      </c>
      <c r="J1444" s="12" t="str">
        <f>VLOOKUP(I1444,'Copy of Enriched Data - IPBES G'!$L$2:$L$229,1,false)</f>
        <v>#N/A</v>
      </c>
      <c r="L1444" s="2" t="s">
        <v>11744</v>
      </c>
      <c r="M1444" s="2" t="s">
        <v>1727</v>
      </c>
      <c r="N1444" s="2" t="s">
        <v>1385</v>
      </c>
      <c r="O1444" s="2" t="s">
        <v>1386</v>
      </c>
      <c r="AO1444" s="2" t="s">
        <v>1368</v>
      </c>
    </row>
    <row r="1445" ht="15.75" customHeight="1">
      <c r="A1445" s="2" t="s">
        <v>11745</v>
      </c>
      <c r="B1445" s="2" t="s">
        <v>1361</v>
      </c>
      <c r="C1445" s="2">
        <v>2014.0</v>
      </c>
      <c r="D1445" s="2" t="s">
        <v>11723</v>
      </c>
      <c r="E1445" s="2" t="s">
        <v>11746</v>
      </c>
      <c r="F1445" s="2" t="s">
        <v>3256</v>
      </c>
      <c r="H1445" s="2" t="s">
        <v>11747</v>
      </c>
      <c r="I1445" s="2" t="s">
        <v>11748</v>
      </c>
      <c r="J1445" s="12" t="str">
        <f>VLOOKUP(I1445,'Copy of Enriched Data - IPBES G'!$L$2:$L$229,1,false)</f>
        <v>#N/A</v>
      </c>
      <c r="L1445" s="2" t="s">
        <v>11749</v>
      </c>
      <c r="M1445" s="2" t="s">
        <v>1476</v>
      </c>
      <c r="N1445" s="2" t="s">
        <v>1385</v>
      </c>
      <c r="O1445" s="2" t="s">
        <v>1386</v>
      </c>
      <c r="AO1445" s="2" t="s">
        <v>1368</v>
      </c>
    </row>
    <row r="1446" ht="15.75" customHeight="1">
      <c r="A1446" s="2" t="s">
        <v>11750</v>
      </c>
      <c r="B1446" s="2" t="s">
        <v>1781</v>
      </c>
      <c r="C1446" s="2">
        <v>2015.0</v>
      </c>
      <c r="D1446" s="2" t="s">
        <v>11751</v>
      </c>
      <c r="E1446" s="2" t="s">
        <v>11752</v>
      </c>
      <c r="J1446" s="12" t="str">
        <f>VLOOKUP(I1446,'Copy of Enriched Data - IPBES G'!$L$2:$L$229,1,false)</f>
        <v>#N/A</v>
      </c>
      <c r="L1446" s="2" t="s">
        <v>11753</v>
      </c>
      <c r="M1446" s="2" t="s">
        <v>1373</v>
      </c>
      <c r="N1446" s="2" t="s">
        <v>1385</v>
      </c>
      <c r="O1446" s="2" t="s">
        <v>1386</v>
      </c>
      <c r="AO1446" s="2" t="s">
        <v>1368</v>
      </c>
    </row>
    <row r="1447" ht="15.75" customHeight="1">
      <c r="A1447" s="2" t="s">
        <v>11754</v>
      </c>
      <c r="B1447" s="2" t="s">
        <v>1361</v>
      </c>
      <c r="C1447" s="2">
        <v>2008.0</v>
      </c>
      <c r="D1447" s="2" t="s">
        <v>11755</v>
      </c>
      <c r="E1447" s="2" t="s">
        <v>11756</v>
      </c>
      <c r="F1447" s="2" t="s">
        <v>1760</v>
      </c>
      <c r="I1447" s="2" t="s">
        <v>11757</v>
      </c>
      <c r="J1447" s="12" t="str">
        <f>VLOOKUP(I1447,'Copy of Enriched Data - IPBES G'!$L$2:$L$229,1,false)</f>
        <v>#N/A</v>
      </c>
      <c r="M1447" s="2" t="s">
        <v>1458</v>
      </c>
      <c r="N1447" s="2" t="s">
        <v>11758</v>
      </c>
      <c r="O1447" s="2" t="s">
        <v>11759</v>
      </c>
      <c r="Q1447" s="2" t="s">
        <v>11760</v>
      </c>
      <c r="S1447" s="2">
        <v>4.0</v>
      </c>
      <c r="T1447" s="2">
        <v>65.0</v>
      </c>
      <c r="AO1447" s="2" t="s">
        <v>1368</v>
      </c>
    </row>
    <row r="1448" ht="15.75" customHeight="1">
      <c r="A1448" s="2" t="s">
        <v>11761</v>
      </c>
      <c r="B1448" s="2" t="s">
        <v>1361</v>
      </c>
      <c r="C1448" s="2">
        <v>2018.0</v>
      </c>
      <c r="D1448" s="2" t="s">
        <v>11762</v>
      </c>
      <c r="E1448" s="2" t="s">
        <v>11763</v>
      </c>
      <c r="F1448" s="2" t="s">
        <v>2641</v>
      </c>
      <c r="I1448" s="2" t="s">
        <v>11764</v>
      </c>
      <c r="J1448" s="12" t="str">
        <f>VLOOKUP(I1448,'Copy of Enriched Data - IPBES G'!$L$2:$L$229,1,false)</f>
        <v>#N/A</v>
      </c>
      <c r="M1448" s="2" t="s">
        <v>1420</v>
      </c>
      <c r="N1448" s="2" t="s">
        <v>11765</v>
      </c>
      <c r="O1448" s="2" t="s">
        <v>11766</v>
      </c>
      <c r="Q1448" s="2" t="s">
        <v>11767</v>
      </c>
      <c r="S1448" s="2">
        <v>3.0</v>
      </c>
      <c r="T1448" s="2">
        <v>13.0</v>
      </c>
      <c r="AO1448" s="2" t="s">
        <v>1368</v>
      </c>
    </row>
    <row r="1449" ht="15.75" customHeight="1">
      <c r="A1449" s="2" t="s">
        <v>11768</v>
      </c>
      <c r="B1449" s="2" t="s">
        <v>1361</v>
      </c>
      <c r="C1449" s="2">
        <v>2010.0</v>
      </c>
      <c r="D1449" s="2" t="s">
        <v>11769</v>
      </c>
      <c r="E1449" s="2" t="s">
        <v>11770</v>
      </c>
      <c r="F1449" s="2" t="s">
        <v>11771</v>
      </c>
      <c r="J1449" s="12" t="str">
        <f>VLOOKUP(I1449,'Copy of Enriched Data - IPBES G'!$L$2:$L$229,1,false)</f>
        <v>#N/A</v>
      </c>
      <c r="M1449" s="2" t="s">
        <v>1449</v>
      </c>
      <c r="N1449" s="2" t="s">
        <v>11772</v>
      </c>
      <c r="O1449" s="2" t="s">
        <v>11773</v>
      </c>
      <c r="Q1449" s="2" t="s">
        <v>11774</v>
      </c>
      <c r="S1449" s="2">
        <v>3.0</v>
      </c>
      <c r="T1449" s="2">
        <v>19.0</v>
      </c>
      <c r="AO1449" s="2" t="s">
        <v>1368</v>
      </c>
    </row>
    <row r="1450" ht="15.75" customHeight="1">
      <c r="A1450" s="2" t="s">
        <v>11775</v>
      </c>
      <c r="B1450" s="2" t="s">
        <v>1361</v>
      </c>
      <c r="C1450" s="2">
        <v>2013.0</v>
      </c>
      <c r="D1450" s="2" t="s">
        <v>11776</v>
      </c>
      <c r="E1450" s="2" t="s">
        <v>11777</v>
      </c>
      <c r="F1450" s="2" t="s">
        <v>11778</v>
      </c>
      <c r="I1450" s="2" t="s">
        <v>11779</v>
      </c>
      <c r="J1450" s="12" t="str">
        <f>VLOOKUP(I1450,'Copy of Enriched Data - IPBES G'!$L$2:$L$229,1,false)</f>
        <v>#N/A</v>
      </c>
      <c r="M1450" s="2" t="s">
        <v>1429</v>
      </c>
      <c r="N1450" s="2" t="s">
        <v>10642</v>
      </c>
      <c r="O1450" s="2" t="s">
        <v>10643</v>
      </c>
      <c r="Q1450" s="2" t="s">
        <v>11780</v>
      </c>
      <c r="T1450" s="2">
        <v>85.0</v>
      </c>
      <c r="AO1450" s="2" t="s">
        <v>1368</v>
      </c>
    </row>
    <row r="1451" ht="15.75" customHeight="1">
      <c r="A1451" s="2" t="s">
        <v>11781</v>
      </c>
      <c r="B1451" s="2" t="s">
        <v>1361</v>
      </c>
      <c r="C1451" s="2">
        <v>2012.0</v>
      </c>
      <c r="D1451" s="2" t="s">
        <v>11782</v>
      </c>
      <c r="E1451" s="2" t="s">
        <v>11783</v>
      </c>
      <c r="F1451" s="2" t="s">
        <v>5837</v>
      </c>
      <c r="I1451" s="2" t="s">
        <v>11784</v>
      </c>
      <c r="J1451" s="12" t="str">
        <f>VLOOKUP(I1451,'Copy of Enriched Data - IPBES G'!$L$2:$L$229,1,false)</f>
        <v>#N/A</v>
      </c>
      <c r="M1451" s="2" t="s">
        <v>1405</v>
      </c>
      <c r="N1451" s="2" t="s">
        <v>11785</v>
      </c>
      <c r="O1451" s="2" t="s">
        <v>11786</v>
      </c>
      <c r="Q1451" s="2" t="s">
        <v>11787</v>
      </c>
      <c r="S1451" s="2">
        <v>3.0</v>
      </c>
      <c r="T1451" s="2">
        <v>74.0</v>
      </c>
      <c r="AO1451" s="2" t="s">
        <v>1368</v>
      </c>
    </row>
    <row r="1452" ht="15.75" customHeight="1">
      <c r="A1452" s="2" t="s">
        <v>11788</v>
      </c>
      <c r="B1452" s="2" t="s">
        <v>1361</v>
      </c>
      <c r="C1452" s="2">
        <v>1978.0</v>
      </c>
      <c r="D1452" s="2" t="s">
        <v>11789</v>
      </c>
      <c r="E1452" s="2" t="s">
        <v>11790</v>
      </c>
      <c r="F1452" s="2" t="s">
        <v>11791</v>
      </c>
      <c r="I1452" s="2" t="s">
        <v>11792</v>
      </c>
      <c r="J1452" s="12" t="str">
        <f>VLOOKUP(I1452,'Copy of Enriched Data - IPBES G'!$L$2:$L$229,1,false)</f>
        <v>#N/A</v>
      </c>
      <c r="M1452" s="2" t="s">
        <v>5472</v>
      </c>
      <c r="N1452" s="2" t="s">
        <v>11793</v>
      </c>
      <c r="O1452" s="2" t="s">
        <v>11794</v>
      </c>
      <c r="Q1452" s="2" t="s">
        <v>11795</v>
      </c>
      <c r="S1452" s="2">
        <v>4.0</v>
      </c>
      <c r="T1452" s="2">
        <v>9.0</v>
      </c>
      <c r="AO1452" s="2" t="s">
        <v>1368</v>
      </c>
    </row>
    <row r="1453" ht="15.75" customHeight="1">
      <c r="A1453" s="2" t="s">
        <v>11796</v>
      </c>
      <c r="B1453" s="2" t="s">
        <v>1361</v>
      </c>
      <c r="C1453" s="2">
        <v>2014.0</v>
      </c>
      <c r="D1453" s="2" t="s">
        <v>11797</v>
      </c>
      <c r="E1453" s="2" t="s">
        <v>11798</v>
      </c>
      <c r="F1453" s="2" t="s">
        <v>3295</v>
      </c>
      <c r="I1453" s="2" t="s">
        <v>11799</v>
      </c>
      <c r="J1453" s="12" t="str">
        <f>VLOOKUP(I1453,'Copy of Enriched Data - IPBES G'!$L$2:$L$229,1,false)</f>
        <v>#N/A</v>
      </c>
      <c r="M1453" s="2" t="s">
        <v>1476</v>
      </c>
      <c r="N1453" s="2" t="s">
        <v>11800</v>
      </c>
      <c r="O1453" s="2" t="s">
        <v>11801</v>
      </c>
      <c r="Q1453" s="2" t="s">
        <v>11802</v>
      </c>
      <c r="S1453" s="2">
        <v>3.0</v>
      </c>
      <c r="T1453" s="2">
        <v>7.0</v>
      </c>
      <c r="AO1453" s="2" t="s">
        <v>1368</v>
      </c>
    </row>
    <row r="1454" ht="15.75" customHeight="1">
      <c r="A1454" s="2" t="s">
        <v>11803</v>
      </c>
      <c r="B1454" s="2" t="s">
        <v>1361</v>
      </c>
      <c r="C1454" s="2">
        <v>2005.0</v>
      </c>
      <c r="D1454" s="2" t="s">
        <v>11804</v>
      </c>
      <c r="E1454" s="2" t="s">
        <v>11805</v>
      </c>
      <c r="F1454" s="2" t="s">
        <v>11806</v>
      </c>
      <c r="J1454" s="12" t="str">
        <f>VLOOKUP(I1454,'Copy of Enriched Data - IPBES G'!$L$2:$L$229,1,false)</f>
        <v>#N/A</v>
      </c>
      <c r="M1454" s="2" t="s">
        <v>1394</v>
      </c>
      <c r="N1454" s="2" t="s">
        <v>11807</v>
      </c>
      <c r="O1454" s="2" t="s">
        <v>11808</v>
      </c>
      <c r="Q1454" s="2" t="s">
        <v>11809</v>
      </c>
      <c r="AO1454" s="2" t="s">
        <v>1368</v>
      </c>
    </row>
    <row r="1455" ht="15.75" customHeight="1">
      <c r="A1455" s="2" t="s">
        <v>11810</v>
      </c>
      <c r="B1455" s="2" t="s">
        <v>1361</v>
      </c>
      <c r="C1455" s="2">
        <v>2009.0</v>
      </c>
      <c r="D1455" s="2" t="s">
        <v>11811</v>
      </c>
      <c r="E1455" s="2" t="s">
        <v>11812</v>
      </c>
      <c r="F1455" s="2" t="s">
        <v>11813</v>
      </c>
      <c r="H1455" s="2" t="s">
        <v>11814</v>
      </c>
      <c r="J1455" s="12" t="str">
        <f>VLOOKUP(I1455,'Copy of Enriched Data - IPBES G'!$L$2:$L$229,1,false)</f>
        <v>#N/A</v>
      </c>
      <c r="L1455" s="2" t="s">
        <v>11815</v>
      </c>
      <c r="M1455" s="2" t="s">
        <v>1364</v>
      </c>
      <c r="N1455" s="2" t="s">
        <v>11816</v>
      </c>
      <c r="O1455" s="2" t="s">
        <v>11817</v>
      </c>
      <c r="AO1455" s="2" t="s">
        <v>1368</v>
      </c>
    </row>
    <row r="1456" ht="15.75" customHeight="1">
      <c r="A1456" s="2" t="s">
        <v>11818</v>
      </c>
      <c r="B1456" s="2" t="s">
        <v>1361</v>
      </c>
      <c r="C1456" s="2">
        <v>2013.0</v>
      </c>
      <c r="D1456" s="2" t="s">
        <v>11819</v>
      </c>
      <c r="E1456" s="2" t="s">
        <v>11820</v>
      </c>
      <c r="F1456" s="2" t="s">
        <v>4205</v>
      </c>
      <c r="I1456" s="2" t="s">
        <v>11821</v>
      </c>
      <c r="J1456" s="12" t="str">
        <f>VLOOKUP(I1456,'Copy of Enriched Data - IPBES G'!$L$2:$L$229,1,false)</f>
        <v>#N/A</v>
      </c>
      <c r="M1456" s="2" t="s">
        <v>1429</v>
      </c>
      <c r="N1456" s="2" t="s">
        <v>11822</v>
      </c>
      <c r="O1456" s="2" t="s">
        <v>11823</v>
      </c>
      <c r="Q1456" s="2" t="s">
        <v>11824</v>
      </c>
      <c r="T1456" s="2">
        <v>125.0</v>
      </c>
      <c r="AO1456" s="2" t="s">
        <v>1368</v>
      </c>
    </row>
    <row r="1457" ht="15.75" customHeight="1">
      <c r="A1457" s="2" t="s">
        <v>11825</v>
      </c>
      <c r="B1457" s="2" t="s">
        <v>1361</v>
      </c>
      <c r="C1457" s="2">
        <v>1999.0</v>
      </c>
      <c r="D1457" s="2" t="s">
        <v>11826</v>
      </c>
      <c r="E1457" s="2" t="s">
        <v>11827</v>
      </c>
      <c r="F1457" s="2" t="s">
        <v>2665</v>
      </c>
      <c r="I1457" s="2" t="s">
        <v>11828</v>
      </c>
      <c r="J1457" s="12" t="str">
        <f>VLOOKUP(I1457,'Copy of Enriched Data - IPBES G'!$L$2:$L$229,1,false)</f>
        <v>#N/A</v>
      </c>
      <c r="M1457" s="2" t="s">
        <v>1434</v>
      </c>
      <c r="N1457" s="2" t="s">
        <v>11829</v>
      </c>
      <c r="O1457" s="2" t="s">
        <v>11830</v>
      </c>
      <c r="Q1457" s="2" t="s">
        <v>11831</v>
      </c>
      <c r="S1457" s="2">
        <v>2.0</v>
      </c>
      <c r="T1457" s="2">
        <v>27.0</v>
      </c>
      <c r="AO1457" s="2" t="s">
        <v>1368</v>
      </c>
    </row>
    <row r="1458" ht="15.75" customHeight="1">
      <c r="A1458" s="2" t="s">
        <v>11832</v>
      </c>
      <c r="B1458" s="2" t="s">
        <v>1361</v>
      </c>
      <c r="C1458" s="2">
        <v>2013.0</v>
      </c>
      <c r="D1458" s="2" t="s">
        <v>11833</v>
      </c>
      <c r="E1458" s="2" t="s">
        <v>11834</v>
      </c>
      <c r="F1458" s="2" t="s">
        <v>11835</v>
      </c>
      <c r="I1458" s="2" t="s">
        <v>11836</v>
      </c>
      <c r="J1458" s="12" t="str">
        <f>VLOOKUP(I1458,'Copy of Enriched Data - IPBES G'!$L$2:$L$229,1,false)</f>
        <v>#N/A</v>
      </c>
      <c r="M1458" s="2" t="s">
        <v>1429</v>
      </c>
      <c r="N1458" s="2" t="s">
        <v>11837</v>
      </c>
      <c r="O1458" s="2" t="s">
        <v>11838</v>
      </c>
      <c r="Q1458" s="2" t="s">
        <v>11839</v>
      </c>
      <c r="S1458" s="2">
        <v>5.0</v>
      </c>
      <c r="T1458" s="2">
        <v>41.0</v>
      </c>
      <c r="AO1458" s="2" t="s">
        <v>1368</v>
      </c>
    </row>
    <row r="1459" ht="15.75" customHeight="1">
      <c r="A1459" s="2" t="s">
        <v>11840</v>
      </c>
      <c r="B1459" s="2" t="s">
        <v>1361</v>
      </c>
      <c r="C1459" s="2">
        <v>1957.0</v>
      </c>
      <c r="D1459" s="2" t="s">
        <v>11841</v>
      </c>
      <c r="E1459" s="2" t="s">
        <v>11842</v>
      </c>
      <c r="F1459" s="2" t="s">
        <v>2003</v>
      </c>
      <c r="I1459" s="2" t="s">
        <v>11843</v>
      </c>
      <c r="J1459" s="12" t="str">
        <f>VLOOKUP(I1459,'Copy of Enriched Data - IPBES G'!$L$2:$L$229,1,false)</f>
        <v>#N/A</v>
      </c>
      <c r="M1459" s="2" t="s">
        <v>11844</v>
      </c>
      <c r="N1459" s="2" t="s">
        <v>11845</v>
      </c>
      <c r="O1459" s="2" t="s">
        <v>11846</v>
      </c>
      <c r="Q1459" s="2" t="s">
        <v>11847</v>
      </c>
      <c r="S1459" s="2">
        <v>2.0</v>
      </c>
      <c r="T1459" s="2">
        <v>65.0</v>
      </c>
      <c r="AO1459" s="2" t="s">
        <v>1368</v>
      </c>
    </row>
    <row r="1460" ht="15.75" customHeight="1">
      <c r="A1460" s="2" t="s">
        <v>11853</v>
      </c>
      <c r="B1460" s="2" t="s">
        <v>2615</v>
      </c>
      <c r="C1460" s="2">
        <v>2006.0</v>
      </c>
      <c r="D1460" s="2" t="s">
        <v>11854</v>
      </c>
      <c r="E1460" s="2" t="s">
        <v>11855</v>
      </c>
      <c r="F1460" s="2" t="s">
        <v>11856</v>
      </c>
      <c r="J1460" s="12" t="str">
        <f>VLOOKUP(I1460,'Copy of Enriched Data - IPBES G'!$L$2:$L$229,1,false)</f>
        <v>#N/A</v>
      </c>
      <c r="M1460" s="2" t="s">
        <v>1727</v>
      </c>
      <c r="N1460" s="2" t="s">
        <v>11857</v>
      </c>
      <c r="O1460" s="2" t="s">
        <v>11858</v>
      </c>
      <c r="AO1460" s="2" t="s">
        <v>1368</v>
      </c>
    </row>
    <row r="1461" ht="15.75" customHeight="1">
      <c r="A1461" s="2" t="s">
        <v>11859</v>
      </c>
      <c r="B1461" s="2" t="s">
        <v>1361</v>
      </c>
      <c r="C1461" s="2">
        <v>2006.0</v>
      </c>
      <c r="D1461" s="2" t="s">
        <v>11860</v>
      </c>
      <c r="E1461" s="2" t="s">
        <v>11861</v>
      </c>
      <c r="F1461" s="2" t="s">
        <v>5806</v>
      </c>
      <c r="I1461" s="2" t="s">
        <v>11862</v>
      </c>
      <c r="J1461" s="12" t="str">
        <f>VLOOKUP(I1461,'Copy of Enriched Data - IPBES G'!$L$2:$L$229,1,false)</f>
        <v>#N/A</v>
      </c>
      <c r="M1461" s="2" t="s">
        <v>1727</v>
      </c>
      <c r="N1461" s="2" t="s">
        <v>11863</v>
      </c>
      <c r="O1461" s="2" t="s">
        <v>11864</v>
      </c>
      <c r="Q1461" s="2" t="s">
        <v>11865</v>
      </c>
      <c r="S1461" s="2">
        <v>5.0</v>
      </c>
      <c r="T1461" s="2">
        <v>15.0</v>
      </c>
      <c r="AO1461" s="2" t="s">
        <v>1368</v>
      </c>
    </row>
    <row r="1462" ht="15.75" customHeight="1">
      <c r="A1462" s="2" t="s">
        <v>11866</v>
      </c>
      <c r="B1462" s="2" t="s">
        <v>1623</v>
      </c>
      <c r="C1462" s="2">
        <v>2009.0</v>
      </c>
      <c r="D1462" s="2" t="s">
        <v>11867</v>
      </c>
      <c r="E1462" s="2" t="s">
        <v>11868</v>
      </c>
      <c r="J1462" s="12" t="str">
        <f>VLOOKUP(I1462,'Copy of Enriched Data - IPBES G'!$L$2:$L$229,1,false)</f>
        <v>#N/A</v>
      </c>
      <c r="K1462" s="2" t="s">
        <v>11869</v>
      </c>
      <c r="M1462" s="2" t="s">
        <v>1364</v>
      </c>
      <c r="N1462" s="2" t="s">
        <v>11870</v>
      </c>
      <c r="O1462" s="2" t="s">
        <v>11871</v>
      </c>
      <c r="Q1462" s="2" t="s">
        <v>11872</v>
      </c>
      <c r="AB1462" s="2" t="s">
        <v>11873</v>
      </c>
      <c r="AD1462" s="2" t="s">
        <v>1540</v>
      </c>
      <c r="AO1462" s="2" t="s">
        <v>11874</v>
      </c>
    </row>
    <row r="1463" ht="15.75" customHeight="1">
      <c r="A1463" s="2" t="s">
        <v>11875</v>
      </c>
      <c r="B1463" s="2" t="s">
        <v>1361</v>
      </c>
      <c r="C1463" s="2">
        <v>2009.0</v>
      </c>
      <c r="D1463" s="2" t="s">
        <v>11876</v>
      </c>
      <c r="E1463" s="2" t="s">
        <v>11877</v>
      </c>
      <c r="F1463" s="2" t="s">
        <v>4205</v>
      </c>
      <c r="H1463" s="2" t="s">
        <v>4206</v>
      </c>
      <c r="I1463" s="2" t="s">
        <v>11878</v>
      </c>
      <c r="J1463" s="12" t="str">
        <f>VLOOKUP(I1463,'Copy of Enriched Data - IPBES G'!$L$2:$L$229,1,false)</f>
        <v>#N/A</v>
      </c>
      <c r="K1463" s="2" t="s">
        <v>11879</v>
      </c>
      <c r="M1463" s="2" t="s">
        <v>9775</v>
      </c>
      <c r="N1463" s="2" t="s">
        <v>11880</v>
      </c>
      <c r="O1463" s="2" t="s">
        <v>11881</v>
      </c>
      <c r="P1463" s="2" t="s">
        <v>11882</v>
      </c>
      <c r="Q1463" s="2" t="s">
        <v>11883</v>
      </c>
      <c r="S1463" s="2">
        <v>2.0</v>
      </c>
      <c r="T1463" s="2">
        <v>90.0</v>
      </c>
      <c r="V1463" s="2" t="s">
        <v>4205</v>
      </c>
      <c r="W1463" s="2" t="s">
        <v>11884</v>
      </c>
      <c r="AD1463" s="2" t="s">
        <v>1540</v>
      </c>
      <c r="AI1463" s="2" t="s">
        <v>1541</v>
      </c>
      <c r="AO1463" s="2" t="s">
        <v>1872</v>
      </c>
    </row>
    <row r="1464" ht="15.75" customHeight="1">
      <c r="A1464" s="2" t="s">
        <v>11885</v>
      </c>
      <c r="B1464" s="2" t="s">
        <v>1361</v>
      </c>
      <c r="C1464" s="2">
        <v>2014.0</v>
      </c>
      <c r="D1464" s="2" t="s">
        <v>11886</v>
      </c>
      <c r="E1464" s="2" t="s">
        <v>11887</v>
      </c>
      <c r="F1464" s="2" t="s">
        <v>6641</v>
      </c>
      <c r="H1464" s="2" t="s">
        <v>7825</v>
      </c>
      <c r="I1464" s="2" t="s">
        <v>11888</v>
      </c>
      <c r="J1464" s="12" t="str">
        <f>VLOOKUP(I1464,'Copy of Enriched Data - IPBES G'!$L$2:$L$229,1,false)</f>
        <v>#N/A</v>
      </c>
      <c r="K1464" s="2" t="s">
        <v>11889</v>
      </c>
      <c r="M1464" s="2" t="s">
        <v>10788</v>
      </c>
      <c r="N1464" s="2" t="s">
        <v>11890</v>
      </c>
      <c r="O1464" s="2" t="s">
        <v>11891</v>
      </c>
      <c r="P1464" s="2" t="s">
        <v>11892</v>
      </c>
      <c r="Q1464" s="2" t="s">
        <v>11893</v>
      </c>
      <c r="S1464" s="2">
        <v>4.0</v>
      </c>
      <c r="T1464" s="2">
        <v>51.0</v>
      </c>
      <c r="V1464" s="2" t="s">
        <v>11894</v>
      </c>
      <c r="AD1464" s="2" t="s">
        <v>1540</v>
      </c>
      <c r="AI1464" s="2" t="s">
        <v>1541</v>
      </c>
      <c r="AO1464" s="2" t="s">
        <v>1885</v>
      </c>
      <c r="AQ1464" s="2" t="s">
        <v>11895</v>
      </c>
    </row>
    <row r="1465" ht="15.75" customHeight="1">
      <c r="A1465" s="2" t="s">
        <v>11904</v>
      </c>
      <c r="B1465" s="2" t="s">
        <v>1361</v>
      </c>
      <c r="C1465" s="2">
        <v>2003.0</v>
      </c>
      <c r="D1465" s="2" t="s">
        <v>11905</v>
      </c>
      <c r="E1465" s="2" t="s">
        <v>11906</v>
      </c>
      <c r="F1465" s="2" t="s">
        <v>1510</v>
      </c>
      <c r="H1465" s="2" t="s">
        <v>1546</v>
      </c>
      <c r="I1465" s="2" t="s">
        <v>11907</v>
      </c>
      <c r="J1465" s="12" t="str">
        <f>VLOOKUP(I1465,'Copy of Enriched Data - IPBES G'!$L$2:$L$229,1,false)</f>
        <v>#N/A</v>
      </c>
      <c r="K1465" s="2" t="s">
        <v>11908</v>
      </c>
      <c r="L1465" s="2" t="s">
        <v>11909</v>
      </c>
      <c r="M1465" s="2" t="s">
        <v>11910</v>
      </c>
      <c r="N1465" s="2" t="s">
        <v>11911</v>
      </c>
      <c r="O1465" s="2" t="s">
        <v>11912</v>
      </c>
      <c r="P1465" s="2" t="s">
        <v>11913</v>
      </c>
      <c r="Q1465" s="2" t="s">
        <v>11914</v>
      </c>
      <c r="S1465" s="2">
        <v>5652.0</v>
      </c>
      <c r="T1465" s="2">
        <v>302.0</v>
      </c>
      <c r="V1465" s="2" t="s">
        <v>1510</v>
      </c>
      <c r="AD1465" s="2" t="s">
        <v>1540</v>
      </c>
      <c r="AI1465" s="2" t="s">
        <v>1541</v>
      </c>
      <c r="AO1465" s="2" t="s">
        <v>1872</v>
      </c>
    </row>
    <row r="1466" ht="15.75" customHeight="1">
      <c r="A1466" s="2" t="s">
        <v>11915</v>
      </c>
      <c r="B1466" s="2" t="s">
        <v>1361</v>
      </c>
      <c r="C1466" s="2">
        <v>2009.0</v>
      </c>
      <c r="D1466" s="2" t="s">
        <v>11916</v>
      </c>
      <c r="E1466" s="2" t="s">
        <v>11917</v>
      </c>
      <c r="F1466" s="2" t="s">
        <v>1980</v>
      </c>
      <c r="H1466" s="2" t="s">
        <v>7716</v>
      </c>
      <c r="I1466" s="2" t="s">
        <v>11918</v>
      </c>
      <c r="J1466" s="12" t="str">
        <f>VLOOKUP(I1466,'Copy of Enriched Data - IPBES G'!$L$2:$L$229,1,false)</f>
        <v>#N/A</v>
      </c>
      <c r="K1466" s="2" t="s">
        <v>11919</v>
      </c>
      <c r="M1466" s="2" t="s">
        <v>2290</v>
      </c>
      <c r="N1466" s="2" t="s">
        <v>11920</v>
      </c>
      <c r="O1466" s="2" t="s">
        <v>11921</v>
      </c>
      <c r="P1466" s="2" t="s">
        <v>11922</v>
      </c>
      <c r="Q1466" s="2" t="s">
        <v>11923</v>
      </c>
      <c r="S1466" s="2">
        <v>3.0</v>
      </c>
      <c r="T1466" s="2">
        <v>40.0</v>
      </c>
      <c r="V1466" s="2" t="s">
        <v>1980</v>
      </c>
      <c r="W1466" s="2" t="s">
        <v>11924</v>
      </c>
      <c r="AD1466" s="2" t="s">
        <v>1540</v>
      </c>
      <c r="AI1466" s="2" t="s">
        <v>1541</v>
      </c>
      <c r="AO1466" s="2" t="s">
        <v>1872</v>
      </c>
    </row>
    <row r="1467" ht="15.75" customHeight="1">
      <c r="A1467" s="2" t="s">
        <v>11925</v>
      </c>
      <c r="B1467" s="2" t="s">
        <v>1361</v>
      </c>
      <c r="C1467" s="2">
        <v>2015.0</v>
      </c>
      <c r="D1467" s="2" t="s">
        <v>11926</v>
      </c>
      <c r="E1467" s="2" t="s">
        <v>11927</v>
      </c>
      <c r="F1467" s="2" t="s">
        <v>5970</v>
      </c>
      <c r="H1467" s="2" t="s">
        <v>3742</v>
      </c>
      <c r="I1467" s="2" t="s">
        <v>11928</v>
      </c>
      <c r="J1467" s="12" t="str">
        <f>VLOOKUP(I1467,'Copy of Enriched Data - IPBES G'!$L$2:$L$229,1,false)</f>
        <v>#N/A</v>
      </c>
      <c r="K1467" s="2" t="s">
        <v>11929</v>
      </c>
      <c r="M1467" s="2" t="s">
        <v>5974</v>
      </c>
      <c r="N1467" s="2" t="s">
        <v>1562</v>
      </c>
      <c r="O1467" s="2" t="s">
        <v>1563</v>
      </c>
      <c r="Q1467" s="2" t="s">
        <v>11930</v>
      </c>
      <c r="S1467" s="2">
        <v>1.0</v>
      </c>
      <c r="T1467" s="2">
        <v>13.0</v>
      </c>
      <c r="AO1467" s="2" t="s">
        <v>2188</v>
      </c>
    </row>
    <row r="1468" ht="15.75" customHeight="1">
      <c r="A1468" s="2" t="s">
        <v>11931</v>
      </c>
      <c r="B1468" s="2" t="s">
        <v>1361</v>
      </c>
      <c r="C1468" s="2">
        <v>2018.0</v>
      </c>
      <c r="D1468" s="2" t="s">
        <v>11932</v>
      </c>
      <c r="E1468" s="2" t="s">
        <v>11933</v>
      </c>
      <c r="F1468" s="2" t="s">
        <v>1760</v>
      </c>
      <c r="H1468" s="2" t="s">
        <v>1761</v>
      </c>
      <c r="I1468" s="2" t="s">
        <v>11934</v>
      </c>
      <c r="J1468" s="12" t="str">
        <f>VLOOKUP(I1468,'Copy of Enriched Data - IPBES G'!$L$2:$L$229,1,false)</f>
        <v>#N/A</v>
      </c>
      <c r="K1468" s="2" t="s">
        <v>11935</v>
      </c>
      <c r="M1468" s="2" t="s">
        <v>2909</v>
      </c>
      <c r="N1468" s="2" t="s">
        <v>1385</v>
      </c>
      <c r="O1468" s="2" t="s">
        <v>1386</v>
      </c>
      <c r="P1468" s="2" t="s">
        <v>11936</v>
      </c>
      <c r="Q1468" s="2" t="s">
        <v>9879</v>
      </c>
      <c r="T1468" s="2">
        <v>149.0</v>
      </c>
      <c r="V1468" s="2" t="s">
        <v>1760</v>
      </c>
      <c r="AD1468" s="2" t="s">
        <v>1540</v>
      </c>
      <c r="AI1468" s="2" t="s">
        <v>1541</v>
      </c>
      <c r="AO1468" s="2" t="s">
        <v>1885</v>
      </c>
    </row>
    <row r="1469" ht="15.75" customHeight="1">
      <c r="A1469" s="2" t="s">
        <v>11937</v>
      </c>
      <c r="B1469" s="2" t="s">
        <v>1623</v>
      </c>
      <c r="C1469" s="2">
        <v>2013.0</v>
      </c>
      <c r="D1469" s="2" t="s">
        <v>11938</v>
      </c>
      <c r="E1469" s="2" t="s">
        <v>11939</v>
      </c>
      <c r="J1469" s="12" t="str">
        <f>VLOOKUP(I1469,'Copy of Enriched Data - IPBES G'!$L$2:$L$229,1,false)</f>
        <v>#N/A</v>
      </c>
      <c r="M1469" s="2" t="s">
        <v>1429</v>
      </c>
      <c r="N1469" s="2" t="s">
        <v>1385</v>
      </c>
      <c r="O1469" s="2" t="s">
        <v>1386</v>
      </c>
      <c r="AB1469" s="2" t="s">
        <v>11938</v>
      </c>
      <c r="AC1469" s="2" t="s">
        <v>11940</v>
      </c>
      <c r="AO1469" s="2" t="s">
        <v>1368</v>
      </c>
    </row>
    <row r="1470" ht="15.75" customHeight="1">
      <c r="A1470" s="2" t="s">
        <v>11941</v>
      </c>
      <c r="B1470" s="2" t="s">
        <v>1396</v>
      </c>
      <c r="C1470" s="2">
        <v>2014.0</v>
      </c>
      <c r="D1470" s="2" t="s">
        <v>11942</v>
      </c>
      <c r="E1470" s="2" t="s">
        <v>11943</v>
      </c>
      <c r="G1470" s="2" t="s">
        <v>11944</v>
      </c>
      <c r="J1470" s="12" t="str">
        <f>VLOOKUP(I1470,'Copy of Enriched Data - IPBES G'!$L$2:$L$229,1,false)</f>
        <v>#N/A</v>
      </c>
      <c r="L1470" s="2" t="s">
        <v>11945</v>
      </c>
      <c r="M1470" s="2" t="s">
        <v>1476</v>
      </c>
      <c r="N1470" s="2" t="s">
        <v>1385</v>
      </c>
      <c r="O1470" s="2" t="s">
        <v>1386</v>
      </c>
      <c r="R1470" s="2">
        <v>4.0</v>
      </c>
      <c r="AB1470" s="2" t="s">
        <v>11946</v>
      </c>
      <c r="AC1470" s="2" t="s">
        <v>11947</v>
      </c>
      <c r="AO1470" s="2" t="s">
        <v>1368</v>
      </c>
    </row>
    <row r="1471" ht="15.75" customHeight="1">
      <c r="A1471" s="2" t="s">
        <v>11948</v>
      </c>
      <c r="B1471" s="2" t="s">
        <v>1623</v>
      </c>
      <c r="C1471" s="2">
        <v>2014.0</v>
      </c>
      <c r="D1471" s="2" t="s">
        <v>11949</v>
      </c>
      <c r="E1471" s="2" t="s">
        <v>11950</v>
      </c>
      <c r="J1471" s="12" t="str">
        <f>VLOOKUP(I1471,'Copy of Enriched Data - IPBES G'!$L$2:$L$229,1,false)</f>
        <v>#N/A</v>
      </c>
      <c r="K1471" s="2" t="s">
        <v>11951</v>
      </c>
      <c r="M1471" s="2" t="s">
        <v>1476</v>
      </c>
      <c r="N1471" s="2" t="s">
        <v>1385</v>
      </c>
      <c r="O1471" s="2" t="s">
        <v>1386</v>
      </c>
      <c r="AB1471" s="2" t="s">
        <v>11952</v>
      </c>
      <c r="AC1471" s="2" t="s">
        <v>11947</v>
      </c>
      <c r="AO1471" s="2" t="s">
        <v>1368</v>
      </c>
    </row>
    <row r="1472" ht="15.75" customHeight="1">
      <c r="A1472" s="2" t="s">
        <v>11959</v>
      </c>
      <c r="B1472" s="2" t="s">
        <v>1361</v>
      </c>
      <c r="C1472" s="2">
        <v>2010.0</v>
      </c>
      <c r="D1472" s="2" t="s">
        <v>11960</v>
      </c>
      <c r="E1472" s="2" t="s">
        <v>11961</v>
      </c>
      <c r="F1472" s="2" t="s">
        <v>11962</v>
      </c>
      <c r="H1472" s="2" t="s">
        <v>11963</v>
      </c>
      <c r="I1472" s="2" t="s">
        <v>11964</v>
      </c>
      <c r="J1472" s="12" t="str">
        <f>VLOOKUP(I1472,'Copy of Enriched Data - IPBES G'!$L$2:$L$229,1,false)</f>
        <v>#N/A</v>
      </c>
      <c r="K1472" s="2" t="s">
        <v>11965</v>
      </c>
      <c r="L1472" s="2" t="s">
        <v>11966</v>
      </c>
      <c r="M1472" s="2" t="s">
        <v>11967</v>
      </c>
      <c r="N1472" s="2" t="s">
        <v>1385</v>
      </c>
      <c r="O1472" s="2" t="s">
        <v>1386</v>
      </c>
      <c r="P1472" s="2" t="s">
        <v>6796</v>
      </c>
      <c r="Q1472" s="2" t="s">
        <v>11968</v>
      </c>
      <c r="S1472" s="2">
        <v>4.0</v>
      </c>
      <c r="T1472" s="2">
        <v>23.0</v>
      </c>
      <c r="V1472" s="2" t="s">
        <v>11962</v>
      </c>
      <c r="AO1472" s="2" t="s">
        <v>1368</v>
      </c>
    </row>
    <row r="1473" ht="15.75" customHeight="1">
      <c r="A1473" s="2" t="s">
        <v>11969</v>
      </c>
      <c r="B1473" s="2" t="s">
        <v>1396</v>
      </c>
      <c r="C1473" s="2">
        <v>2007.0</v>
      </c>
      <c r="D1473" s="2" t="s">
        <v>11970</v>
      </c>
      <c r="E1473" s="2" t="s">
        <v>11971</v>
      </c>
      <c r="G1473" s="2" t="s">
        <v>11972</v>
      </c>
      <c r="J1473" s="12" t="str">
        <f>VLOOKUP(I1473,'Copy of Enriched Data - IPBES G'!$L$2:$L$229,1,false)</f>
        <v>#N/A</v>
      </c>
      <c r="L1473" s="2" t="s">
        <v>11973</v>
      </c>
      <c r="M1473" s="2" t="s">
        <v>2380</v>
      </c>
      <c r="N1473" s="2" t="s">
        <v>1385</v>
      </c>
      <c r="O1473" s="2" t="s">
        <v>1386</v>
      </c>
      <c r="AB1473" s="2" t="s">
        <v>11974</v>
      </c>
      <c r="AC1473" s="2" t="s">
        <v>11975</v>
      </c>
      <c r="AO1473" s="2" t="s">
        <v>1368</v>
      </c>
    </row>
    <row r="1474" ht="15.75" customHeight="1">
      <c r="A1474" s="2" t="s">
        <v>11976</v>
      </c>
      <c r="B1474" s="2" t="s">
        <v>1396</v>
      </c>
      <c r="C1474" s="2">
        <v>2008.0</v>
      </c>
      <c r="D1474" s="2" t="s">
        <v>11977</v>
      </c>
      <c r="E1474" s="2" t="s">
        <v>11978</v>
      </c>
      <c r="G1474" s="2" t="s">
        <v>11979</v>
      </c>
      <c r="J1474" s="12" t="str">
        <f>VLOOKUP(I1474,'Copy of Enriched Data - IPBES G'!$L$2:$L$229,1,false)</f>
        <v>#N/A</v>
      </c>
      <c r="L1474" s="2" t="s">
        <v>11980</v>
      </c>
      <c r="M1474" s="2" t="s">
        <v>1458</v>
      </c>
      <c r="N1474" s="2" t="s">
        <v>1385</v>
      </c>
      <c r="O1474" s="2" t="s">
        <v>1386</v>
      </c>
      <c r="R1474" s="2">
        <v>86.0</v>
      </c>
      <c r="T1474" s="2">
        <v>46.0</v>
      </c>
      <c r="Y1474" s="2">
        <v>2.0</v>
      </c>
      <c r="AB1474" s="2" t="s">
        <v>11451</v>
      </c>
      <c r="AC1474" s="2" t="s">
        <v>5502</v>
      </c>
      <c r="AO1474" s="2" t="s">
        <v>1368</v>
      </c>
    </row>
    <row r="1475" ht="15.75" customHeight="1">
      <c r="A1475" s="2" t="s">
        <v>11981</v>
      </c>
      <c r="B1475" s="2" t="s">
        <v>1766</v>
      </c>
      <c r="C1475" s="2">
        <v>2017.0</v>
      </c>
      <c r="D1475" s="2" t="s">
        <v>11982</v>
      </c>
      <c r="E1475" s="2" t="s">
        <v>11983</v>
      </c>
      <c r="F1475" s="2" t="s">
        <v>11984</v>
      </c>
      <c r="G1475" s="2" t="s">
        <v>11985</v>
      </c>
      <c r="J1475" s="12" t="str">
        <f>VLOOKUP(I1475,'Copy of Enriched Data - IPBES G'!$L$2:$L$229,1,false)</f>
        <v>#N/A</v>
      </c>
      <c r="M1475" s="2" t="s">
        <v>1658</v>
      </c>
      <c r="N1475" s="2" t="s">
        <v>1385</v>
      </c>
      <c r="O1475" s="2" t="s">
        <v>1386</v>
      </c>
      <c r="Q1475" s="2" t="s">
        <v>11986</v>
      </c>
      <c r="AO1475" s="2" t="s">
        <v>1368</v>
      </c>
      <c r="AQ1475" s="2" t="s">
        <v>11987</v>
      </c>
    </row>
    <row r="1476" ht="15.75" customHeight="1">
      <c r="A1476" s="2" t="s">
        <v>11988</v>
      </c>
      <c r="B1476" s="2" t="s">
        <v>1781</v>
      </c>
      <c r="C1476" s="2">
        <v>1999.0</v>
      </c>
      <c r="D1476" s="2" t="s">
        <v>11989</v>
      </c>
      <c r="E1476" s="2" t="s">
        <v>11990</v>
      </c>
      <c r="J1476" s="12" t="str">
        <f>VLOOKUP(I1476,'Copy of Enriched Data - IPBES G'!$L$2:$L$229,1,false)</f>
        <v>#N/A</v>
      </c>
      <c r="M1476" s="2" t="s">
        <v>1434</v>
      </c>
      <c r="N1476" s="2" t="s">
        <v>1385</v>
      </c>
      <c r="O1476" s="2" t="s">
        <v>1386</v>
      </c>
      <c r="AO1476" s="2" t="s">
        <v>1368</v>
      </c>
    </row>
    <row r="1477" ht="15.75" customHeight="1">
      <c r="A1477" s="2" t="s">
        <v>11991</v>
      </c>
      <c r="B1477" s="2" t="s">
        <v>1361</v>
      </c>
      <c r="C1477" s="2">
        <v>2010.0</v>
      </c>
      <c r="D1477" s="2" t="s">
        <v>11992</v>
      </c>
      <c r="E1477" s="2" t="s">
        <v>11993</v>
      </c>
      <c r="F1477" s="2" t="s">
        <v>3295</v>
      </c>
      <c r="H1477" s="2" t="s">
        <v>5101</v>
      </c>
      <c r="I1477" s="2" t="s">
        <v>11994</v>
      </c>
      <c r="J1477" s="12" t="str">
        <f>VLOOKUP(I1477,'Copy of Enriched Data - IPBES G'!$L$2:$L$229,1,false)</f>
        <v>#N/A</v>
      </c>
      <c r="L1477" s="2" t="s">
        <v>11995</v>
      </c>
      <c r="M1477" s="2" t="s">
        <v>1449</v>
      </c>
      <c r="N1477" s="2" t="s">
        <v>1385</v>
      </c>
      <c r="O1477" s="2" t="s">
        <v>1386</v>
      </c>
      <c r="Q1477" s="2" t="s">
        <v>11996</v>
      </c>
      <c r="S1477" s="2">
        <v>4.0</v>
      </c>
      <c r="T1477" s="2">
        <v>3.0</v>
      </c>
      <c r="AO1477" s="2" t="s">
        <v>1368</v>
      </c>
    </row>
    <row r="1478" ht="15.75" customHeight="1">
      <c r="A1478" s="2" t="s">
        <v>11997</v>
      </c>
      <c r="B1478" s="2" t="s">
        <v>1396</v>
      </c>
      <c r="C1478" s="2">
        <v>2003.0</v>
      </c>
      <c r="D1478" s="2" t="s">
        <v>11998</v>
      </c>
      <c r="E1478" s="2" t="s">
        <v>11999</v>
      </c>
      <c r="G1478" s="2" t="s">
        <v>12000</v>
      </c>
      <c r="J1478" s="12" t="str">
        <f>VLOOKUP(I1478,'Copy of Enriched Data - IPBES G'!$L$2:$L$229,1,false)</f>
        <v>#N/A</v>
      </c>
      <c r="L1478" s="2" t="s">
        <v>12001</v>
      </c>
      <c r="M1478" s="2" t="s">
        <v>1606</v>
      </c>
      <c r="N1478" s="2" t="s">
        <v>1385</v>
      </c>
      <c r="O1478" s="2" t="s">
        <v>1386</v>
      </c>
      <c r="AO1478" s="2" t="s">
        <v>1368</v>
      </c>
    </row>
    <row r="1479" ht="15.75" customHeight="1">
      <c r="A1479" s="2" t="s">
        <v>12002</v>
      </c>
      <c r="B1479" s="2" t="s">
        <v>1766</v>
      </c>
      <c r="C1479" s="2">
        <v>2017.0</v>
      </c>
      <c r="D1479" s="2" t="s">
        <v>12003</v>
      </c>
      <c r="E1479" s="2" t="s">
        <v>12004</v>
      </c>
      <c r="F1479" s="2" t="s">
        <v>12005</v>
      </c>
      <c r="J1479" s="12" t="str">
        <f>VLOOKUP(I1479,'Copy of Enriched Data - IPBES G'!$L$2:$L$229,1,false)</f>
        <v>#N/A</v>
      </c>
      <c r="M1479" s="2" t="s">
        <v>1658</v>
      </c>
      <c r="N1479" s="2" t="s">
        <v>1385</v>
      </c>
      <c r="O1479" s="2" t="s">
        <v>1386</v>
      </c>
      <c r="Q1479" s="2" t="s">
        <v>2671</v>
      </c>
      <c r="AB1479" s="2" t="s">
        <v>1771</v>
      </c>
      <c r="AO1479" s="2" t="s">
        <v>1368</v>
      </c>
    </row>
    <row r="1480" ht="15.75" customHeight="1">
      <c r="A1480" s="2" t="s">
        <v>12006</v>
      </c>
      <c r="B1480" s="2" t="s">
        <v>1361</v>
      </c>
      <c r="C1480" s="2">
        <v>2011.0</v>
      </c>
      <c r="D1480" s="2" t="s">
        <v>12007</v>
      </c>
      <c r="E1480" s="2" t="s">
        <v>12008</v>
      </c>
      <c r="F1480" s="2" t="s">
        <v>1587</v>
      </c>
      <c r="H1480" s="2" t="s">
        <v>3516</v>
      </c>
      <c r="I1480" s="2" t="s">
        <v>12009</v>
      </c>
      <c r="J1480" s="12" t="str">
        <f>VLOOKUP(I1480,'Copy of Enriched Data - IPBES G'!$L$2:$L$229,1,false)</f>
        <v>#N/A</v>
      </c>
      <c r="L1480" s="2" t="s">
        <v>12010</v>
      </c>
      <c r="M1480" s="2" t="s">
        <v>1627</v>
      </c>
      <c r="N1480" s="2" t="s">
        <v>1385</v>
      </c>
      <c r="O1480" s="2" t="s">
        <v>1386</v>
      </c>
      <c r="Q1480" s="2" t="s">
        <v>12011</v>
      </c>
      <c r="S1480" s="2">
        <v>6.0</v>
      </c>
      <c r="T1480" s="2">
        <v>25.0</v>
      </c>
      <c r="AO1480" s="2" t="s">
        <v>1368</v>
      </c>
    </row>
    <row r="1481" ht="15.75" customHeight="1">
      <c r="A1481" s="2" t="s">
        <v>12012</v>
      </c>
      <c r="B1481" s="2" t="s">
        <v>1396</v>
      </c>
      <c r="C1481" s="2">
        <v>1999.0</v>
      </c>
      <c r="D1481" s="2" t="s">
        <v>12013</v>
      </c>
      <c r="E1481" s="2" t="s">
        <v>12014</v>
      </c>
      <c r="J1481" s="12" t="str">
        <f>VLOOKUP(I1481,'Copy of Enriched Data - IPBES G'!$L$2:$L$229,1,false)</f>
        <v>#N/A</v>
      </c>
      <c r="M1481" s="2" t="s">
        <v>1434</v>
      </c>
      <c r="N1481" s="2" t="s">
        <v>1385</v>
      </c>
      <c r="O1481" s="2" t="s">
        <v>1386</v>
      </c>
      <c r="AB1481" s="2" t="s">
        <v>3653</v>
      </c>
      <c r="AC1481" s="2" t="s">
        <v>6044</v>
      </c>
      <c r="AO1481" s="2" t="s">
        <v>1368</v>
      </c>
    </row>
    <row r="1482" ht="15.75" customHeight="1">
      <c r="A1482" s="2" t="s">
        <v>12015</v>
      </c>
      <c r="B1482" s="2" t="s">
        <v>1396</v>
      </c>
      <c r="C1482" s="2">
        <v>2012.0</v>
      </c>
      <c r="D1482" s="2" t="s">
        <v>12016</v>
      </c>
      <c r="E1482" s="2" t="s">
        <v>12017</v>
      </c>
      <c r="G1482" s="2" t="s">
        <v>12018</v>
      </c>
      <c r="J1482" s="12" t="str">
        <f>VLOOKUP(I1482,'Copy of Enriched Data - IPBES G'!$L$2:$L$229,1,false)</f>
        <v>#N/A</v>
      </c>
      <c r="L1482" s="2" t="s">
        <v>12019</v>
      </c>
      <c r="M1482" s="2" t="s">
        <v>1405</v>
      </c>
      <c r="N1482" s="2" t="s">
        <v>1385</v>
      </c>
      <c r="O1482" s="2" t="s">
        <v>1386</v>
      </c>
      <c r="R1482" s="2">
        <v>83.0</v>
      </c>
      <c r="AC1482" s="2" t="s">
        <v>12020</v>
      </c>
      <c r="AO1482" s="2" t="s">
        <v>1368</v>
      </c>
    </row>
    <row r="1483" ht="15.75" customHeight="1">
      <c r="A1483" s="2" t="s">
        <v>12021</v>
      </c>
      <c r="B1483" s="2" t="s">
        <v>1781</v>
      </c>
      <c r="C1483" s="2">
        <v>2012.0</v>
      </c>
      <c r="D1483" s="2" t="s">
        <v>12022</v>
      </c>
      <c r="E1483" s="2" t="s">
        <v>12023</v>
      </c>
      <c r="J1483" s="12" t="str">
        <f>VLOOKUP(I1483,'Copy of Enriched Data - IPBES G'!$L$2:$L$229,1,false)</f>
        <v>#N/A</v>
      </c>
      <c r="L1483" s="2" t="s">
        <v>12024</v>
      </c>
      <c r="M1483" s="2" t="s">
        <v>1405</v>
      </c>
      <c r="N1483" s="2" t="s">
        <v>1385</v>
      </c>
      <c r="O1483" s="2" t="s">
        <v>1386</v>
      </c>
      <c r="AO1483" s="2" t="s">
        <v>1368</v>
      </c>
    </row>
    <row r="1484" ht="15.75" customHeight="1">
      <c r="A1484" s="2" t="s">
        <v>12029</v>
      </c>
      <c r="B1484" s="2" t="s">
        <v>1361</v>
      </c>
      <c r="C1484" s="2">
        <v>2000.0</v>
      </c>
      <c r="D1484" s="2" t="s">
        <v>12030</v>
      </c>
      <c r="E1484" s="2" t="s">
        <v>12031</v>
      </c>
      <c r="F1484" s="2" t="s">
        <v>12032</v>
      </c>
      <c r="H1484" s="2" t="s">
        <v>12033</v>
      </c>
      <c r="I1484" s="2" t="s">
        <v>12034</v>
      </c>
      <c r="J1484" s="12" t="str">
        <f>VLOOKUP(I1484,'Copy of Enriched Data - IPBES G'!$L$2:$L$229,1,false)</f>
        <v>#N/A</v>
      </c>
      <c r="M1484" s="2" t="s">
        <v>2429</v>
      </c>
      <c r="N1484" s="2" t="s">
        <v>1385</v>
      </c>
      <c r="O1484" s="2" t="s">
        <v>1386</v>
      </c>
      <c r="Q1484" s="2" t="s">
        <v>12035</v>
      </c>
      <c r="S1484" s="2">
        <v>2.0</v>
      </c>
      <c r="T1484" s="2">
        <v>37.0</v>
      </c>
      <c r="AO1484" s="2" t="s">
        <v>1368</v>
      </c>
    </row>
    <row r="1485" ht="15.75" customHeight="1">
      <c r="A1485" s="2" t="s">
        <v>12036</v>
      </c>
      <c r="B1485" s="2" t="s">
        <v>1396</v>
      </c>
      <c r="C1485" s="2">
        <v>2003.0</v>
      </c>
      <c r="D1485" s="2" t="s">
        <v>12037</v>
      </c>
      <c r="E1485" s="2" t="s">
        <v>1163</v>
      </c>
      <c r="G1485" s="2" t="s">
        <v>12038</v>
      </c>
      <c r="J1485" s="12" t="str">
        <f>VLOOKUP(I1485,'Copy of Enriched Data - IPBES G'!$L$2:$L$229,1,false)</f>
        <v>#N/A</v>
      </c>
      <c r="L1485" s="2" t="s">
        <v>12039</v>
      </c>
      <c r="M1485" s="2" t="s">
        <v>1606</v>
      </c>
      <c r="N1485" s="2" t="s">
        <v>1385</v>
      </c>
      <c r="O1485" s="2" t="s">
        <v>1386</v>
      </c>
      <c r="AO1485" s="2" t="s">
        <v>1368</v>
      </c>
    </row>
    <row r="1486" ht="15.75" customHeight="1">
      <c r="A1486" s="2" t="s">
        <v>12040</v>
      </c>
      <c r="B1486" s="2" t="s">
        <v>1361</v>
      </c>
      <c r="C1486" s="2">
        <v>2010.0</v>
      </c>
      <c r="D1486" s="2" t="s">
        <v>12041</v>
      </c>
      <c r="E1486" s="2" t="s">
        <v>12042</v>
      </c>
      <c r="F1486" s="2" t="s">
        <v>1760</v>
      </c>
      <c r="H1486" s="2" t="s">
        <v>1761</v>
      </c>
      <c r="I1486" s="2" t="s">
        <v>12043</v>
      </c>
      <c r="J1486" s="12" t="str">
        <f>VLOOKUP(I1486,'Copy of Enriched Data - IPBES G'!$L$2:$L$229,1,false)</f>
        <v>#N/A</v>
      </c>
      <c r="K1486" s="2" t="s">
        <v>12044</v>
      </c>
      <c r="L1486" s="2" t="s">
        <v>12045</v>
      </c>
      <c r="M1486" s="2" t="s">
        <v>11630</v>
      </c>
      <c r="N1486" s="2" t="s">
        <v>1385</v>
      </c>
      <c r="O1486" s="2" t="s">
        <v>1386</v>
      </c>
      <c r="Q1486" s="2" t="s">
        <v>12046</v>
      </c>
      <c r="S1486" s="2">
        <v>9.0</v>
      </c>
      <c r="T1486" s="2">
        <v>69.0</v>
      </c>
      <c r="AO1486" s="2" t="s">
        <v>1368</v>
      </c>
    </row>
    <row r="1487" ht="15.75" customHeight="1">
      <c r="A1487" s="2" t="s">
        <v>12047</v>
      </c>
      <c r="B1487" s="2" t="s">
        <v>1361</v>
      </c>
      <c r="C1487" s="2">
        <v>2004.0</v>
      </c>
      <c r="D1487" s="2" t="s">
        <v>12048</v>
      </c>
      <c r="E1487" s="2" t="s">
        <v>12049</v>
      </c>
      <c r="F1487" s="2" t="s">
        <v>6864</v>
      </c>
      <c r="H1487" s="2" t="s">
        <v>2509</v>
      </c>
      <c r="I1487" s="2" t="s">
        <v>12050</v>
      </c>
      <c r="J1487" s="12" t="str">
        <f>VLOOKUP(I1487,'Copy of Enriched Data - IPBES G'!$L$2:$L$229,1,false)</f>
        <v>#N/A</v>
      </c>
      <c r="L1487" s="2" t="s">
        <v>12051</v>
      </c>
      <c r="M1487" s="2" t="s">
        <v>2373</v>
      </c>
      <c r="N1487" s="2" t="s">
        <v>1385</v>
      </c>
      <c r="O1487" s="2" t="s">
        <v>1386</v>
      </c>
      <c r="Q1487" s="2" t="s">
        <v>12052</v>
      </c>
      <c r="S1487" s="2">
        <v>1.0</v>
      </c>
      <c r="T1487" s="2">
        <v>19.0</v>
      </c>
      <c r="AO1487" s="2" t="s">
        <v>1368</v>
      </c>
    </row>
    <row r="1488" ht="15.75" customHeight="1">
      <c r="A1488" s="2" t="s">
        <v>12053</v>
      </c>
      <c r="B1488" s="2" t="s">
        <v>1396</v>
      </c>
      <c r="C1488" s="2">
        <v>1991.0</v>
      </c>
      <c r="D1488" s="2" t="s">
        <v>12054</v>
      </c>
      <c r="E1488" s="2" t="s">
        <v>12055</v>
      </c>
      <c r="G1488" s="2" t="s">
        <v>12056</v>
      </c>
      <c r="J1488" s="12" t="str">
        <f>VLOOKUP(I1488,'Copy of Enriched Data - IPBES G'!$L$2:$L$229,1,false)</f>
        <v>#N/A</v>
      </c>
      <c r="M1488" s="2" t="s">
        <v>2607</v>
      </c>
      <c r="N1488" s="2" t="s">
        <v>1385</v>
      </c>
      <c r="O1488" s="2" t="s">
        <v>1386</v>
      </c>
      <c r="AB1488" s="2" t="s">
        <v>3653</v>
      </c>
      <c r="AO1488" s="2" t="s">
        <v>1368</v>
      </c>
    </row>
    <row r="1489" ht="15.75" customHeight="1">
      <c r="A1489" s="2" t="s">
        <v>12057</v>
      </c>
      <c r="B1489" s="2" t="s">
        <v>1361</v>
      </c>
      <c r="C1489" s="2">
        <v>2004.0</v>
      </c>
      <c r="D1489" s="2" t="s">
        <v>12058</v>
      </c>
      <c r="E1489" s="2" t="s">
        <v>12059</v>
      </c>
      <c r="F1489" s="2" t="s">
        <v>5645</v>
      </c>
      <c r="H1489" s="2" t="s">
        <v>8732</v>
      </c>
      <c r="I1489" s="2" t="s">
        <v>12060</v>
      </c>
      <c r="J1489" s="12" t="str">
        <f>VLOOKUP(I1489,'Copy of Enriched Data - IPBES G'!$L$2:$L$229,1,false)</f>
        <v>#N/A</v>
      </c>
      <c r="L1489" s="2" t="s">
        <v>12061</v>
      </c>
      <c r="M1489" s="2" t="s">
        <v>2373</v>
      </c>
      <c r="N1489" s="2" t="s">
        <v>1385</v>
      </c>
      <c r="O1489" s="2" t="s">
        <v>1386</v>
      </c>
      <c r="AO1489" s="2" t="s">
        <v>1368</v>
      </c>
    </row>
    <row r="1490" ht="15.75" customHeight="1">
      <c r="A1490" s="2" t="s">
        <v>12062</v>
      </c>
      <c r="B1490" s="2" t="s">
        <v>1396</v>
      </c>
      <c r="C1490" s="2">
        <v>2012.0</v>
      </c>
      <c r="D1490" s="2" t="s">
        <v>11769</v>
      </c>
      <c r="E1490" s="2" t="s">
        <v>12063</v>
      </c>
      <c r="G1490" s="2" t="s">
        <v>12064</v>
      </c>
      <c r="J1490" s="12" t="str">
        <f>VLOOKUP(I1490,'Copy of Enriched Data - IPBES G'!$L$2:$L$229,1,false)</f>
        <v>#N/A</v>
      </c>
      <c r="L1490" s="2" t="s">
        <v>12065</v>
      </c>
      <c r="M1490" s="2" t="s">
        <v>1405</v>
      </c>
      <c r="N1490" s="2" t="s">
        <v>1385</v>
      </c>
      <c r="O1490" s="2" t="s">
        <v>1386</v>
      </c>
      <c r="R1490" s="2">
        <v>397.0</v>
      </c>
      <c r="AB1490" s="2" t="s">
        <v>12066</v>
      </c>
      <c r="AO1490" s="2" t="s">
        <v>1368</v>
      </c>
    </row>
    <row r="1491" ht="15.75" customHeight="1">
      <c r="A1491" s="2" t="s">
        <v>12067</v>
      </c>
      <c r="B1491" s="2" t="s">
        <v>1396</v>
      </c>
      <c r="C1491" s="2">
        <v>2002.0</v>
      </c>
      <c r="D1491" s="2" t="s">
        <v>12068</v>
      </c>
      <c r="E1491" s="2" t="s">
        <v>12069</v>
      </c>
      <c r="J1491" s="12" t="str">
        <f>VLOOKUP(I1491,'Copy of Enriched Data - IPBES G'!$L$2:$L$229,1,false)</f>
        <v>#N/A</v>
      </c>
      <c r="M1491" s="2" t="s">
        <v>1493</v>
      </c>
      <c r="N1491" s="2" t="s">
        <v>1385</v>
      </c>
      <c r="O1491" s="2" t="s">
        <v>1386</v>
      </c>
      <c r="AB1491" s="2" t="s">
        <v>12070</v>
      </c>
      <c r="AO1491" s="2" t="s">
        <v>1368</v>
      </c>
    </row>
    <row r="1492" ht="15.75" customHeight="1">
      <c r="A1492" s="2" t="s">
        <v>12071</v>
      </c>
      <c r="B1492" s="2" t="s">
        <v>1396</v>
      </c>
      <c r="C1492" s="2">
        <v>2013.0</v>
      </c>
      <c r="D1492" s="2" t="s">
        <v>12072</v>
      </c>
      <c r="E1492" s="2" t="s">
        <v>12073</v>
      </c>
      <c r="J1492" s="12" t="str">
        <f>VLOOKUP(I1492,'Copy of Enriched Data - IPBES G'!$L$2:$L$229,1,false)</f>
        <v>#N/A</v>
      </c>
      <c r="M1492" s="2" t="s">
        <v>1429</v>
      </c>
      <c r="N1492" s="2" t="s">
        <v>1385</v>
      </c>
      <c r="O1492" s="2" t="s">
        <v>1386</v>
      </c>
      <c r="R1492" s="2">
        <v>54.0</v>
      </c>
      <c r="AB1492" s="2" t="s">
        <v>12074</v>
      </c>
      <c r="AC1492" s="2" t="s">
        <v>2410</v>
      </c>
      <c r="AO1492" s="2" t="s">
        <v>1368</v>
      </c>
    </row>
    <row r="1493" ht="15.75" customHeight="1">
      <c r="A1493" s="2" t="s">
        <v>7202</v>
      </c>
      <c r="B1493" s="2" t="s">
        <v>1361</v>
      </c>
      <c r="C1493" s="2">
        <v>2015.0</v>
      </c>
      <c r="D1493" s="2" t="s">
        <v>7203</v>
      </c>
      <c r="E1493" s="2" t="s">
        <v>7204</v>
      </c>
      <c r="F1493" s="2" t="s">
        <v>219</v>
      </c>
      <c r="I1493" s="2" t="s">
        <v>356</v>
      </c>
      <c r="J1493" s="12" t="str">
        <f>VLOOKUP(I1493,'Copy of Enriched Data - IPBES G'!$L$2:$L$229,1,false)</f>
        <v>10.5670/oceanog.2015.29</v>
      </c>
      <c r="M1493" s="2" t="s">
        <v>1373</v>
      </c>
      <c r="N1493" s="2" t="s">
        <v>2114</v>
      </c>
      <c r="O1493" s="2" t="s">
        <v>2115</v>
      </c>
      <c r="Q1493" s="2" t="s">
        <v>7205</v>
      </c>
      <c r="S1493" s="2">
        <v>2.0</v>
      </c>
      <c r="T1493" s="2">
        <v>28.0</v>
      </c>
      <c r="AO1493" s="2" t="s">
        <v>1368</v>
      </c>
    </row>
    <row r="1494" ht="15.75" customHeight="1">
      <c r="A1494" s="2" t="s">
        <v>8953</v>
      </c>
      <c r="B1494" s="2" t="s">
        <v>1361</v>
      </c>
      <c r="C1494" s="2">
        <v>2012.0</v>
      </c>
      <c r="D1494" s="2" t="s">
        <v>8954</v>
      </c>
      <c r="E1494" s="2" t="s">
        <v>8955</v>
      </c>
      <c r="F1494" s="2" t="s">
        <v>219</v>
      </c>
      <c r="I1494" s="2" t="s">
        <v>685</v>
      </c>
      <c r="J1494" s="12" t="str">
        <f>VLOOKUP(I1494,'Copy of Enriched Data - IPBES G'!$L$2:$L$229,1,false)</f>
        <v>10.5670/oceanog.2012.101</v>
      </c>
      <c r="M1494" s="2" t="s">
        <v>1405</v>
      </c>
      <c r="N1494" s="2" t="s">
        <v>1385</v>
      </c>
      <c r="O1494" s="2" t="s">
        <v>1386</v>
      </c>
      <c r="Q1494" s="2" t="s">
        <v>8956</v>
      </c>
      <c r="S1494" s="2">
        <v>3.0</v>
      </c>
      <c r="T1494" s="2">
        <v>25.0</v>
      </c>
      <c r="AO1494" s="2" t="s">
        <v>1368</v>
      </c>
    </row>
    <row r="1495" ht="15.75" customHeight="1">
      <c r="A1495" s="2" t="s">
        <v>9481</v>
      </c>
      <c r="B1495" s="2" t="s">
        <v>1361</v>
      </c>
      <c r="C1495" s="2">
        <v>2015.0</v>
      </c>
      <c r="D1495" s="2" t="s">
        <v>9482</v>
      </c>
      <c r="E1495" s="2" t="s">
        <v>9483</v>
      </c>
      <c r="F1495" s="2" t="s">
        <v>9484</v>
      </c>
      <c r="H1495" s="2" t="s">
        <v>9485</v>
      </c>
      <c r="I1495" s="2" t="s">
        <v>427</v>
      </c>
      <c r="J1495" s="12" t="str">
        <f>VLOOKUP(I1495,'Copy of Enriched Data - IPBES G'!$L$2:$L$229,1,false)</f>
        <v>10.3390/su7022086</v>
      </c>
      <c r="L1495" s="2" t="s">
        <v>9486</v>
      </c>
      <c r="M1495" s="2" t="s">
        <v>1373</v>
      </c>
      <c r="N1495" s="2" t="s">
        <v>1385</v>
      </c>
      <c r="O1495" s="2" t="s">
        <v>1386</v>
      </c>
      <c r="AO1495" s="2" t="s">
        <v>1368</v>
      </c>
    </row>
    <row r="1496" ht="15.75" customHeight="1">
      <c r="A1496" s="2" t="s">
        <v>2160</v>
      </c>
      <c r="B1496" s="2" t="s">
        <v>1361</v>
      </c>
      <c r="C1496" s="2">
        <v>2017.0</v>
      </c>
      <c r="D1496" s="2" t="s">
        <v>2161</v>
      </c>
      <c r="E1496" s="2" t="s">
        <v>140</v>
      </c>
      <c r="F1496" s="2" t="s">
        <v>2162</v>
      </c>
      <c r="H1496" s="2" t="s">
        <v>2163</v>
      </c>
      <c r="I1496" s="2" t="s">
        <v>143</v>
      </c>
      <c r="J1496" s="12" t="str">
        <f>VLOOKUP(I1496,'Copy of Enriched Data - IPBES G'!$L$2:$L$229,1,false)</f>
        <v>10.3389/fmars.2017.00158</v>
      </c>
      <c r="K1496" s="2" t="s">
        <v>2164</v>
      </c>
      <c r="L1496" s="2" t="s">
        <v>2165</v>
      </c>
      <c r="M1496" s="2" t="s">
        <v>1658</v>
      </c>
      <c r="N1496" s="2" t="s">
        <v>2166</v>
      </c>
      <c r="O1496" s="2" t="s">
        <v>2167</v>
      </c>
      <c r="S1496" s="2" t="s">
        <v>2168</v>
      </c>
      <c r="T1496" s="2">
        <v>4.0</v>
      </c>
      <c r="AO1496" s="2" t="s">
        <v>2169</v>
      </c>
    </row>
    <row r="1497" ht="15.75" customHeight="1">
      <c r="A1497" s="2" t="s">
        <v>2367</v>
      </c>
      <c r="B1497" s="2" t="s">
        <v>1361</v>
      </c>
      <c r="C1497" s="2">
        <v>2014.0</v>
      </c>
      <c r="D1497" s="2" t="s">
        <v>2368</v>
      </c>
      <c r="E1497" s="2" t="s">
        <v>535</v>
      </c>
      <c r="F1497" s="2" t="s">
        <v>2162</v>
      </c>
      <c r="H1497" s="2" t="s">
        <v>2163</v>
      </c>
      <c r="I1497" s="2" t="s">
        <v>537</v>
      </c>
      <c r="J1497" s="12" t="str">
        <f>VLOOKUP(I1497,'Copy of Enriched Data - IPBES G'!$L$2:$L$229,1,false)</f>
        <v>10.3389/fmars.2014.00004</v>
      </c>
      <c r="L1497" s="2" t="s">
        <v>536</v>
      </c>
      <c r="M1497" s="2" t="s">
        <v>1476</v>
      </c>
      <c r="N1497" s="2" t="s">
        <v>1385</v>
      </c>
      <c r="O1497" s="2" t="s">
        <v>1386</v>
      </c>
      <c r="AO1497" s="2" t="s">
        <v>1368</v>
      </c>
    </row>
    <row r="1498" ht="15.75" customHeight="1">
      <c r="A1498" s="2" t="s">
        <v>7144</v>
      </c>
      <c r="B1498" s="2" t="s">
        <v>1361</v>
      </c>
      <c r="C1498" s="2">
        <v>2013.0</v>
      </c>
      <c r="D1498" s="2" t="s">
        <v>7145</v>
      </c>
      <c r="E1498" s="2" t="s">
        <v>7146</v>
      </c>
      <c r="F1498" s="2" t="s">
        <v>7147</v>
      </c>
      <c r="I1498" s="2" t="s">
        <v>7148</v>
      </c>
      <c r="J1498" s="12" t="str">
        <f>VLOOKUP(I1498,'Copy of Enriched Data - IPBES G'!$L$2:$L$229,1,false)</f>
        <v>10.31542/j.ecj.77</v>
      </c>
      <c r="M1498" s="2" t="s">
        <v>1429</v>
      </c>
      <c r="N1498" s="2" t="s">
        <v>7149</v>
      </c>
      <c r="O1498" s="2" t="s">
        <v>7150</v>
      </c>
      <c r="S1498" s="2">
        <v>1.0</v>
      </c>
      <c r="T1498" s="2">
        <v>3.0</v>
      </c>
      <c r="AO1498" s="2" t="s">
        <v>1368</v>
      </c>
    </row>
    <row r="1499" ht="15.75" customHeight="1">
      <c r="A1499" s="2" t="s">
        <v>10528</v>
      </c>
      <c r="B1499" s="2" t="s">
        <v>1361</v>
      </c>
      <c r="C1499" s="2">
        <v>1987.0</v>
      </c>
      <c r="D1499" s="2" t="s">
        <v>10529</v>
      </c>
      <c r="E1499" s="2" t="s">
        <v>10530</v>
      </c>
      <c r="F1499" s="2" t="s">
        <v>10531</v>
      </c>
      <c r="H1499" s="2" t="s">
        <v>10532</v>
      </c>
      <c r="I1499" s="2" t="s">
        <v>1270</v>
      </c>
      <c r="J1499" s="12" t="str">
        <f>VLOOKUP(I1499,'Copy of Enriched Data - IPBES G'!$L$2:$L$229,1,false)</f>
        <v>10.2134/jeq1987.00472425001600040016x</v>
      </c>
      <c r="L1499" s="2" t="s">
        <v>1269</v>
      </c>
      <c r="M1499" s="2" t="s">
        <v>8724</v>
      </c>
      <c r="N1499" s="2" t="s">
        <v>1385</v>
      </c>
      <c r="O1499" s="2" t="s">
        <v>1386</v>
      </c>
      <c r="AO1499" s="2" t="s">
        <v>1368</v>
      </c>
    </row>
    <row r="1500" ht="15.75" customHeight="1">
      <c r="A1500" s="2" t="s">
        <v>4771</v>
      </c>
      <c r="B1500" s="2" t="s">
        <v>1361</v>
      </c>
      <c r="C1500" s="2">
        <v>1997.0</v>
      </c>
      <c r="D1500" s="2" t="s">
        <v>4772</v>
      </c>
      <c r="E1500" s="2" t="s">
        <v>4773</v>
      </c>
      <c r="F1500" s="2" t="s">
        <v>3533</v>
      </c>
      <c r="H1500" s="2" t="s">
        <v>2378</v>
      </c>
      <c r="I1500" s="2" t="s">
        <v>4774</v>
      </c>
      <c r="J1500" s="12" t="str">
        <f>VLOOKUP(I1500,'Copy of Enriched Data - IPBES G'!$L$2:$L$229,1,false)</f>
        <v>10.1890/1051-0761(1997)007[0737:HAOTGN]2.0.CO;2</v>
      </c>
      <c r="K1500" s="2" t="s">
        <v>4775</v>
      </c>
      <c r="M1500" s="2" t="s">
        <v>4776</v>
      </c>
      <c r="N1500" s="2" t="s">
        <v>4777</v>
      </c>
      <c r="O1500" s="2" t="s">
        <v>4778</v>
      </c>
      <c r="P1500" s="2" t="s">
        <v>4779</v>
      </c>
      <c r="Q1500" s="2" t="s">
        <v>4780</v>
      </c>
      <c r="S1500" s="2" t="s">
        <v>1600</v>
      </c>
      <c r="T1500" s="2">
        <v>7.0</v>
      </c>
      <c r="V1500" s="2" t="s">
        <v>3533</v>
      </c>
      <c r="W1500" s="2" t="s">
        <v>4781</v>
      </c>
      <c r="AD1500" s="2" t="s">
        <v>1540</v>
      </c>
      <c r="AI1500" s="2" t="s">
        <v>1541</v>
      </c>
      <c r="AO1500" s="2" t="s">
        <v>1872</v>
      </c>
    </row>
    <row r="1501" ht="15.75" customHeight="1">
      <c r="A1501" s="2" t="s">
        <v>5011</v>
      </c>
      <c r="B1501" s="2" t="s">
        <v>1361</v>
      </c>
      <c r="C1501" s="2">
        <v>2010.0</v>
      </c>
      <c r="D1501" s="2" t="s">
        <v>5012</v>
      </c>
      <c r="E1501" s="2" t="s">
        <v>893</v>
      </c>
      <c r="F1501" s="2" t="s">
        <v>2053</v>
      </c>
      <c r="H1501" s="2" t="s">
        <v>2556</v>
      </c>
      <c r="I1501" s="2" t="s">
        <v>895</v>
      </c>
      <c r="J1501" s="12" t="str">
        <f>VLOOKUP(I1501,'Copy of Enriched Data - IPBES G'!$L$2:$L$229,1,false)</f>
        <v>10.1890/080083</v>
      </c>
      <c r="L1501" s="2" t="s">
        <v>5013</v>
      </c>
      <c r="M1501" s="2" t="s">
        <v>1449</v>
      </c>
      <c r="N1501" s="2" t="s">
        <v>1385</v>
      </c>
      <c r="O1501" s="2" t="s">
        <v>1386</v>
      </c>
      <c r="Q1501" s="2" t="s">
        <v>5014</v>
      </c>
      <c r="S1501" s="2" t="s">
        <v>1600</v>
      </c>
      <c r="T1501" s="2">
        <v>8.0</v>
      </c>
      <c r="AO1501" s="2" t="s">
        <v>1368</v>
      </c>
    </row>
    <row r="1502" ht="15.75" customHeight="1">
      <c r="A1502" s="2" t="s">
        <v>6441</v>
      </c>
      <c r="B1502" s="2" t="s">
        <v>1361</v>
      </c>
      <c r="C1502" s="2">
        <v>2009.0</v>
      </c>
      <c r="D1502" s="2" t="s">
        <v>6442</v>
      </c>
      <c r="E1502" s="2" t="s">
        <v>6443</v>
      </c>
      <c r="F1502" s="2" t="s">
        <v>2053</v>
      </c>
      <c r="H1502" s="2">
        <v>1.5409295E7</v>
      </c>
      <c r="I1502" s="2" t="s">
        <v>977</v>
      </c>
      <c r="J1502" s="12" t="str">
        <f>VLOOKUP(I1502,'Copy of Enriched Data - IPBES G'!$L$2:$L$229,1,false)</f>
        <v>10.1890/070193</v>
      </c>
      <c r="L1502" s="2" t="s">
        <v>976</v>
      </c>
      <c r="M1502" s="2">
        <v>2009.0</v>
      </c>
      <c r="N1502" s="2" t="s">
        <v>1385</v>
      </c>
      <c r="O1502" s="2" t="s">
        <v>1386</v>
      </c>
      <c r="Q1502" s="2" t="s">
        <v>6444</v>
      </c>
      <c r="S1502" s="2">
        <v>2.0</v>
      </c>
      <c r="T1502" s="2">
        <v>7.0</v>
      </c>
      <c r="AO1502" s="2" t="s">
        <v>2244</v>
      </c>
    </row>
    <row r="1503" ht="15.75" customHeight="1">
      <c r="A1503" s="2" t="s">
        <v>9937</v>
      </c>
      <c r="B1503" s="2" t="s">
        <v>1361</v>
      </c>
      <c r="C1503" s="2">
        <v>2005.0</v>
      </c>
      <c r="D1503" s="2" t="s">
        <v>9938</v>
      </c>
      <c r="E1503" s="2" t="s">
        <v>9939</v>
      </c>
      <c r="F1503" s="2" t="s">
        <v>814</v>
      </c>
      <c r="I1503" s="2" t="s">
        <v>1102</v>
      </c>
      <c r="J1503" s="12" t="str">
        <f>VLOOKUP(I1503,'Copy of Enriched Data - IPBES G'!$L$2:$L$229,1,false)</f>
        <v>10.1890/03-0564</v>
      </c>
      <c r="M1503" s="2" t="s">
        <v>1394</v>
      </c>
      <c r="N1503" s="2" t="s">
        <v>9940</v>
      </c>
      <c r="O1503" s="2" t="s">
        <v>9941</v>
      </c>
      <c r="Q1503" s="2" t="s">
        <v>9942</v>
      </c>
      <c r="S1503" s="2">
        <v>1.0</v>
      </c>
      <c r="T1503" s="2">
        <v>86.0</v>
      </c>
      <c r="AO1503" s="2" t="s">
        <v>1368</v>
      </c>
    </row>
    <row r="1504" ht="15.75" customHeight="1">
      <c r="A1504" s="2" t="s">
        <v>2630</v>
      </c>
      <c r="B1504" s="2" t="s">
        <v>1361</v>
      </c>
      <c r="C1504" s="2">
        <v>2002.0</v>
      </c>
      <c r="D1504" s="2" t="s">
        <v>2631</v>
      </c>
      <c r="E1504" s="2" t="s">
        <v>2632</v>
      </c>
      <c r="F1504" s="2" t="s">
        <v>2633</v>
      </c>
      <c r="I1504" s="2" t="s">
        <v>1188</v>
      </c>
      <c r="J1504" s="12" t="str">
        <f>VLOOKUP(I1504,'Copy of Enriched Data - IPBES G'!$L$2:$L$229,1,false)</f>
        <v>10.1675/1524-4695(2002)025[0173:GCCASL]2.0.CO;2</v>
      </c>
      <c r="M1504" s="2" t="s">
        <v>1493</v>
      </c>
      <c r="N1504" s="2" t="s">
        <v>2634</v>
      </c>
      <c r="O1504" s="2" t="s">
        <v>2635</v>
      </c>
      <c r="Q1504" s="2" t="s">
        <v>2636</v>
      </c>
      <c r="S1504" s="2" t="s">
        <v>1453</v>
      </c>
      <c r="T1504" s="2" t="s">
        <v>2637</v>
      </c>
      <c r="AO1504" s="2" t="s">
        <v>1368</v>
      </c>
    </row>
    <row r="1505" ht="15.75" customHeight="1">
      <c r="A1505" s="2" t="s">
        <v>2948</v>
      </c>
      <c r="B1505" s="2" t="s">
        <v>1361</v>
      </c>
      <c r="C1505" s="2">
        <v>2002.0</v>
      </c>
      <c r="D1505" s="2" t="s">
        <v>2949</v>
      </c>
      <c r="E1505" s="2" t="s">
        <v>2950</v>
      </c>
      <c r="F1505" s="2" t="s">
        <v>2036</v>
      </c>
      <c r="H1505" s="2" t="s">
        <v>2585</v>
      </c>
      <c r="I1505" s="2" t="s">
        <v>1207</v>
      </c>
      <c r="J1505" s="12" t="str">
        <f>VLOOKUP(I1505,'Copy of Enriched Data - IPBES G'!$L$2:$L$229,1,false)</f>
        <v>10.1641/0006-3568(2002)052[0143:PCAUDF]2.0.CO;2</v>
      </c>
      <c r="L1505" s="2" t="s">
        <v>2951</v>
      </c>
      <c r="M1505" s="2" t="s">
        <v>1493</v>
      </c>
      <c r="N1505" s="2" t="s">
        <v>1385</v>
      </c>
      <c r="O1505" s="2" t="s">
        <v>1386</v>
      </c>
      <c r="Q1505" s="2" t="s">
        <v>2952</v>
      </c>
      <c r="S1505" s="2" t="s">
        <v>1453</v>
      </c>
      <c r="T1505" s="2" t="s">
        <v>2953</v>
      </c>
      <c r="AO1505" s="2" t="s">
        <v>2169</v>
      </c>
    </row>
    <row r="1506" ht="15.75" customHeight="1">
      <c r="A1506" s="2" t="s">
        <v>11953</v>
      </c>
      <c r="B1506" s="2" t="s">
        <v>1361</v>
      </c>
      <c r="C1506" s="2">
        <v>2001.0</v>
      </c>
      <c r="D1506" s="2" t="s">
        <v>11954</v>
      </c>
      <c r="E1506" s="2" t="s">
        <v>11955</v>
      </c>
      <c r="F1506" s="2" t="s">
        <v>2036</v>
      </c>
      <c r="H1506" s="2" t="s">
        <v>2585</v>
      </c>
      <c r="I1506" s="2" t="s">
        <v>11956</v>
      </c>
      <c r="J1506" s="12" t="str">
        <f>VLOOKUP(I1506,'Copy of Enriched Data - IPBES G'!$L$2:$L$229,1,false)</f>
        <v>10.1641/0006-3568(2001)051[0180:aditnu]2.0.co;2</v>
      </c>
      <c r="L1506" s="2" t="s">
        <v>11957</v>
      </c>
      <c r="M1506" s="2" t="s">
        <v>1414</v>
      </c>
      <c r="N1506" s="2" t="s">
        <v>1385</v>
      </c>
      <c r="O1506" s="2" t="s">
        <v>1386</v>
      </c>
      <c r="Q1506" s="2" t="s">
        <v>11958</v>
      </c>
      <c r="S1506" s="2">
        <v>3.0</v>
      </c>
      <c r="T1506" s="2">
        <v>51.0</v>
      </c>
      <c r="AO1506" s="2" t="s">
        <v>1368</v>
      </c>
    </row>
    <row r="1507" ht="15.75" customHeight="1">
      <c r="A1507" s="2" t="s">
        <v>8170</v>
      </c>
      <c r="B1507" s="2" t="s">
        <v>1361</v>
      </c>
      <c r="C1507" s="2">
        <v>2010.0</v>
      </c>
      <c r="D1507" s="2" t="s">
        <v>8171</v>
      </c>
      <c r="E1507" s="2" t="s">
        <v>794</v>
      </c>
      <c r="F1507" s="2" t="s">
        <v>2036</v>
      </c>
      <c r="H1507" s="2" t="s">
        <v>8172</v>
      </c>
      <c r="I1507" s="2" t="s">
        <v>797</v>
      </c>
      <c r="J1507" s="12" t="str">
        <f>VLOOKUP(I1507,'Copy of Enriched Data - IPBES G'!$L$2:$L$229,1,false)</f>
        <v>10.1525/bio.2010.60.11.5</v>
      </c>
      <c r="K1507" s="2" t="s">
        <v>8173</v>
      </c>
      <c r="L1507" s="2" t="s">
        <v>8174</v>
      </c>
      <c r="M1507" s="2">
        <v>2010.0</v>
      </c>
      <c r="N1507" s="2" t="s">
        <v>1385</v>
      </c>
      <c r="O1507" s="2" t="s">
        <v>1386</v>
      </c>
      <c r="Q1507" s="2" t="s">
        <v>8175</v>
      </c>
      <c r="S1507" s="2" t="s">
        <v>1620</v>
      </c>
      <c r="T1507" s="2">
        <v>60.0</v>
      </c>
      <c r="AO1507" s="2" t="s">
        <v>1368</v>
      </c>
    </row>
    <row r="1508" ht="15.75" customHeight="1">
      <c r="A1508" s="2" t="s">
        <v>5932</v>
      </c>
      <c r="B1508" s="2" t="s">
        <v>1361</v>
      </c>
      <c r="C1508" s="2">
        <v>2015.0</v>
      </c>
      <c r="D1508" s="2" t="s">
        <v>5933</v>
      </c>
      <c r="E1508" s="2" t="s">
        <v>5934</v>
      </c>
      <c r="F1508" s="2" t="s">
        <v>362</v>
      </c>
      <c r="H1508" s="2" t="s">
        <v>1877</v>
      </c>
      <c r="I1508" s="2" t="s">
        <v>364</v>
      </c>
      <c r="J1508" s="12" t="str">
        <f>VLOOKUP(I1508,'Copy of Enriched Data - IPBES G'!$L$2:$L$229,1,false)</f>
        <v>10.1371/journal.pone.0127533</v>
      </c>
      <c r="K1508" s="2" t="s">
        <v>5935</v>
      </c>
      <c r="M1508" s="2" t="s">
        <v>5936</v>
      </c>
      <c r="N1508" s="2" t="s">
        <v>5937</v>
      </c>
      <c r="O1508" s="2" t="s">
        <v>5938</v>
      </c>
      <c r="P1508" s="2" t="s">
        <v>5939</v>
      </c>
      <c r="Q1508" s="2" t="s">
        <v>5940</v>
      </c>
      <c r="S1508" s="2" t="s">
        <v>1480</v>
      </c>
      <c r="T1508" s="2" t="s">
        <v>1537</v>
      </c>
      <c r="V1508" s="2" t="s">
        <v>1876</v>
      </c>
      <c r="AD1508" s="2" t="s">
        <v>1540</v>
      </c>
      <c r="AI1508" s="2" t="s">
        <v>1541</v>
      </c>
      <c r="AO1508" s="2" t="s">
        <v>1885</v>
      </c>
      <c r="AQ1508" s="2" t="s">
        <v>5941</v>
      </c>
    </row>
    <row r="1509" ht="15.75" customHeight="1">
      <c r="A1509" s="2" t="s">
        <v>9666</v>
      </c>
      <c r="B1509" s="2" t="s">
        <v>1361</v>
      </c>
      <c r="C1509" s="2">
        <v>2014.0</v>
      </c>
      <c r="D1509" s="2" t="s">
        <v>9667</v>
      </c>
      <c r="E1509" s="2" t="s">
        <v>449</v>
      </c>
      <c r="F1509" s="2" t="s">
        <v>1876</v>
      </c>
      <c r="H1509" s="2" t="s">
        <v>1877</v>
      </c>
      <c r="I1509" s="2" t="s">
        <v>451</v>
      </c>
      <c r="J1509" s="12" t="str">
        <f>VLOOKUP(I1509,'Copy of Enriched Data - IPBES G'!$L$2:$L$229,1,false)</f>
        <v>10.1371/journal.pone.0111913</v>
      </c>
      <c r="K1509" s="2" t="s">
        <v>9668</v>
      </c>
      <c r="M1509" s="2" t="s">
        <v>9669</v>
      </c>
      <c r="N1509" s="2" t="s">
        <v>9670</v>
      </c>
      <c r="O1509" s="2" t="s">
        <v>9671</v>
      </c>
      <c r="P1509" s="2" t="s">
        <v>9672</v>
      </c>
      <c r="Q1509" s="2" t="s">
        <v>9673</v>
      </c>
      <c r="S1509" s="2">
        <v>12.0</v>
      </c>
      <c r="T1509" s="2">
        <v>9.0</v>
      </c>
      <c r="V1509" s="2" t="s">
        <v>1876</v>
      </c>
      <c r="W1509" s="2" t="s">
        <v>9674</v>
      </c>
      <c r="AD1509" s="2" t="s">
        <v>1540</v>
      </c>
      <c r="AI1509" s="2" t="s">
        <v>1541</v>
      </c>
      <c r="AO1509" s="2" t="s">
        <v>9675</v>
      </c>
      <c r="AQ1509" s="2" t="s">
        <v>9676</v>
      </c>
    </row>
    <row r="1510" ht="15.75" customHeight="1">
      <c r="A1510" s="2" t="s">
        <v>7702</v>
      </c>
      <c r="B1510" s="2" t="s">
        <v>1361</v>
      </c>
      <c r="C1510" s="2">
        <v>2013.0</v>
      </c>
      <c r="D1510" s="2" t="s">
        <v>7703</v>
      </c>
      <c r="E1510" s="2" t="s">
        <v>594</v>
      </c>
      <c r="F1510" s="2" t="s">
        <v>362</v>
      </c>
      <c r="I1510" s="2" t="s">
        <v>596</v>
      </c>
      <c r="J1510" s="12" t="str">
        <f>VLOOKUP(I1510,'Copy of Enriched Data - IPBES G'!$L$2:$L$229,1,false)</f>
        <v>10.1371/journal.pone.0062374</v>
      </c>
      <c r="L1510" s="2" t="s">
        <v>7704</v>
      </c>
      <c r="M1510" s="2" t="s">
        <v>1429</v>
      </c>
      <c r="N1510" s="2" t="s">
        <v>1385</v>
      </c>
      <c r="O1510" s="2" t="s">
        <v>1386</v>
      </c>
      <c r="Q1510" s="2" t="s">
        <v>5552</v>
      </c>
      <c r="S1510" s="2" t="s">
        <v>1480</v>
      </c>
      <c r="T1510" s="2">
        <v>8.0</v>
      </c>
      <c r="AO1510" s="2" t="s">
        <v>1368</v>
      </c>
    </row>
    <row r="1511" ht="15.75" customHeight="1">
      <c r="A1511" s="2" t="s">
        <v>6699</v>
      </c>
      <c r="B1511" s="2" t="s">
        <v>1361</v>
      </c>
      <c r="C1511" s="2">
        <v>2010.0</v>
      </c>
      <c r="D1511" s="2" t="s">
        <v>6700</v>
      </c>
      <c r="E1511" s="2" t="s">
        <v>6701</v>
      </c>
      <c r="F1511" s="2" t="s">
        <v>1876</v>
      </c>
      <c r="H1511" s="2" t="s">
        <v>6702</v>
      </c>
      <c r="I1511" s="2" t="s">
        <v>789</v>
      </c>
      <c r="J1511" s="12" t="str">
        <f>VLOOKUP(I1511,'Copy of Enriched Data - IPBES G'!$L$2:$L$229,1,false)</f>
        <v>10.1371/journal.pone.0014327</v>
      </c>
      <c r="L1511" s="2" t="s">
        <v>6703</v>
      </c>
      <c r="M1511" s="2" t="s">
        <v>1449</v>
      </c>
      <c r="N1511" s="2" t="s">
        <v>6704</v>
      </c>
      <c r="O1511" s="2" t="s">
        <v>6705</v>
      </c>
      <c r="S1511" s="2" t="s">
        <v>2271</v>
      </c>
      <c r="T1511" s="2" t="s">
        <v>1480</v>
      </c>
      <c r="AO1511" s="2" t="s">
        <v>1621</v>
      </c>
    </row>
    <row r="1512" ht="15.75" customHeight="1">
      <c r="A1512" s="2" t="s">
        <v>2448</v>
      </c>
      <c r="B1512" s="2" t="s">
        <v>1361</v>
      </c>
      <c r="C1512" s="2">
        <v>2011.0</v>
      </c>
      <c r="D1512" s="2" t="s">
        <v>2449</v>
      </c>
      <c r="E1512" s="2" t="s">
        <v>2450</v>
      </c>
      <c r="F1512" s="2" t="s">
        <v>2451</v>
      </c>
      <c r="H1512" s="2" t="s">
        <v>2452</v>
      </c>
      <c r="I1512" s="2" t="s">
        <v>2453</v>
      </c>
      <c r="J1512" s="12" t="str">
        <f>VLOOKUP(I1512,'Copy of Enriched Data - IPBES G'!$L$2:$L$229,1,false)</f>
        <v>10.1186/1750-0680-6-13</v>
      </c>
      <c r="L1512" s="2" t="s">
        <v>2454</v>
      </c>
      <c r="M1512" s="2" t="s">
        <v>1627</v>
      </c>
      <c r="N1512" s="2" t="s">
        <v>1385</v>
      </c>
      <c r="O1512" s="2" t="s">
        <v>1386</v>
      </c>
      <c r="AO1512" s="2" t="s">
        <v>1368</v>
      </c>
    </row>
    <row r="1513" ht="15.75" customHeight="1">
      <c r="A1513" s="2" t="s">
        <v>6929</v>
      </c>
      <c r="B1513" s="2" t="s">
        <v>1361</v>
      </c>
      <c r="C1513" s="2">
        <v>2018.0</v>
      </c>
      <c r="D1513" s="2" t="s">
        <v>6930</v>
      </c>
      <c r="E1513" s="2" t="s">
        <v>6931</v>
      </c>
      <c r="F1513" s="2" t="s">
        <v>2267</v>
      </c>
      <c r="H1513" s="2" t="s">
        <v>6932</v>
      </c>
      <c r="I1513" s="2" t="s">
        <v>45</v>
      </c>
      <c r="J1513" s="12" t="str">
        <f>VLOOKUP(I1513,'Copy of Enriched Data - IPBES G'!$L$2:$L$229,1,false)</f>
        <v>10.1175/BAMS-D-17-0116.1</v>
      </c>
      <c r="M1513" s="2" t="s">
        <v>1420</v>
      </c>
      <c r="N1513" s="2" t="s">
        <v>1385</v>
      </c>
      <c r="O1513" s="2" t="s">
        <v>1386</v>
      </c>
      <c r="Q1513" s="2" t="s">
        <v>6933</v>
      </c>
      <c r="S1513" s="2" t="s">
        <v>1462</v>
      </c>
      <c r="T1513" s="2" t="s">
        <v>2063</v>
      </c>
      <c r="AO1513" s="2" t="s">
        <v>1368</v>
      </c>
    </row>
    <row r="1514" ht="15.75" customHeight="1">
      <c r="A1514" s="2" t="s">
        <v>2264</v>
      </c>
      <c r="B1514" s="2" t="s">
        <v>1361</v>
      </c>
      <c r="C1514" s="2">
        <v>2016.0</v>
      </c>
      <c r="D1514" s="2" t="s">
        <v>2265</v>
      </c>
      <c r="E1514" s="2" t="s">
        <v>2266</v>
      </c>
      <c r="F1514" s="2" t="s">
        <v>2267</v>
      </c>
      <c r="I1514" s="2" t="s">
        <v>2268</v>
      </c>
      <c r="J1514" s="12" t="str">
        <f>VLOOKUP(I1514,'Copy of Enriched Data - IPBES G'!$L$2:$L$229,1,false)</f>
        <v>10.1175/BAMS-D-16-0149</v>
      </c>
      <c r="K1514" s="2" t="s">
        <v>2269</v>
      </c>
      <c r="M1514" s="2" t="s">
        <v>1502</v>
      </c>
      <c r="N1514" s="2" t="s">
        <v>1385</v>
      </c>
      <c r="O1514" s="2" t="s">
        <v>1386</v>
      </c>
      <c r="Q1514" s="2" t="s">
        <v>2270</v>
      </c>
      <c r="S1514" s="2" t="s">
        <v>2271</v>
      </c>
      <c r="T1514" s="2">
        <v>97.0</v>
      </c>
      <c r="AO1514" s="2" t="s">
        <v>1368</v>
      </c>
    </row>
    <row r="1515" ht="15.75" customHeight="1">
      <c r="A1515" s="2" t="s">
        <v>10405</v>
      </c>
      <c r="B1515" s="2" t="s">
        <v>1361</v>
      </c>
      <c r="C1515" s="2">
        <v>2016.0</v>
      </c>
      <c r="D1515" s="2" t="s">
        <v>10406</v>
      </c>
      <c r="E1515" s="2" t="s">
        <v>10407</v>
      </c>
      <c r="F1515" s="2" t="s">
        <v>2267</v>
      </c>
      <c r="H1515" s="2" t="s">
        <v>6932</v>
      </c>
      <c r="I1515" s="2" t="s">
        <v>95</v>
      </c>
      <c r="J1515" s="12" t="str">
        <f>VLOOKUP(I1515,'Copy of Enriched Data - IPBES G'!$L$2:$L$229,1,false)</f>
        <v>10.1175/BAMS-D-16-0009.1</v>
      </c>
      <c r="L1515" s="2" t="s">
        <v>10408</v>
      </c>
      <c r="M1515" s="2" t="s">
        <v>7676</v>
      </c>
      <c r="N1515" s="2" t="s">
        <v>1385</v>
      </c>
      <c r="O1515" s="2" t="s">
        <v>1386</v>
      </c>
      <c r="Q1515" s="2" t="s">
        <v>10409</v>
      </c>
      <c r="S1515" s="2">
        <v>7.0</v>
      </c>
      <c r="T1515" s="2">
        <v>98.0</v>
      </c>
      <c r="AO1515" s="2" t="s">
        <v>1368</v>
      </c>
    </row>
    <row r="1516" ht="15.75" customHeight="1">
      <c r="A1516" s="2" t="s">
        <v>11047</v>
      </c>
      <c r="B1516" s="2" t="s">
        <v>1361</v>
      </c>
      <c r="C1516" s="2">
        <v>2015.0</v>
      </c>
      <c r="D1516" s="2" t="s">
        <v>11048</v>
      </c>
      <c r="E1516" s="2" t="s">
        <v>11049</v>
      </c>
      <c r="F1516" s="2" t="s">
        <v>2028</v>
      </c>
      <c r="I1516" s="2" t="s">
        <v>395</v>
      </c>
      <c r="J1516" s="12" t="str">
        <f>VLOOKUP(I1516,'Copy of Enriched Data - IPBES G'!$L$2:$L$229,1,false)</f>
        <v>10.1162/REST_a_00438</v>
      </c>
      <c r="M1516" s="2" t="s">
        <v>1373</v>
      </c>
      <c r="N1516" s="2" t="s">
        <v>11050</v>
      </c>
      <c r="O1516" s="2" t="s">
        <v>11051</v>
      </c>
      <c r="Q1516" s="2" t="s">
        <v>11052</v>
      </c>
      <c r="S1516" s="2">
        <v>1.0</v>
      </c>
      <c r="T1516" s="2">
        <v>97.0</v>
      </c>
      <c r="AO1516" s="2" t="s">
        <v>1368</v>
      </c>
    </row>
    <row r="1517" ht="15.75" customHeight="1">
      <c r="A1517" s="2" t="s">
        <v>8628</v>
      </c>
      <c r="B1517" s="2" t="s">
        <v>1361</v>
      </c>
      <c r="C1517" s="2">
        <v>2006.0</v>
      </c>
      <c r="D1517" s="2" t="s">
        <v>8629</v>
      </c>
      <c r="E1517" s="2" t="s">
        <v>8630</v>
      </c>
      <c r="F1517" s="2" t="s">
        <v>8631</v>
      </c>
      <c r="H1517" s="2" t="s">
        <v>8632</v>
      </c>
      <c r="I1517" s="2" t="s">
        <v>1063</v>
      </c>
      <c r="J1517" s="12" t="str">
        <f>VLOOKUP(I1517,'Copy of Enriched Data - IPBES G'!$L$2:$L$229,1,false)</f>
        <v>10.1162/jiec.2006.10.4.133</v>
      </c>
      <c r="L1517" s="2" t="s">
        <v>8633</v>
      </c>
      <c r="M1517" s="2" t="s">
        <v>1727</v>
      </c>
      <c r="N1517" s="2" t="s">
        <v>1385</v>
      </c>
      <c r="O1517" s="2" t="s">
        <v>1386</v>
      </c>
      <c r="AO1517" s="2" t="s">
        <v>1368</v>
      </c>
    </row>
    <row r="1518" ht="15.75" customHeight="1">
      <c r="A1518" s="2" t="s">
        <v>12025</v>
      </c>
      <c r="B1518" s="2" t="s">
        <v>1361</v>
      </c>
      <c r="C1518" s="2">
        <v>2009.0</v>
      </c>
      <c r="D1518" s="2" t="s">
        <v>12026</v>
      </c>
      <c r="E1518" s="2" t="s">
        <v>982</v>
      </c>
      <c r="F1518" s="2" t="s">
        <v>8338</v>
      </c>
      <c r="H1518" s="2" t="s">
        <v>12027</v>
      </c>
      <c r="I1518" s="2" t="s">
        <v>984</v>
      </c>
      <c r="J1518" s="12" t="str">
        <f>VLOOKUP(I1518,'Copy of Enriched Data - IPBES G'!$L$2:$L$229,1,false)</f>
        <v>10.1146/annurev.marine.010908.163834</v>
      </c>
      <c r="L1518" s="2" t="s">
        <v>12028</v>
      </c>
      <c r="M1518" s="2" t="s">
        <v>1364</v>
      </c>
      <c r="N1518" s="2" t="s">
        <v>1385</v>
      </c>
      <c r="O1518" s="2" t="s">
        <v>1386</v>
      </c>
      <c r="AO1518" s="2" t="s">
        <v>1368</v>
      </c>
    </row>
    <row r="1519" ht="15.75" customHeight="1">
      <c r="A1519" s="2" t="s">
        <v>8335</v>
      </c>
      <c r="B1519" s="2" t="s">
        <v>1361</v>
      </c>
      <c r="C1519" s="2">
        <v>2013.0</v>
      </c>
      <c r="D1519" s="2" t="s">
        <v>8336</v>
      </c>
      <c r="E1519" s="2" t="s">
        <v>8337</v>
      </c>
      <c r="F1519" s="2" t="s">
        <v>8338</v>
      </c>
      <c r="I1519" s="2" t="s">
        <v>639</v>
      </c>
      <c r="J1519" s="12" t="str">
        <f>VLOOKUP(I1519,'Copy of Enriched Data - IPBES G'!$L$2:$L$229,1,false)</f>
        <v>10.1146/annurev-marine-121211-172406</v>
      </c>
      <c r="M1519" s="2" t="s">
        <v>1429</v>
      </c>
      <c r="N1519" s="2" t="s">
        <v>8339</v>
      </c>
      <c r="O1519" s="2" t="s">
        <v>8340</v>
      </c>
      <c r="Q1519" s="2" t="s">
        <v>8341</v>
      </c>
      <c r="T1519" s="2">
        <v>5.0</v>
      </c>
      <c r="AO1519" s="2" t="s">
        <v>1368</v>
      </c>
    </row>
    <row r="1520" ht="15.75" customHeight="1">
      <c r="A1520" s="2" t="s">
        <v>10699</v>
      </c>
      <c r="B1520" s="2" t="s">
        <v>1361</v>
      </c>
      <c r="C1520" s="2">
        <v>2010.0</v>
      </c>
      <c r="D1520" s="2" t="s">
        <v>10700</v>
      </c>
      <c r="E1520" s="2" t="s">
        <v>10701</v>
      </c>
      <c r="F1520" s="2" t="s">
        <v>10702</v>
      </c>
      <c r="I1520" s="2" t="s">
        <v>925</v>
      </c>
      <c r="J1520" s="12" t="str">
        <f>VLOOKUP(I1520,'Copy of Enriched Data - IPBES G'!$L$2:$L$229,1,false)</f>
        <v>10.1146/annurev-marine-120308-081105</v>
      </c>
      <c r="M1520" s="2" t="s">
        <v>1449</v>
      </c>
      <c r="N1520" s="2" t="s">
        <v>10703</v>
      </c>
      <c r="O1520" s="2" t="s">
        <v>10704</v>
      </c>
      <c r="Q1520" s="2" t="s">
        <v>10705</v>
      </c>
      <c r="T1520" s="2">
        <v>2.0</v>
      </c>
      <c r="AO1520" s="2" t="s">
        <v>1368</v>
      </c>
    </row>
    <row r="1521" ht="15.75" customHeight="1">
      <c r="A1521" s="2" t="s">
        <v>4213</v>
      </c>
      <c r="B1521" s="2" t="s">
        <v>1361</v>
      </c>
      <c r="C1521" s="2">
        <v>2010.0</v>
      </c>
      <c r="D1521" s="2" t="s">
        <v>4214</v>
      </c>
      <c r="E1521" s="2" t="s">
        <v>930</v>
      </c>
      <c r="F1521" s="2" t="s">
        <v>4215</v>
      </c>
      <c r="H1521" s="2" t="s">
        <v>4216</v>
      </c>
      <c r="I1521" s="2" t="s">
        <v>933</v>
      </c>
      <c r="J1521" s="12" t="str">
        <f>VLOOKUP(I1521,'Copy of Enriched Data - IPBES G'!$L$2:$L$229,1,false)</f>
        <v>10.1146/annurev-environ-033009-095548</v>
      </c>
      <c r="K1521" s="2" t="s">
        <v>4217</v>
      </c>
      <c r="L1521" s="2" t="s">
        <v>932</v>
      </c>
      <c r="M1521" s="2" t="s">
        <v>4218</v>
      </c>
      <c r="N1521" s="2" t="s">
        <v>4219</v>
      </c>
      <c r="O1521" s="2" t="s">
        <v>4220</v>
      </c>
      <c r="Q1521" s="2" t="s">
        <v>4221</v>
      </c>
      <c r="S1521" s="2" t="s">
        <v>1462</v>
      </c>
      <c r="T1521" s="2">
        <v>35.0</v>
      </c>
      <c r="AO1521" s="2" t="s">
        <v>2169</v>
      </c>
    </row>
    <row r="1522" ht="15.75" customHeight="1">
      <c r="A1522" s="2" t="s">
        <v>10750</v>
      </c>
      <c r="B1522" s="2" t="s">
        <v>1361</v>
      </c>
      <c r="C1522" s="2">
        <v>2011.0</v>
      </c>
      <c r="D1522" s="2" t="s">
        <v>10751</v>
      </c>
      <c r="E1522" s="2" t="s">
        <v>778</v>
      </c>
      <c r="F1522" s="2" t="s">
        <v>4215</v>
      </c>
      <c r="H1522" s="2" t="s">
        <v>4216</v>
      </c>
      <c r="I1522" s="2" t="s">
        <v>781</v>
      </c>
      <c r="J1522" s="12" t="str">
        <f>VLOOKUP(I1522,'Copy of Enriched Data - IPBES G'!$L$2:$L$229,1,false)</f>
        <v>10.1146/annurev-environ-021810-094524</v>
      </c>
      <c r="K1522" s="2" t="s">
        <v>10752</v>
      </c>
      <c r="L1522" s="2" t="s">
        <v>10753</v>
      </c>
      <c r="M1522" s="2" t="s">
        <v>6758</v>
      </c>
      <c r="N1522" s="2" t="s">
        <v>10754</v>
      </c>
      <c r="O1522" s="2" t="s">
        <v>10755</v>
      </c>
      <c r="Q1522" s="2" t="s">
        <v>10756</v>
      </c>
      <c r="S1522" s="2" t="s">
        <v>1462</v>
      </c>
      <c r="T1522" s="2">
        <v>36.0</v>
      </c>
      <c r="V1522" s="2" t="s">
        <v>2624</v>
      </c>
      <c r="AO1522" s="2" t="s">
        <v>2169</v>
      </c>
    </row>
    <row r="1523" ht="15.75" customHeight="1">
      <c r="A1523" s="2" t="s">
        <v>11479</v>
      </c>
      <c r="B1523" s="2" t="s">
        <v>1361</v>
      </c>
      <c r="C1523" s="2">
        <v>2012.0</v>
      </c>
      <c r="D1523" s="2" t="s">
        <v>11480</v>
      </c>
      <c r="E1523" s="2" t="s">
        <v>11481</v>
      </c>
      <c r="F1523" s="2" t="s">
        <v>11482</v>
      </c>
      <c r="H1523" s="2" t="s">
        <v>11483</v>
      </c>
      <c r="I1523" s="2" t="s">
        <v>11484</v>
      </c>
      <c r="J1523" s="12" t="str">
        <f>VLOOKUP(I1523,'Copy of Enriched Data - IPBES G'!$L$2:$L$229,1,false)</f>
        <v>10.1130/GSAT151A.1</v>
      </c>
      <c r="L1523" s="2" t="s">
        <v>11485</v>
      </c>
      <c r="M1523" s="2" t="s">
        <v>1405</v>
      </c>
      <c r="N1523" s="2" t="s">
        <v>1385</v>
      </c>
      <c r="O1523" s="2" t="s">
        <v>1386</v>
      </c>
      <c r="AO1523" s="2" t="s">
        <v>1368</v>
      </c>
    </row>
    <row r="1524" ht="15.75" customHeight="1">
      <c r="A1524" s="2" t="s">
        <v>2938</v>
      </c>
      <c r="B1524" s="2" t="s">
        <v>1361</v>
      </c>
      <c r="C1524" s="2">
        <v>2015.0</v>
      </c>
      <c r="D1524" s="2" t="s">
        <v>2939</v>
      </c>
      <c r="E1524" s="2" t="s">
        <v>2940</v>
      </c>
      <c r="F1524" s="2" t="s">
        <v>1510</v>
      </c>
      <c r="H1524" s="2" t="s">
        <v>1546</v>
      </c>
      <c r="I1524" s="2" t="s">
        <v>326</v>
      </c>
      <c r="J1524" s="12" t="str">
        <f>VLOOKUP(I1524,'Copy of Enriched Data - IPBES G'!$L$2:$L$229,1,false)</f>
        <v>10.1126/science.aac4722</v>
      </c>
      <c r="K1524" s="2" t="s">
        <v>2941</v>
      </c>
      <c r="L1524" s="2" t="s">
        <v>2942</v>
      </c>
      <c r="M1524" s="2" t="s">
        <v>2943</v>
      </c>
      <c r="N1524" s="2" t="s">
        <v>1385</v>
      </c>
      <c r="O1524" s="2" t="s">
        <v>1386</v>
      </c>
      <c r="P1524" s="2" t="s">
        <v>2944</v>
      </c>
      <c r="Q1524" s="2" t="s">
        <v>2945</v>
      </c>
      <c r="S1524" s="2" t="s">
        <v>2946</v>
      </c>
      <c r="T1524" s="2" t="s">
        <v>2947</v>
      </c>
      <c r="V1524" s="2" t="s">
        <v>1510</v>
      </c>
      <c r="AD1524" s="2" t="s">
        <v>1540</v>
      </c>
      <c r="AI1524" s="2" t="s">
        <v>1541</v>
      </c>
      <c r="AO1524" s="2" t="s">
        <v>2852</v>
      </c>
    </row>
    <row r="1525" ht="15.75" customHeight="1">
      <c r="A1525" s="2" t="s">
        <v>10919</v>
      </c>
      <c r="B1525" s="2" t="s">
        <v>1361</v>
      </c>
      <c r="C1525" s="2">
        <v>2015.0</v>
      </c>
      <c r="D1525" s="2" t="s">
        <v>10920</v>
      </c>
      <c r="E1525" s="2" t="s">
        <v>347</v>
      </c>
      <c r="F1525" s="2" t="s">
        <v>1510</v>
      </c>
      <c r="H1525" s="2" t="s">
        <v>1511</v>
      </c>
      <c r="I1525" s="2" t="s">
        <v>349</v>
      </c>
      <c r="J1525" s="12" t="str">
        <f>VLOOKUP(I1525,'Copy of Enriched Data - IPBES G'!$L$2:$L$229,1,false)</f>
        <v>10.1126/science.aaa8913</v>
      </c>
      <c r="K1525" s="2" t="s">
        <v>10921</v>
      </c>
      <c r="L1525" s="2" t="s">
        <v>348</v>
      </c>
      <c r="M1525" s="2" t="s">
        <v>5599</v>
      </c>
      <c r="N1525" s="2" t="s">
        <v>1385</v>
      </c>
      <c r="O1525" s="2" t="s">
        <v>1386</v>
      </c>
      <c r="Q1525" s="2" t="s">
        <v>10922</v>
      </c>
      <c r="S1525" s="2" t="s">
        <v>10923</v>
      </c>
      <c r="T1525" s="2">
        <v>348.0</v>
      </c>
      <c r="AO1525" s="2" t="s">
        <v>1368</v>
      </c>
    </row>
    <row r="1526" ht="15.75" customHeight="1">
      <c r="A1526" s="2" t="s">
        <v>11288</v>
      </c>
      <c r="B1526" s="2" t="s">
        <v>1361</v>
      </c>
      <c r="C1526" s="2">
        <v>2015.0</v>
      </c>
      <c r="D1526" s="2" t="s">
        <v>11289</v>
      </c>
      <c r="E1526" s="2" t="s">
        <v>408</v>
      </c>
      <c r="F1526" s="2" t="s">
        <v>1510</v>
      </c>
      <c r="H1526" s="2" t="s">
        <v>1511</v>
      </c>
      <c r="I1526" s="2" t="s">
        <v>410</v>
      </c>
      <c r="J1526" s="12" t="str">
        <f>VLOOKUP(I1526,'Copy of Enriched Data - IPBES G'!$L$2:$L$229,1,false)</f>
        <v>10.1126/science.1260352</v>
      </c>
      <c r="K1526" s="2" t="s">
        <v>11290</v>
      </c>
      <c r="L1526" s="2" t="s">
        <v>11291</v>
      </c>
      <c r="M1526" s="2" t="s">
        <v>11292</v>
      </c>
      <c r="N1526" s="2" t="s">
        <v>11293</v>
      </c>
      <c r="O1526" s="2" t="s">
        <v>11294</v>
      </c>
      <c r="Q1526" s="2" t="s">
        <v>11295</v>
      </c>
      <c r="S1526" s="2" t="s">
        <v>11296</v>
      </c>
      <c r="T1526" s="2" t="s">
        <v>11297</v>
      </c>
      <c r="V1526" s="2" t="s">
        <v>1510</v>
      </c>
      <c r="AD1526" s="2" t="s">
        <v>1540</v>
      </c>
      <c r="AI1526" s="2" t="s">
        <v>1541</v>
      </c>
      <c r="AO1526" s="2" t="s">
        <v>9675</v>
      </c>
    </row>
    <row r="1527" ht="15.75" customHeight="1">
      <c r="A1527" s="2" t="s">
        <v>6689</v>
      </c>
      <c r="B1527" s="2" t="s">
        <v>1361</v>
      </c>
      <c r="C1527" s="2">
        <v>2014.0</v>
      </c>
      <c r="D1527" s="2" t="s">
        <v>6690</v>
      </c>
      <c r="E1527" s="2" t="s">
        <v>489</v>
      </c>
      <c r="F1527" s="2" t="s">
        <v>1510</v>
      </c>
      <c r="H1527" s="2" t="s">
        <v>1546</v>
      </c>
      <c r="I1527" s="2" t="s">
        <v>491</v>
      </c>
      <c r="J1527" s="12" t="str">
        <f>VLOOKUP(I1527,'Copy of Enriched Data - IPBES G'!$L$2:$L$229,1,false)</f>
        <v>10.1126/science.1248525</v>
      </c>
      <c r="K1527" s="2" t="s">
        <v>6691</v>
      </c>
      <c r="L1527" s="2" t="s">
        <v>490</v>
      </c>
      <c r="M1527" s="2" t="s">
        <v>6692</v>
      </c>
      <c r="N1527" s="2" t="s">
        <v>6693</v>
      </c>
      <c r="O1527" s="2" t="s">
        <v>6694</v>
      </c>
      <c r="P1527" s="2" t="s">
        <v>6695</v>
      </c>
      <c r="Q1527" s="2" t="s">
        <v>6696</v>
      </c>
      <c r="S1527" s="2" t="s">
        <v>6697</v>
      </c>
      <c r="T1527" s="2" t="s">
        <v>6698</v>
      </c>
      <c r="V1527" s="2" t="s">
        <v>1510</v>
      </c>
      <c r="AD1527" s="2" t="s">
        <v>1540</v>
      </c>
      <c r="AI1527" s="2" t="s">
        <v>1541</v>
      </c>
      <c r="AO1527" s="2" t="s">
        <v>1872</v>
      </c>
    </row>
    <row r="1528" ht="15.75" customHeight="1">
      <c r="A1528" s="2" t="s">
        <v>10324</v>
      </c>
      <c r="B1528" s="2" t="s">
        <v>1361</v>
      </c>
      <c r="C1528" s="2">
        <v>2010.0</v>
      </c>
      <c r="D1528" s="2" t="s">
        <v>10325</v>
      </c>
      <c r="E1528" s="2" t="s">
        <v>825</v>
      </c>
      <c r="F1528" s="2" t="s">
        <v>1510</v>
      </c>
      <c r="H1528" s="2" t="s">
        <v>1511</v>
      </c>
      <c r="I1528" s="2" t="s">
        <v>827</v>
      </c>
      <c r="J1528" s="12" t="str">
        <f>VLOOKUP(I1528,'Copy of Enriched Data - IPBES G'!$L$2:$L$229,1,false)</f>
        <v>10.1126/science.1192321</v>
      </c>
      <c r="K1528" s="2" t="s">
        <v>10326</v>
      </c>
      <c r="L1528" s="2" t="s">
        <v>10327</v>
      </c>
      <c r="M1528" s="2" t="s">
        <v>7291</v>
      </c>
      <c r="N1528" s="2" t="s">
        <v>1385</v>
      </c>
      <c r="O1528" s="2" t="s">
        <v>1386</v>
      </c>
      <c r="Q1528" s="2" t="s">
        <v>10328</v>
      </c>
      <c r="S1528" s="2">
        <v>5996.0</v>
      </c>
      <c r="T1528" s="2">
        <v>329.0</v>
      </c>
      <c r="AO1528" s="2" t="s">
        <v>1368</v>
      </c>
    </row>
    <row r="1529" ht="15.75" customHeight="1">
      <c r="A1529" s="2" t="s">
        <v>2239</v>
      </c>
      <c r="B1529" s="2" t="s">
        <v>1361</v>
      </c>
      <c r="C1529" s="2">
        <v>2010.0</v>
      </c>
      <c r="D1529" s="2" t="s">
        <v>2240</v>
      </c>
      <c r="E1529" s="2" t="s">
        <v>856</v>
      </c>
      <c r="F1529" s="2" t="s">
        <v>1510</v>
      </c>
      <c r="H1529" s="2" t="s">
        <v>1511</v>
      </c>
      <c r="I1529" s="2" t="s">
        <v>858</v>
      </c>
      <c r="J1529" s="12" t="str">
        <f>VLOOKUP(I1529,'Copy of Enriched Data - IPBES G'!$L$2:$L$229,1,false)</f>
        <v>10.1126/science.1189930</v>
      </c>
      <c r="K1529" s="2" t="s">
        <v>2241</v>
      </c>
      <c r="L1529" s="2" t="s">
        <v>857</v>
      </c>
      <c r="M1529" s="2" t="s">
        <v>1449</v>
      </c>
      <c r="N1529" s="2" t="s">
        <v>1385</v>
      </c>
      <c r="O1529" s="2" t="s">
        <v>1386</v>
      </c>
      <c r="Q1529" s="2" t="s">
        <v>2242</v>
      </c>
      <c r="S1529" s="2" t="s">
        <v>2243</v>
      </c>
      <c r="T1529" s="2">
        <v>328.0</v>
      </c>
      <c r="AO1529" s="2" t="s">
        <v>2244</v>
      </c>
    </row>
    <row r="1530" ht="15.75" customHeight="1">
      <c r="A1530" s="2" t="s">
        <v>10977</v>
      </c>
      <c r="B1530" s="2" t="s">
        <v>1361</v>
      </c>
      <c r="C1530" s="2">
        <v>2010.0</v>
      </c>
      <c r="D1530" s="2" t="s">
        <v>10978</v>
      </c>
      <c r="E1530" s="2" t="s">
        <v>879</v>
      </c>
      <c r="F1530" s="2" t="s">
        <v>1510</v>
      </c>
      <c r="H1530" s="2" t="s">
        <v>1546</v>
      </c>
      <c r="I1530" s="2" t="s">
        <v>881</v>
      </c>
      <c r="J1530" s="12" t="str">
        <f>VLOOKUP(I1530,'Copy of Enriched Data - IPBES G'!$L$2:$L$229,1,false)</f>
        <v>10.1126/science.1187512</v>
      </c>
      <c r="K1530" s="2" t="s">
        <v>10979</v>
      </c>
      <c r="L1530" s="2" t="s">
        <v>10980</v>
      </c>
      <c r="M1530" s="2" t="s">
        <v>10981</v>
      </c>
      <c r="N1530" s="2" t="s">
        <v>10982</v>
      </c>
      <c r="O1530" s="2" t="s">
        <v>10983</v>
      </c>
      <c r="P1530" s="2" t="s">
        <v>2229</v>
      </c>
      <c r="Q1530" s="2" t="s">
        <v>10984</v>
      </c>
      <c r="S1530" s="2" t="s">
        <v>10985</v>
      </c>
      <c r="T1530" s="2">
        <v>328.0</v>
      </c>
      <c r="V1530" s="2" t="s">
        <v>1510</v>
      </c>
      <c r="W1530" s="2" t="s">
        <v>10986</v>
      </c>
      <c r="AD1530" s="2" t="s">
        <v>1540</v>
      </c>
      <c r="AI1530" s="2" t="s">
        <v>1541</v>
      </c>
      <c r="AO1530" s="2" t="s">
        <v>10987</v>
      </c>
    </row>
    <row r="1531" ht="15.75" customHeight="1">
      <c r="A1531" s="2" t="s">
        <v>6783</v>
      </c>
      <c r="B1531" s="2" t="s">
        <v>1361</v>
      </c>
      <c r="C1531" s="2">
        <v>2010.0</v>
      </c>
      <c r="D1531" s="2" t="s">
        <v>6784</v>
      </c>
      <c r="E1531" s="2" t="s">
        <v>863</v>
      </c>
      <c r="F1531" s="2" t="s">
        <v>1510</v>
      </c>
      <c r="H1531" s="2" t="s">
        <v>1511</v>
      </c>
      <c r="I1531" s="2" t="s">
        <v>865</v>
      </c>
      <c r="J1531" s="12" t="str">
        <f>VLOOKUP(I1531,'Copy of Enriched Data - IPBES G'!$L$2:$L$229,1,false)</f>
        <v>10.1126/science.1185782</v>
      </c>
      <c r="K1531" s="2" t="s">
        <v>6785</v>
      </c>
      <c r="M1531" s="2" t="s">
        <v>1449</v>
      </c>
      <c r="N1531" s="2" t="s">
        <v>1385</v>
      </c>
      <c r="O1531" s="2" t="s">
        <v>1386</v>
      </c>
      <c r="Q1531" s="2" t="s">
        <v>6786</v>
      </c>
      <c r="S1531" s="2" t="s">
        <v>2243</v>
      </c>
      <c r="T1531" s="2" t="s">
        <v>6787</v>
      </c>
      <c r="AO1531" s="2" t="s">
        <v>1368</v>
      </c>
    </row>
    <row r="1532" ht="15.75" customHeight="1">
      <c r="A1532" s="2" t="s">
        <v>8076</v>
      </c>
      <c r="B1532" s="2" t="s">
        <v>1361</v>
      </c>
      <c r="C1532" s="2">
        <v>2010.0</v>
      </c>
      <c r="D1532" s="2" t="s">
        <v>8077</v>
      </c>
      <c r="E1532" s="2" t="s">
        <v>8078</v>
      </c>
      <c r="F1532" s="2" t="s">
        <v>1510</v>
      </c>
      <c r="I1532" s="2" t="s">
        <v>917</v>
      </c>
      <c r="J1532" s="12" t="str">
        <f>VLOOKUP(I1532,'Copy of Enriched Data - IPBES G'!$L$2:$L$229,1,false)</f>
        <v>10.1126/science.1180568</v>
      </c>
      <c r="M1532" s="2" t="s">
        <v>1449</v>
      </c>
      <c r="N1532" s="2" t="s">
        <v>8079</v>
      </c>
      <c r="O1532" s="2" t="s">
        <v>8080</v>
      </c>
      <c r="Q1532" s="2" t="s">
        <v>8081</v>
      </c>
      <c r="S1532" s="2">
        <v>5964.0</v>
      </c>
      <c r="T1532" s="2">
        <v>327.0</v>
      </c>
      <c r="AO1532" s="2" t="s">
        <v>1368</v>
      </c>
    </row>
    <row r="1533" ht="15.75" customHeight="1">
      <c r="A1533" s="2" t="s">
        <v>5476</v>
      </c>
      <c r="B1533" s="2" t="s">
        <v>1361</v>
      </c>
      <c r="C1533" s="2">
        <v>2009.0</v>
      </c>
      <c r="D1533" s="2" t="s">
        <v>5477</v>
      </c>
      <c r="E1533" s="2" t="s">
        <v>961</v>
      </c>
      <c r="F1533" s="2" t="s">
        <v>1510</v>
      </c>
      <c r="H1533" s="2" t="s">
        <v>1511</v>
      </c>
      <c r="I1533" s="2" t="s">
        <v>963</v>
      </c>
      <c r="J1533" s="12" t="str">
        <f>VLOOKUP(I1533,'Copy of Enriched Data - IPBES G'!$L$2:$L$229,1,false)</f>
        <v>10.1126/science.1173146</v>
      </c>
      <c r="K1533" s="2" t="s">
        <v>5478</v>
      </c>
      <c r="L1533" s="2" t="s">
        <v>962</v>
      </c>
      <c r="M1533" s="2" t="s">
        <v>5479</v>
      </c>
      <c r="N1533" s="2" t="s">
        <v>1385</v>
      </c>
      <c r="O1533" s="2" t="s">
        <v>1386</v>
      </c>
      <c r="Q1533" s="2" t="s">
        <v>5480</v>
      </c>
      <c r="S1533" s="2" t="s">
        <v>5481</v>
      </c>
      <c r="T1533" s="2">
        <v>325.0</v>
      </c>
      <c r="AO1533" s="2" t="s">
        <v>3548</v>
      </c>
    </row>
    <row r="1534" ht="15.75" customHeight="1">
      <c r="A1534" s="2" t="s">
        <v>2223</v>
      </c>
      <c r="B1534" s="2" t="s">
        <v>1361</v>
      </c>
      <c r="C1534" s="2">
        <v>2008.0</v>
      </c>
      <c r="D1534" s="2" t="s">
        <v>2224</v>
      </c>
      <c r="E1534" s="2" t="s">
        <v>2225</v>
      </c>
      <c r="F1534" s="2" t="s">
        <v>1510</v>
      </c>
      <c r="H1534" s="2" t="s">
        <v>1546</v>
      </c>
      <c r="I1534" s="2" t="s">
        <v>1023</v>
      </c>
      <c r="J1534" s="12" t="str">
        <f>VLOOKUP(I1534,'Copy of Enriched Data - IPBES G'!$L$2:$L$229,1,false)</f>
        <v>10.1126/science.1149345</v>
      </c>
      <c r="K1534" s="2" t="s">
        <v>2226</v>
      </c>
      <c r="L1534" s="2" t="s">
        <v>2227</v>
      </c>
      <c r="M1534" s="2" t="s">
        <v>2228</v>
      </c>
      <c r="N1534" s="2" t="s">
        <v>1385</v>
      </c>
      <c r="O1534" s="2" t="s">
        <v>1386</v>
      </c>
      <c r="P1534" s="2" t="s">
        <v>2229</v>
      </c>
      <c r="Q1534" s="2" t="s">
        <v>2230</v>
      </c>
      <c r="S1534" s="2" t="s">
        <v>2231</v>
      </c>
      <c r="T1534" s="2">
        <v>319.0</v>
      </c>
      <c r="V1534" s="2" t="s">
        <v>1510</v>
      </c>
      <c r="AD1534" s="2" t="s">
        <v>1540</v>
      </c>
      <c r="AI1534" s="2" t="s">
        <v>1541</v>
      </c>
      <c r="AO1534" s="2" t="s">
        <v>2159</v>
      </c>
    </row>
    <row r="1535" ht="15.75" customHeight="1">
      <c r="A1535" s="2" t="s">
        <v>2841</v>
      </c>
      <c r="B1535" s="2" t="s">
        <v>1361</v>
      </c>
      <c r="C1535" s="2">
        <v>2005.0</v>
      </c>
      <c r="D1535" s="2" t="s">
        <v>2842</v>
      </c>
      <c r="E1535" s="2" t="s">
        <v>2843</v>
      </c>
      <c r="F1535" s="2" t="s">
        <v>1510</v>
      </c>
      <c r="H1535" s="2" t="s">
        <v>1546</v>
      </c>
      <c r="I1535" s="2" t="s">
        <v>1094</v>
      </c>
      <c r="J1535" s="12" t="str">
        <f>VLOOKUP(I1535,'Copy of Enriched Data - IPBES G'!$L$2:$L$229,1,false)</f>
        <v>10.1126/science.1111772</v>
      </c>
      <c r="K1535" s="2" t="s">
        <v>2844</v>
      </c>
      <c r="L1535" s="2" t="s">
        <v>2845</v>
      </c>
      <c r="M1535" s="2" t="s">
        <v>2846</v>
      </c>
      <c r="N1535" s="2" t="s">
        <v>2847</v>
      </c>
      <c r="O1535" s="2" t="s">
        <v>2848</v>
      </c>
      <c r="P1535" s="2" t="s">
        <v>2229</v>
      </c>
      <c r="Q1535" s="2" t="s">
        <v>2849</v>
      </c>
      <c r="S1535" s="2" t="s">
        <v>2850</v>
      </c>
      <c r="T1535" s="2" t="s">
        <v>2851</v>
      </c>
      <c r="V1535" s="2" t="s">
        <v>1510</v>
      </c>
      <c r="AD1535" s="2" t="s">
        <v>1540</v>
      </c>
      <c r="AI1535" s="2" t="s">
        <v>1541</v>
      </c>
      <c r="AO1535" s="2" t="s">
        <v>2852</v>
      </c>
    </row>
    <row r="1536" ht="15.75" customHeight="1">
      <c r="A1536" s="2" t="s">
        <v>3241</v>
      </c>
      <c r="B1536" s="2" t="s">
        <v>1361</v>
      </c>
      <c r="C1536" s="2">
        <v>2004.0</v>
      </c>
      <c r="D1536" s="2" t="s">
        <v>3242</v>
      </c>
      <c r="E1536" s="2" t="s">
        <v>1140</v>
      </c>
      <c r="F1536" s="2" t="s">
        <v>1510</v>
      </c>
      <c r="H1536" s="2" t="s">
        <v>1917</v>
      </c>
      <c r="I1536" s="2" t="s">
        <v>1142</v>
      </c>
      <c r="J1536" s="12" t="str">
        <f>VLOOKUP(I1536,'Copy of Enriched Data - IPBES G'!$L$2:$L$229,1,false)</f>
        <v>10.1126/science.1097329</v>
      </c>
      <c r="L1536" s="2" t="s">
        <v>3243</v>
      </c>
      <c r="M1536" s="2" t="s">
        <v>2373</v>
      </c>
      <c r="N1536" s="2" t="s">
        <v>1385</v>
      </c>
      <c r="O1536" s="2" t="s">
        <v>1386</v>
      </c>
      <c r="AO1536" s="2" t="s">
        <v>1368</v>
      </c>
    </row>
    <row r="1537" ht="15.75" customHeight="1">
      <c r="A1537" s="2" t="s">
        <v>9179</v>
      </c>
      <c r="B1537" s="2" t="s">
        <v>1361</v>
      </c>
      <c r="C1537" s="2">
        <v>2002.0</v>
      </c>
      <c r="D1537" s="2" t="s">
        <v>9180</v>
      </c>
      <c r="E1537" s="2" t="s">
        <v>9181</v>
      </c>
      <c r="F1537" s="2" t="s">
        <v>1510</v>
      </c>
      <c r="I1537" s="2" t="s">
        <v>1195</v>
      </c>
      <c r="J1537" s="12" t="str">
        <f>VLOOKUP(I1537,'Copy of Enriched Data - IPBES G'!$L$2:$L$229,1,false)</f>
        <v>10.1126/science.1071828</v>
      </c>
      <c r="M1537" s="2" t="s">
        <v>1493</v>
      </c>
      <c r="N1537" s="2" t="s">
        <v>9182</v>
      </c>
      <c r="O1537" s="2" t="s">
        <v>9183</v>
      </c>
      <c r="S1537" s="2" t="s">
        <v>9184</v>
      </c>
      <c r="T1537" s="2">
        <v>296.0</v>
      </c>
      <c r="AO1537" s="2" t="s">
        <v>1368</v>
      </c>
    </row>
    <row r="1538" ht="15.75" customHeight="1">
      <c r="A1538" s="2" t="s">
        <v>2954</v>
      </c>
      <c r="B1538" s="2" t="s">
        <v>1361</v>
      </c>
      <c r="C1538" s="2">
        <v>2017.0</v>
      </c>
      <c r="D1538" s="2" t="s">
        <v>2955</v>
      </c>
      <c r="E1538" s="2" t="s">
        <v>85</v>
      </c>
      <c r="F1538" s="2" t="s">
        <v>1613</v>
      </c>
      <c r="H1538" s="2" t="s">
        <v>1614</v>
      </c>
      <c r="I1538" s="2" t="s">
        <v>88</v>
      </c>
      <c r="J1538" s="12" t="str">
        <f>VLOOKUP(I1538,'Copy of Enriched Data - IPBES G'!$L$2:$L$229,1,false)</f>
        <v>10.1126/sciadv.1700782</v>
      </c>
      <c r="M1538" s="2" t="s">
        <v>2956</v>
      </c>
      <c r="N1538" s="2" t="s">
        <v>1385</v>
      </c>
      <c r="O1538" s="2" t="s">
        <v>1386</v>
      </c>
      <c r="Q1538" s="2" t="s">
        <v>2957</v>
      </c>
      <c r="S1538" s="2" t="s">
        <v>1443</v>
      </c>
      <c r="T1538" s="2" t="s">
        <v>1600</v>
      </c>
      <c r="AO1538" s="2" t="s">
        <v>2169</v>
      </c>
    </row>
    <row r="1539" ht="15.75" customHeight="1">
      <c r="A1539" s="2" t="s">
        <v>5956</v>
      </c>
      <c r="B1539" s="2" t="s">
        <v>1361</v>
      </c>
      <c r="C1539" s="2">
        <v>2017.0</v>
      </c>
      <c r="D1539" s="2" t="s">
        <v>5957</v>
      </c>
      <c r="E1539" s="2" t="s">
        <v>149</v>
      </c>
      <c r="F1539" s="2" t="s">
        <v>1613</v>
      </c>
      <c r="H1539" s="2" t="s">
        <v>1614</v>
      </c>
      <c r="I1539" s="2" t="s">
        <v>151</v>
      </c>
      <c r="J1539" s="12" t="str">
        <f>VLOOKUP(I1539,'Copy of Enriched Data - IPBES G'!$L$2:$L$229,1,false)</f>
        <v>10.1126/sciadv.1600821</v>
      </c>
      <c r="K1539" s="2" t="s">
        <v>5958</v>
      </c>
      <c r="L1539" s="2" t="s">
        <v>5959</v>
      </c>
      <c r="M1539" s="2" t="s">
        <v>5960</v>
      </c>
      <c r="N1539" s="2" t="s">
        <v>5961</v>
      </c>
      <c r="O1539" s="2" t="s">
        <v>5962</v>
      </c>
      <c r="P1539" s="2" t="s">
        <v>2229</v>
      </c>
      <c r="Q1539" s="2" t="s">
        <v>5963</v>
      </c>
      <c r="S1539" s="2" t="s">
        <v>1462</v>
      </c>
      <c r="T1539" s="2" t="s">
        <v>1600</v>
      </c>
      <c r="V1539" s="2" t="s">
        <v>5964</v>
      </c>
      <c r="W1539" s="2" t="s">
        <v>5965</v>
      </c>
      <c r="AD1539" s="2" t="s">
        <v>1540</v>
      </c>
      <c r="AI1539" s="2" t="s">
        <v>1541</v>
      </c>
      <c r="AO1539" s="2" t="s">
        <v>5966</v>
      </c>
    </row>
    <row r="1540" ht="15.75" customHeight="1">
      <c r="A1540" s="2" t="s">
        <v>3319</v>
      </c>
      <c r="B1540" s="2" t="s">
        <v>1361</v>
      </c>
      <c r="C1540" s="2">
        <v>2016.0</v>
      </c>
      <c r="D1540" s="2" t="s">
        <v>3320</v>
      </c>
      <c r="E1540" s="2" t="s">
        <v>173</v>
      </c>
      <c r="F1540" s="2" t="s">
        <v>1613</v>
      </c>
      <c r="I1540" s="2" t="s">
        <v>175</v>
      </c>
      <c r="J1540" s="12" t="str">
        <f>VLOOKUP(I1540,'Copy of Enriched Data - IPBES G'!$L$2:$L$229,1,false)</f>
        <v>10.1126/sciadv.1501923</v>
      </c>
      <c r="L1540" s="2" t="s">
        <v>3321</v>
      </c>
      <c r="M1540" s="2" t="s">
        <v>1502</v>
      </c>
      <c r="N1540" s="2" t="s">
        <v>1385</v>
      </c>
      <c r="O1540" s="2" t="s">
        <v>1386</v>
      </c>
      <c r="S1540" s="2" t="s">
        <v>1620</v>
      </c>
      <c r="T1540" s="2" t="s">
        <v>1453</v>
      </c>
      <c r="AO1540" s="2" t="s">
        <v>1368</v>
      </c>
    </row>
    <row r="1541" ht="15.75" customHeight="1">
      <c r="A1541" s="2" t="s">
        <v>5008</v>
      </c>
      <c r="B1541" s="2" t="s">
        <v>1361</v>
      </c>
      <c r="C1541" s="2">
        <v>2016.0</v>
      </c>
      <c r="D1541" s="2" t="s">
        <v>5009</v>
      </c>
      <c r="E1541" s="2" t="s">
        <v>232</v>
      </c>
      <c r="F1541" s="2" t="s">
        <v>1613</v>
      </c>
      <c r="H1541" s="2" t="s">
        <v>1614</v>
      </c>
      <c r="I1541" s="2" t="s">
        <v>234</v>
      </c>
      <c r="J1541" s="12" t="str">
        <f>VLOOKUP(I1541,'Copy of Enriched Data - IPBES G'!$L$2:$L$229,1,false)</f>
        <v>10.1126/sciadv.1500965</v>
      </c>
      <c r="L1541" s="2" t="s">
        <v>5010</v>
      </c>
      <c r="M1541" s="2" t="s">
        <v>1502</v>
      </c>
      <c r="N1541" s="2" t="s">
        <v>1385</v>
      </c>
      <c r="O1541" s="2" t="s">
        <v>1386</v>
      </c>
      <c r="AO1541" s="2" t="s">
        <v>1368</v>
      </c>
    </row>
    <row r="1542" ht="15.75" customHeight="1">
      <c r="A1542" s="2" t="s">
        <v>2362</v>
      </c>
      <c r="B1542" s="2" t="s">
        <v>1361</v>
      </c>
      <c r="C1542" s="2">
        <v>2015.0</v>
      </c>
      <c r="D1542" s="2" t="s">
        <v>2363</v>
      </c>
      <c r="E1542" s="2" t="s">
        <v>2364</v>
      </c>
      <c r="F1542" s="2" t="s">
        <v>2365</v>
      </c>
      <c r="H1542" s="2" t="s">
        <v>1614</v>
      </c>
      <c r="I1542" s="2" t="s">
        <v>403</v>
      </c>
      <c r="J1542" s="12" t="str">
        <f>VLOOKUP(I1542,'Copy of Enriched Data - IPBES G'!$L$2:$L$229,1,false)</f>
        <v>10.1126/sciadv.1500052</v>
      </c>
      <c r="L1542" s="2" t="s">
        <v>2366</v>
      </c>
      <c r="M1542" s="2" t="s">
        <v>1373</v>
      </c>
      <c r="N1542" s="2" t="s">
        <v>1385</v>
      </c>
      <c r="O1542" s="2" t="s">
        <v>1386</v>
      </c>
      <c r="AO1542" s="2" t="s">
        <v>1368</v>
      </c>
    </row>
    <row r="1543" ht="15.75" customHeight="1">
      <c r="A1543" s="2" t="s">
        <v>6654</v>
      </c>
      <c r="B1543" s="2" t="s">
        <v>1361</v>
      </c>
      <c r="C1543" s="2">
        <v>2012.0</v>
      </c>
      <c r="D1543" s="2" t="s">
        <v>6655</v>
      </c>
      <c r="E1543" s="2" t="s">
        <v>659</v>
      </c>
      <c r="F1543" s="2" t="s">
        <v>6656</v>
      </c>
      <c r="I1543" s="2" t="s">
        <v>662</v>
      </c>
      <c r="J1543" s="12" t="str">
        <f>VLOOKUP(I1543,'Copy of Enriched Data - IPBES G'!$L$2:$L$229,1,false)</f>
        <v>10.1111/j.1757-1707.2012.01172.x</v>
      </c>
      <c r="M1543" s="2" t="s">
        <v>1405</v>
      </c>
      <c r="N1543" s="2" t="s">
        <v>6657</v>
      </c>
      <c r="O1543" s="2" t="s">
        <v>6658</v>
      </c>
      <c r="Q1543" s="2" t="s">
        <v>6659</v>
      </c>
      <c r="S1543" s="2" t="s">
        <v>1937</v>
      </c>
      <c r="T1543" s="2" t="s">
        <v>1506</v>
      </c>
      <c r="AO1543" s="2" t="s">
        <v>1368</v>
      </c>
    </row>
    <row r="1544" ht="15.75" customHeight="1">
      <c r="A1544" s="2" t="s">
        <v>11039</v>
      </c>
      <c r="B1544" s="2" t="s">
        <v>1361</v>
      </c>
      <c r="C1544" s="2">
        <v>2007.0</v>
      </c>
      <c r="D1544" s="2" t="s">
        <v>11040</v>
      </c>
      <c r="E1544" s="2" t="s">
        <v>11041</v>
      </c>
      <c r="F1544" s="2" t="s">
        <v>11042</v>
      </c>
      <c r="I1544" s="2" t="s">
        <v>11043</v>
      </c>
      <c r="J1544" s="12" t="str">
        <f>VLOOKUP(I1544,'Copy of Enriched Data - IPBES G'!$L$2:$L$229,1,false)</f>
        <v>10.1111/j.1744-697X.2007.00073.x</v>
      </c>
      <c r="M1544" s="2" t="s">
        <v>2380</v>
      </c>
      <c r="N1544" s="2" t="s">
        <v>11044</v>
      </c>
      <c r="O1544" s="2" t="s">
        <v>11045</v>
      </c>
      <c r="Q1544" s="2" t="s">
        <v>11046</v>
      </c>
      <c r="S1544" s="2">
        <v>1.0</v>
      </c>
      <c r="T1544" s="2">
        <v>53.0</v>
      </c>
      <c r="AO1544" s="2" t="s">
        <v>1368</v>
      </c>
    </row>
    <row r="1545" ht="15.75" customHeight="1">
      <c r="A1545" s="2" t="s">
        <v>8180</v>
      </c>
      <c r="B1545" s="2" t="s">
        <v>1361</v>
      </c>
      <c r="C1545" s="2">
        <v>2013.0</v>
      </c>
      <c r="D1545" s="2" t="s">
        <v>8181</v>
      </c>
      <c r="E1545" s="2" t="s">
        <v>610</v>
      </c>
      <c r="F1545" s="2" t="s">
        <v>3632</v>
      </c>
      <c r="H1545" s="2" t="s">
        <v>8182</v>
      </c>
      <c r="I1545" s="2" t="s">
        <v>612</v>
      </c>
      <c r="J1545" s="12" t="str">
        <f>VLOOKUP(I1545,'Copy of Enriched Data - IPBES G'!$L$2:$L$229,1,false)</f>
        <v>10.1111/j.1728-4457.2013.00561.x</v>
      </c>
      <c r="L1545" s="2" t="s">
        <v>8183</v>
      </c>
      <c r="M1545" s="2">
        <v>2013.0</v>
      </c>
      <c r="N1545" s="2" t="s">
        <v>1385</v>
      </c>
      <c r="O1545" s="2" t="s">
        <v>1386</v>
      </c>
      <c r="AO1545" s="2" t="s">
        <v>1368</v>
      </c>
    </row>
    <row r="1546" ht="15.75" customHeight="1">
      <c r="A1546" s="2" t="s">
        <v>10193</v>
      </c>
      <c r="B1546" s="2" t="s">
        <v>1361</v>
      </c>
      <c r="C1546" s="2">
        <v>2010.0</v>
      </c>
      <c r="D1546" s="2" t="s">
        <v>10194</v>
      </c>
      <c r="E1546" s="2" t="s">
        <v>10195</v>
      </c>
      <c r="F1546" s="2" t="s">
        <v>6363</v>
      </c>
      <c r="H1546" s="2" t="s">
        <v>6364</v>
      </c>
      <c r="I1546" s="2" t="s">
        <v>812</v>
      </c>
      <c r="J1546" s="12" t="str">
        <f>VLOOKUP(I1546,'Copy of Enriched Data - IPBES G'!$L$2:$L$229,1,false)</f>
        <v>10.1111/j.1461-0248.2010.01518.x</v>
      </c>
      <c r="K1546" s="2" t="s">
        <v>10196</v>
      </c>
      <c r="M1546" s="2" t="s">
        <v>4218</v>
      </c>
      <c r="N1546" s="2" t="s">
        <v>10197</v>
      </c>
      <c r="O1546" s="2" t="s">
        <v>10198</v>
      </c>
      <c r="P1546" s="2" t="s">
        <v>10199</v>
      </c>
      <c r="Q1546" s="2" t="s">
        <v>10200</v>
      </c>
      <c r="S1546" s="2">
        <v>11.0</v>
      </c>
      <c r="T1546" s="2">
        <v>13.0</v>
      </c>
      <c r="W1546" s="2" t="s">
        <v>809</v>
      </c>
      <c r="AD1546" s="2" t="s">
        <v>1540</v>
      </c>
      <c r="AI1546" s="2" t="s">
        <v>1541</v>
      </c>
      <c r="AO1546" s="2" t="s">
        <v>10201</v>
      </c>
    </row>
    <row r="1547" ht="15.75" customHeight="1">
      <c r="A1547" s="2" t="s">
        <v>7823</v>
      </c>
      <c r="B1547" s="2" t="s">
        <v>1361</v>
      </c>
      <c r="C1547" s="2">
        <v>2004.0</v>
      </c>
      <c r="D1547" s="2" t="s">
        <v>7824</v>
      </c>
      <c r="E1547" s="2" t="s">
        <v>1147</v>
      </c>
      <c r="F1547" s="2" t="s">
        <v>6641</v>
      </c>
      <c r="H1547" s="2" t="s">
        <v>7825</v>
      </c>
      <c r="I1547" s="2" t="s">
        <v>1150</v>
      </c>
      <c r="J1547" s="12" t="str">
        <f>VLOOKUP(I1547,'Copy of Enriched Data - IPBES G'!$L$2:$L$229,1,false)</f>
        <v>10.1111/j.1365-2664.2004.00859.x</v>
      </c>
      <c r="L1547" s="2" t="s">
        <v>7826</v>
      </c>
      <c r="M1547" s="2" t="s">
        <v>2373</v>
      </c>
      <c r="N1547" s="2" t="s">
        <v>1385</v>
      </c>
      <c r="O1547" s="2" t="s">
        <v>1386</v>
      </c>
      <c r="AO1547" s="2" t="s">
        <v>1368</v>
      </c>
    </row>
    <row r="1548" ht="15.75" customHeight="1">
      <c r="A1548" s="2" t="s">
        <v>5900</v>
      </c>
      <c r="B1548" s="2" t="s">
        <v>1361</v>
      </c>
      <c r="C1548" s="2">
        <v>2011.0</v>
      </c>
      <c r="D1548" s="2" t="s">
        <v>5901</v>
      </c>
      <c r="E1548" s="2" t="s">
        <v>770</v>
      </c>
      <c r="F1548" s="2" t="s">
        <v>5902</v>
      </c>
      <c r="I1548" s="2" t="s">
        <v>773</v>
      </c>
      <c r="J1548" s="12" t="str">
        <f>VLOOKUP(I1548,'Copy of Enriched Data - IPBES G'!$L$2:$L$229,1,false)</f>
        <v>10.1111/j.1365-2486.2010.02279.x</v>
      </c>
      <c r="L1548" s="2" t="s">
        <v>772</v>
      </c>
      <c r="M1548" s="2" t="s">
        <v>1627</v>
      </c>
      <c r="N1548" s="2" t="s">
        <v>5903</v>
      </c>
      <c r="O1548" s="2" t="s">
        <v>5904</v>
      </c>
      <c r="Q1548" s="2" t="s">
        <v>5905</v>
      </c>
      <c r="S1548" s="2" t="s">
        <v>1453</v>
      </c>
      <c r="T1548" s="2" t="s">
        <v>3391</v>
      </c>
      <c r="AO1548" s="2" t="s">
        <v>2169</v>
      </c>
    </row>
    <row r="1549" ht="15.75" customHeight="1">
      <c r="A1549" s="2" t="s">
        <v>3907</v>
      </c>
      <c r="B1549" s="2" t="s">
        <v>1361</v>
      </c>
      <c r="C1549" s="2">
        <v>2017.0</v>
      </c>
      <c r="D1549" s="2" t="s">
        <v>3908</v>
      </c>
      <c r="E1549" s="2" t="s">
        <v>122</v>
      </c>
      <c r="F1549" s="2" t="s">
        <v>3909</v>
      </c>
      <c r="H1549" s="2" t="s">
        <v>3910</v>
      </c>
      <c r="I1549" s="2" t="s">
        <v>125</v>
      </c>
      <c r="J1549" s="12" t="str">
        <f>VLOOKUP(I1549,'Copy of Enriched Data - IPBES G'!$L$2:$L$229,1,false)</f>
        <v>10.1111/fwb.12864</v>
      </c>
      <c r="M1549" s="2" t="s">
        <v>3911</v>
      </c>
      <c r="N1549" s="2" t="s">
        <v>1385</v>
      </c>
      <c r="O1549" s="2" t="s">
        <v>1386</v>
      </c>
      <c r="Q1549" s="2" t="s">
        <v>3912</v>
      </c>
      <c r="S1549" s="2" t="s">
        <v>1453</v>
      </c>
      <c r="T1549" s="2">
        <v>62.0</v>
      </c>
      <c r="AO1549" s="2" t="s">
        <v>1368</v>
      </c>
    </row>
    <row r="1550" ht="15.75" customHeight="1">
      <c r="A1550" s="2" t="s">
        <v>8682</v>
      </c>
      <c r="B1550" s="2" t="s">
        <v>1361</v>
      </c>
      <c r="C1550" s="2">
        <v>2016.0</v>
      </c>
      <c r="D1550" s="2" t="s">
        <v>8683</v>
      </c>
      <c r="E1550" s="2" t="s">
        <v>180</v>
      </c>
      <c r="F1550" s="2" t="s">
        <v>8684</v>
      </c>
      <c r="H1550" s="2" t="s">
        <v>8685</v>
      </c>
      <c r="I1550" s="2" t="s">
        <v>183</v>
      </c>
      <c r="J1550" s="12" t="str">
        <f>VLOOKUP(I1550,'Copy of Enriched Data - IPBES G'!$L$2:$L$229,1,false)</f>
        <v>10.1111/brv.12207</v>
      </c>
      <c r="L1550" s="2" t="s">
        <v>8686</v>
      </c>
      <c r="M1550" s="2" t="s">
        <v>1502</v>
      </c>
      <c r="N1550" s="2" t="s">
        <v>1385</v>
      </c>
      <c r="O1550" s="2" t="s">
        <v>1386</v>
      </c>
      <c r="Q1550" s="2" t="s">
        <v>8687</v>
      </c>
      <c r="S1550" s="2" t="s">
        <v>1506</v>
      </c>
      <c r="T1550" s="2">
        <v>91.0</v>
      </c>
      <c r="AO1550" s="2" t="s">
        <v>1368</v>
      </c>
    </row>
    <row r="1551" ht="15.75" customHeight="1">
      <c r="A1551" s="2" t="s">
        <v>3835</v>
      </c>
      <c r="B1551" s="2" t="s">
        <v>1361</v>
      </c>
      <c r="C1551" s="2">
        <v>2014.0</v>
      </c>
      <c r="D1551" s="2" t="s">
        <v>3836</v>
      </c>
      <c r="E1551" s="2" t="s">
        <v>3837</v>
      </c>
      <c r="F1551" s="2" t="s">
        <v>1363</v>
      </c>
      <c r="H1551" s="2" t="s">
        <v>1775</v>
      </c>
      <c r="I1551" s="2" t="s">
        <v>459</v>
      </c>
      <c r="J1551" s="12" t="str">
        <f>VLOOKUP(I1551,'Copy of Enriched Data - IPBES G'!$L$2:$L$229,1,false)</f>
        <v>10.1098/rstb.2013.0580</v>
      </c>
      <c r="L1551" s="2" t="s">
        <v>458</v>
      </c>
      <c r="M1551" s="2" t="s">
        <v>1476</v>
      </c>
      <c r="N1551" s="2" t="s">
        <v>1385</v>
      </c>
      <c r="O1551" s="2" t="s">
        <v>1386</v>
      </c>
      <c r="S1551" s="2">
        <v>1656.0</v>
      </c>
      <c r="T1551" s="2">
        <v>369.0</v>
      </c>
      <c r="AO1551" s="2" t="s">
        <v>1368</v>
      </c>
    </row>
    <row r="1552" ht="15.75" customHeight="1">
      <c r="A1552" s="2" t="s">
        <v>1360</v>
      </c>
      <c r="B1552" s="2" t="s">
        <v>1361</v>
      </c>
      <c r="C1552" s="2">
        <v>2009.0</v>
      </c>
      <c r="D1552" s="2" t="s">
        <v>1362</v>
      </c>
      <c r="E1552" s="2" t="s">
        <v>968</v>
      </c>
      <c r="F1552" s="2" t="s">
        <v>1363</v>
      </c>
      <c r="I1552" s="2" t="s">
        <v>970</v>
      </c>
      <c r="J1552" s="12" t="str">
        <f>VLOOKUP(I1552,'Copy of Enriched Data - IPBES G'!$L$2:$L$229,1,false)</f>
        <v>10.1098/rstb.2008.0205</v>
      </c>
      <c r="M1552" s="2" t="s">
        <v>1364</v>
      </c>
      <c r="N1552" s="2" t="s">
        <v>1365</v>
      </c>
      <c r="O1552" s="2" t="s">
        <v>1366</v>
      </c>
      <c r="Q1552" s="2" t="s">
        <v>1367</v>
      </c>
      <c r="S1552" s="2">
        <v>1526.0</v>
      </c>
      <c r="T1552" s="2">
        <v>364.0</v>
      </c>
      <c r="AO1552" s="2" t="s">
        <v>1368</v>
      </c>
    </row>
    <row r="1553" ht="15.75" customHeight="1">
      <c r="A1553" s="2" t="s">
        <v>6604</v>
      </c>
      <c r="B1553" s="2" t="s">
        <v>1361</v>
      </c>
      <c r="C1553" s="2">
        <v>2006.0</v>
      </c>
      <c r="D1553" s="2" t="s">
        <v>6605</v>
      </c>
      <c r="E1553" s="2" t="s">
        <v>1068</v>
      </c>
      <c r="F1553" s="2" t="s">
        <v>6606</v>
      </c>
      <c r="I1553" s="2" t="s">
        <v>1071</v>
      </c>
      <c r="J1553" s="12" t="str">
        <f>VLOOKUP(I1553,'Copy of Enriched Data - IPBES G'!$L$2:$L$229,1,false)</f>
        <v>10.1098/rsta.2006.1816</v>
      </c>
      <c r="M1553" s="2" t="s">
        <v>1727</v>
      </c>
      <c r="N1553" s="2" t="s">
        <v>6607</v>
      </c>
      <c r="O1553" s="2" t="s">
        <v>6608</v>
      </c>
      <c r="Q1553" s="2" t="s">
        <v>6609</v>
      </c>
      <c r="S1553" s="2" t="s">
        <v>6610</v>
      </c>
      <c r="T1553" s="2" t="s">
        <v>6611</v>
      </c>
      <c r="AO1553" s="2" t="s">
        <v>1368</v>
      </c>
    </row>
    <row r="1554" ht="15.75" customHeight="1">
      <c r="A1554" s="2" t="s">
        <v>2064</v>
      </c>
      <c r="B1554" s="2" t="s">
        <v>1361</v>
      </c>
      <c r="C1554" s="2">
        <v>2017.0</v>
      </c>
      <c r="D1554" s="2" t="s">
        <v>2065</v>
      </c>
      <c r="E1554" s="2" t="s">
        <v>131</v>
      </c>
      <c r="F1554" s="2" t="s">
        <v>2066</v>
      </c>
      <c r="I1554" s="2" t="s">
        <v>134</v>
      </c>
      <c r="J1554" s="12" t="str">
        <f>VLOOKUP(I1554,'Copy of Enriched Data - IPBES G'!$L$2:$L$229,1,false)</f>
        <v>10.1098/rsbl.2016.0774</v>
      </c>
      <c r="M1554" s="2" t="s">
        <v>1658</v>
      </c>
      <c r="N1554" s="2" t="s">
        <v>2067</v>
      </c>
      <c r="O1554" s="2" t="s">
        <v>2068</v>
      </c>
      <c r="S1554" s="2" t="s">
        <v>1453</v>
      </c>
      <c r="T1554" s="2">
        <v>13.0</v>
      </c>
      <c r="AO1554" s="2" t="s">
        <v>1368</v>
      </c>
    </row>
    <row r="1555" ht="15.75" customHeight="1">
      <c r="A1555" s="2" t="s">
        <v>10453</v>
      </c>
      <c r="B1555" s="2" t="s">
        <v>1361</v>
      </c>
      <c r="C1555" s="2">
        <v>2013.0</v>
      </c>
      <c r="D1555" s="2" t="s">
        <v>10454</v>
      </c>
      <c r="E1555" s="2" t="s">
        <v>10455</v>
      </c>
      <c r="F1555" s="2" t="s">
        <v>2641</v>
      </c>
      <c r="H1555" s="2" t="s">
        <v>5876</v>
      </c>
      <c r="I1555" s="2" t="s">
        <v>620</v>
      </c>
      <c r="J1555" s="12" t="str">
        <f>VLOOKUP(I1555,'Copy of Enriched Data - IPBES G'!$L$2:$L$229,1,false)</f>
        <v>10.1088/1748-9326/8/1/014003</v>
      </c>
      <c r="L1555" s="2" t="s">
        <v>10456</v>
      </c>
      <c r="M1555" s="2" t="s">
        <v>1429</v>
      </c>
      <c r="N1555" s="2" t="s">
        <v>1385</v>
      </c>
      <c r="O1555" s="2" t="s">
        <v>1386</v>
      </c>
      <c r="AO1555" s="2" t="s">
        <v>1368</v>
      </c>
    </row>
    <row r="1556" ht="15.75" customHeight="1">
      <c r="A1556" s="2" t="s">
        <v>11327</v>
      </c>
      <c r="B1556" s="2" t="s">
        <v>1361</v>
      </c>
      <c r="C1556" s="2">
        <v>2012.0</v>
      </c>
      <c r="D1556" s="2" t="s">
        <v>11328</v>
      </c>
      <c r="E1556" s="2" t="s">
        <v>668</v>
      </c>
      <c r="F1556" s="2" t="s">
        <v>2641</v>
      </c>
      <c r="H1556" s="2" t="s">
        <v>5876</v>
      </c>
      <c r="I1556" s="2" t="s">
        <v>670</v>
      </c>
      <c r="J1556" s="12" t="str">
        <f>VLOOKUP(I1556,'Copy of Enriched Data - IPBES G'!$L$2:$L$229,1,false)</f>
        <v>10.1088/1748-9326/7/4/044009</v>
      </c>
      <c r="K1556" s="2" t="s">
        <v>11329</v>
      </c>
      <c r="M1556" s="2" t="s">
        <v>11330</v>
      </c>
      <c r="N1556" s="2" t="s">
        <v>1385</v>
      </c>
      <c r="O1556" s="2" t="s">
        <v>1386</v>
      </c>
      <c r="P1556" s="2" t="s">
        <v>11331</v>
      </c>
      <c r="Q1556" s="2" t="s">
        <v>11332</v>
      </c>
      <c r="S1556" s="2" t="s">
        <v>1506</v>
      </c>
      <c r="T1556" s="2" t="s">
        <v>1443</v>
      </c>
      <c r="V1556" s="2" t="s">
        <v>5884</v>
      </c>
      <c r="AI1556" s="2" t="s">
        <v>1541</v>
      </c>
      <c r="AO1556" s="2" t="s">
        <v>1542</v>
      </c>
    </row>
    <row r="1557" ht="15.75" customHeight="1">
      <c r="A1557" s="2" t="s">
        <v>11476</v>
      </c>
      <c r="B1557" s="2" t="s">
        <v>1361</v>
      </c>
      <c r="C1557" s="2">
        <v>2011.0</v>
      </c>
      <c r="D1557" s="2" t="s">
        <v>11477</v>
      </c>
      <c r="E1557" s="2" t="s">
        <v>731</v>
      </c>
      <c r="F1557" s="2" t="s">
        <v>2641</v>
      </c>
      <c r="H1557" s="2" t="s">
        <v>5876</v>
      </c>
      <c r="I1557" s="2" t="s">
        <v>733</v>
      </c>
      <c r="J1557" s="12" t="str">
        <f>VLOOKUP(I1557,'Copy of Enriched Data - IPBES G'!$L$2:$L$229,1,false)</f>
        <v>10.1088/1748-9326/6/4/045201</v>
      </c>
      <c r="L1557" s="2" t="s">
        <v>11478</v>
      </c>
      <c r="M1557" s="2" t="s">
        <v>1627</v>
      </c>
      <c r="N1557" s="2" t="s">
        <v>1385</v>
      </c>
      <c r="O1557" s="2" t="s">
        <v>1386</v>
      </c>
      <c r="AO1557" s="2" t="s">
        <v>1368</v>
      </c>
    </row>
    <row r="1558" ht="15.75" customHeight="1">
      <c r="A1558" s="2" t="s">
        <v>10426</v>
      </c>
      <c r="B1558" s="2" t="s">
        <v>1361</v>
      </c>
      <c r="C1558" s="2">
        <v>2015.0</v>
      </c>
      <c r="D1558" s="2" t="s">
        <v>10427</v>
      </c>
      <c r="E1558" s="2" t="s">
        <v>314</v>
      </c>
      <c r="F1558" s="2" t="s">
        <v>2641</v>
      </c>
      <c r="H1558" s="2" t="s">
        <v>5876</v>
      </c>
      <c r="I1558" s="2" t="s">
        <v>317</v>
      </c>
      <c r="J1558" s="12" t="str">
        <f>VLOOKUP(I1558,'Copy of Enriched Data - IPBES G'!$L$2:$L$229,1,false)</f>
        <v>10.1088/1748-9326/10/9/094015</v>
      </c>
      <c r="M1558" s="2" t="s">
        <v>2220</v>
      </c>
      <c r="N1558" s="2" t="s">
        <v>1385</v>
      </c>
      <c r="O1558" s="2" t="s">
        <v>1386</v>
      </c>
      <c r="Q1558" s="2" t="s">
        <v>10428</v>
      </c>
      <c r="S1558" s="2">
        <v>9.0</v>
      </c>
      <c r="T1558" s="2">
        <v>10.0</v>
      </c>
      <c r="AO1558" s="2" t="s">
        <v>1368</v>
      </c>
    </row>
    <row r="1559" ht="15.75" customHeight="1">
      <c r="A1559" s="2" t="s">
        <v>5140</v>
      </c>
      <c r="B1559" s="2" t="s">
        <v>1361</v>
      </c>
      <c r="C1559" s="2">
        <v>2016.0</v>
      </c>
      <c r="D1559" s="2" t="s">
        <v>5141</v>
      </c>
      <c r="E1559" s="2" t="s">
        <v>239</v>
      </c>
      <c r="F1559" s="2" t="s">
        <v>5142</v>
      </c>
      <c r="I1559" s="2" t="s">
        <v>242</v>
      </c>
      <c r="J1559" s="12" t="str">
        <f>VLOOKUP(I1559,'Copy of Enriched Data - IPBES G'!$L$2:$L$229,1,false)</f>
        <v>10.1080/10643389.2015.1096876</v>
      </c>
      <c r="M1559" s="2" t="s">
        <v>1502</v>
      </c>
      <c r="N1559" s="2" t="s">
        <v>1385</v>
      </c>
      <c r="O1559" s="2" t="s">
        <v>1386</v>
      </c>
      <c r="Q1559" s="2" t="s">
        <v>5143</v>
      </c>
      <c r="S1559" s="2" t="s">
        <v>1506</v>
      </c>
      <c r="T1559" s="2">
        <v>46.0</v>
      </c>
      <c r="AO1559" s="2" t="s">
        <v>1368</v>
      </c>
    </row>
    <row r="1560" ht="15.75" customHeight="1">
      <c r="A1560" s="2" t="s">
        <v>8507</v>
      </c>
      <c r="B1560" s="2" t="s">
        <v>1361</v>
      </c>
      <c r="C1560" s="2">
        <v>2018.0</v>
      </c>
      <c r="D1560" s="2" t="s">
        <v>8508</v>
      </c>
      <c r="E1560" s="2" t="s">
        <v>33</v>
      </c>
      <c r="F1560" s="2" t="s">
        <v>1688</v>
      </c>
      <c r="H1560" s="2" t="s">
        <v>1689</v>
      </c>
      <c r="I1560" s="2" t="s">
        <v>37</v>
      </c>
      <c r="J1560" s="12" t="str">
        <f>VLOOKUP(I1560,'Copy of Enriched Data - IPBES G'!$L$2:$L$229,1,false)</f>
        <v>10.1073/pnas.1719429115</v>
      </c>
      <c r="K1560" s="2" t="s">
        <v>8509</v>
      </c>
      <c r="L1560" s="2" t="s">
        <v>8510</v>
      </c>
      <c r="M1560" s="2" t="s">
        <v>1420</v>
      </c>
      <c r="N1560" s="2" t="s">
        <v>1385</v>
      </c>
      <c r="O1560" s="2" t="s">
        <v>1386</v>
      </c>
      <c r="Q1560" s="2" t="s">
        <v>8511</v>
      </c>
      <c r="AO1560" s="2" t="s">
        <v>1368</v>
      </c>
    </row>
    <row r="1561" ht="15.75" customHeight="1">
      <c r="A1561" s="2" t="s">
        <v>9832</v>
      </c>
      <c r="B1561" s="2" t="s">
        <v>1361</v>
      </c>
      <c r="C1561" s="2">
        <v>2017.0</v>
      </c>
      <c r="D1561" s="2" t="s">
        <v>9833</v>
      </c>
      <c r="E1561" s="2" t="s">
        <v>9834</v>
      </c>
      <c r="F1561" s="2" t="s">
        <v>1688</v>
      </c>
      <c r="H1561" s="2" t="s">
        <v>1689</v>
      </c>
      <c r="I1561" s="2" t="s">
        <v>71</v>
      </c>
      <c r="J1561" s="12" t="str">
        <f>VLOOKUP(I1561,'Copy of Enriched Data - IPBES G'!$L$2:$L$229,1,false)</f>
        <v>10.1073/pnas.1716222114</v>
      </c>
      <c r="L1561" s="2" t="s">
        <v>9835</v>
      </c>
      <c r="M1561" s="2" t="s">
        <v>1658</v>
      </c>
      <c r="N1561" s="2" t="s">
        <v>1385</v>
      </c>
      <c r="O1561" s="2" t="s">
        <v>1386</v>
      </c>
      <c r="AO1561" s="2" t="s">
        <v>1368</v>
      </c>
    </row>
    <row r="1562" ht="15.75" customHeight="1">
      <c r="A1562" s="2" t="s">
        <v>8936</v>
      </c>
      <c r="B1562" s="2" t="s">
        <v>1361</v>
      </c>
      <c r="C1562" s="2">
        <v>2017.0</v>
      </c>
      <c r="D1562" s="2" t="s">
        <v>8937</v>
      </c>
      <c r="E1562" s="2" t="s">
        <v>8938</v>
      </c>
      <c r="F1562" s="2" t="s">
        <v>3247</v>
      </c>
      <c r="H1562" s="2" t="s">
        <v>2892</v>
      </c>
      <c r="I1562" s="2" t="s">
        <v>110</v>
      </c>
      <c r="J1562" s="12" t="str">
        <f>VLOOKUP(I1562,'Copy of Enriched Data - IPBES G'!$L$2:$L$229,1,false)</f>
        <v>10.1073/pnas.1621517114</v>
      </c>
      <c r="K1562" s="2" t="s">
        <v>8939</v>
      </c>
      <c r="L1562" s="2" t="s">
        <v>8940</v>
      </c>
      <c r="M1562" s="2" t="s">
        <v>1658</v>
      </c>
      <c r="N1562" s="2" t="s">
        <v>8941</v>
      </c>
      <c r="O1562" s="2" t="s">
        <v>8942</v>
      </c>
      <c r="Q1562" s="2" t="s">
        <v>8943</v>
      </c>
      <c r="S1562" s="2">
        <v>14.0</v>
      </c>
      <c r="T1562" s="2">
        <v>114.0</v>
      </c>
      <c r="V1562" s="2" t="s">
        <v>2901</v>
      </c>
      <c r="AD1562" s="2" t="s">
        <v>1540</v>
      </c>
      <c r="AI1562" s="2" t="s">
        <v>1541</v>
      </c>
      <c r="AO1562" s="2" t="s">
        <v>1556</v>
      </c>
    </row>
    <row r="1563" ht="15.75" customHeight="1">
      <c r="A1563" s="2" t="s">
        <v>1686</v>
      </c>
      <c r="B1563" s="2" t="s">
        <v>1361</v>
      </c>
      <c r="C1563" s="2">
        <v>2015.0</v>
      </c>
      <c r="D1563" s="2" t="s">
        <v>1687</v>
      </c>
      <c r="E1563" s="2" t="s">
        <v>376</v>
      </c>
      <c r="F1563" s="2" t="s">
        <v>1688</v>
      </c>
      <c r="H1563" s="2" t="s">
        <v>1689</v>
      </c>
      <c r="I1563" s="2" t="s">
        <v>378</v>
      </c>
      <c r="J1563" s="12" t="str">
        <f>VLOOKUP(I1563,'Copy of Enriched Data - IPBES G'!$L$2:$L$229,1,false)</f>
        <v>10.1073/pnas.1504345112</v>
      </c>
      <c r="L1563" s="2" t="s">
        <v>1690</v>
      </c>
      <c r="M1563" s="2" t="s">
        <v>1373</v>
      </c>
      <c r="N1563" s="2" t="s">
        <v>1385</v>
      </c>
      <c r="O1563" s="2" t="s">
        <v>1386</v>
      </c>
      <c r="AO1563" s="2" t="s">
        <v>1368</v>
      </c>
    </row>
    <row r="1564" ht="15.75" customHeight="1">
      <c r="A1564" s="2" t="s">
        <v>8483</v>
      </c>
      <c r="B1564" s="2" t="s">
        <v>1361</v>
      </c>
      <c r="C1564" s="2">
        <v>2015.0</v>
      </c>
      <c r="D1564" s="2" t="s">
        <v>8484</v>
      </c>
      <c r="E1564" s="2" t="s">
        <v>369</v>
      </c>
      <c r="F1564" s="2" t="s">
        <v>1688</v>
      </c>
      <c r="H1564" s="2" t="s">
        <v>2892</v>
      </c>
      <c r="I1564" s="2" t="s">
        <v>371</v>
      </c>
      <c r="J1564" s="12" t="str">
        <f>VLOOKUP(I1564,'Copy of Enriched Data - IPBES G'!$L$2:$L$229,1,false)</f>
        <v>10.1073/pnas.1500232112</v>
      </c>
      <c r="K1564" s="2" t="s">
        <v>8485</v>
      </c>
      <c r="L1564" s="2" t="s">
        <v>8486</v>
      </c>
      <c r="M1564" s="2" t="s">
        <v>8487</v>
      </c>
      <c r="N1564" s="2" t="s">
        <v>1385</v>
      </c>
      <c r="O1564" s="2" t="s">
        <v>1386</v>
      </c>
      <c r="P1564" s="2" t="s">
        <v>8488</v>
      </c>
      <c r="Q1564" s="2" t="s">
        <v>8489</v>
      </c>
      <c r="S1564" s="2" t="s">
        <v>2672</v>
      </c>
      <c r="T1564" s="2">
        <v>112.0</v>
      </c>
      <c r="V1564" s="2" t="s">
        <v>2901</v>
      </c>
      <c r="AD1564" s="2" t="s">
        <v>1540</v>
      </c>
      <c r="AI1564" s="2" t="s">
        <v>1541</v>
      </c>
      <c r="AO1564" s="2" t="s">
        <v>1885</v>
      </c>
    </row>
    <row r="1565" ht="15.75" customHeight="1">
      <c r="A1565" s="2" t="s">
        <v>9542</v>
      </c>
      <c r="B1565" s="2" t="s">
        <v>1361</v>
      </c>
      <c r="C1565" s="2">
        <v>2014.0</v>
      </c>
      <c r="D1565" s="2" t="s">
        <v>9543</v>
      </c>
      <c r="E1565" s="2" t="s">
        <v>482</v>
      </c>
      <c r="F1565" s="2" t="s">
        <v>1688</v>
      </c>
      <c r="H1565" s="2" t="s">
        <v>1689</v>
      </c>
      <c r="I1565" s="2" t="s">
        <v>484</v>
      </c>
      <c r="J1565" s="12" t="str">
        <f>VLOOKUP(I1565,'Copy of Enriched Data - IPBES G'!$L$2:$L$229,1,false)</f>
        <v>10.1073/pnas.1321082111</v>
      </c>
      <c r="L1565" s="2" t="s">
        <v>9544</v>
      </c>
      <c r="M1565" s="2" t="s">
        <v>1476</v>
      </c>
      <c r="N1565" s="2" t="s">
        <v>1385</v>
      </c>
      <c r="O1565" s="2" t="s">
        <v>1386</v>
      </c>
      <c r="Q1565" s="2" t="s">
        <v>9545</v>
      </c>
      <c r="S1565" s="2" t="s">
        <v>5657</v>
      </c>
      <c r="T1565" s="2">
        <v>111.0</v>
      </c>
      <c r="AO1565" s="2" t="s">
        <v>1368</v>
      </c>
    </row>
    <row r="1566" ht="15.75" customHeight="1">
      <c r="A1566" s="2" t="s">
        <v>8082</v>
      </c>
      <c r="B1566" s="2" t="s">
        <v>1361</v>
      </c>
      <c r="C1566" s="2">
        <v>2013.0</v>
      </c>
      <c r="D1566" s="2" t="s">
        <v>8083</v>
      </c>
      <c r="E1566" s="2" t="s">
        <v>580</v>
      </c>
      <c r="F1566" s="2" t="s">
        <v>1688</v>
      </c>
      <c r="H1566" s="2" t="s">
        <v>2892</v>
      </c>
      <c r="I1566" s="2" t="s">
        <v>582</v>
      </c>
      <c r="J1566" s="12" t="str">
        <f>VLOOKUP(I1566,'Copy of Enriched Data - IPBES G'!$L$2:$L$229,1,false)</f>
        <v>10.1073/pnas.1305618110</v>
      </c>
      <c r="K1566" s="2" t="s">
        <v>8084</v>
      </c>
      <c r="L1566" s="2" t="s">
        <v>581</v>
      </c>
      <c r="M1566" s="2" t="s">
        <v>8085</v>
      </c>
      <c r="N1566" s="2" t="s">
        <v>8086</v>
      </c>
      <c r="O1566" s="2" t="s">
        <v>8087</v>
      </c>
      <c r="P1566" s="2" t="s">
        <v>8088</v>
      </c>
      <c r="Q1566" s="2" t="s">
        <v>8089</v>
      </c>
      <c r="S1566" s="2">
        <v>27.0</v>
      </c>
      <c r="T1566" s="2">
        <v>110.0</v>
      </c>
      <c r="V1566" s="2" t="s">
        <v>2901</v>
      </c>
      <c r="AD1566" s="2" t="s">
        <v>1540</v>
      </c>
      <c r="AI1566" s="2" t="s">
        <v>1541</v>
      </c>
      <c r="AO1566" s="2" t="s">
        <v>1885</v>
      </c>
    </row>
    <row r="1567" ht="15.75" customHeight="1">
      <c r="A1567" s="2" t="s">
        <v>2232</v>
      </c>
      <c r="B1567" s="2" t="s">
        <v>1361</v>
      </c>
      <c r="C1567" s="2">
        <v>2014.0</v>
      </c>
      <c r="D1567" s="2" t="s">
        <v>2233</v>
      </c>
      <c r="E1567" s="2" t="s">
        <v>512</v>
      </c>
      <c r="F1567" s="2" t="s">
        <v>1688</v>
      </c>
      <c r="H1567" s="2" t="s">
        <v>1689</v>
      </c>
      <c r="I1567" s="2" t="s">
        <v>514</v>
      </c>
      <c r="J1567" s="12" t="str">
        <f>VLOOKUP(I1567,'Copy of Enriched Data - IPBES G'!$L$2:$L$229,1,false)</f>
        <v>10.1073/pnas.1222475110</v>
      </c>
      <c r="K1567" s="2" t="s">
        <v>2234</v>
      </c>
      <c r="L1567" s="2" t="s">
        <v>2235</v>
      </c>
      <c r="M1567" s="2" t="s">
        <v>1476</v>
      </c>
      <c r="N1567" s="2" t="s">
        <v>1385</v>
      </c>
      <c r="O1567" s="2" t="s">
        <v>1386</v>
      </c>
      <c r="Q1567" s="2" t="s">
        <v>2236</v>
      </c>
      <c r="S1567" s="2" t="s">
        <v>2237</v>
      </c>
      <c r="T1567" s="2">
        <v>111.0</v>
      </c>
      <c r="AO1567" s="2" t="s">
        <v>2238</v>
      </c>
    </row>
    <row r="1568" ht="15.75" customHeight="1">
      <c r="A1568" s="2" t="s">
        <v>10184</v>
      </c>
      <c r="B1568" s="2" t="s">
        <v>1361</v>
      </c>
      <c r="C1568" s="2">
        <v>2013.0</v>
      </c>
      <c r="D1568" s="2" t="s">
        <v>10185</v>
      </c>
      <c r="E1568" s="2" t="s">
        <v>587</v>
      </c>
      <c r="F1568" s="2" t="s">
        <v>1688</v>
      </c>
      <c r="H1568" s="2" t="s">
        <v>2892</v>
      </c>
      <c r="I1568" s="2" t="s">
        <v>589</v>
      </c>
      <c r="J1568" s="12" t="str">
        <f>VLOOKUP(I1568,'Copy of Enriched Data - IPBES G'!$L$2:$L$229,1,false)</f>
        <v>10.1073/pnas.1211349110</v>
      </c>
      <c r="K1568" s="2" t="s">
        <v>10186</v>
      </c>
      <c r="L1568" s="2" t="s">
        <v>10187</v>
      </c>
      <c r="M1568" s="2" t="s">
        <v>10188</v>
      </c>
      <c r="N1568" s="2" t="s">
        <v>10189</v>
      </c>
      <c r="O1568" s="2" t="s">
        <v>10190</v>
      </c>
      <c r="P1568" s="2" t="s">
        <v>10191</v>
      </c>
      <c r="Q1568" s="2" t="s">
        <v>10192</v>
      </c>
      <c r="S1568" s="2">
        <v>25.0</v>
      </c>
      <c r="T1568" s="2">
        <v>110.0</v>
      </c>
      <c r="V1568" s="2" t="s">
        <v>2901</v>
      </c>
      <c r="AD1568" s="2" t="s">
        <v>1540</v>
      </c>
      <c r="AI1568" s="2" t="s">
        <v>1541</v>
      </c>
      <c r="AO1568" s="2" t="s">
        <v>1542</v>
      </c>
    </row>
    <row r="1569" ht="15.75" customHeight="1">
      <c r="A1569" s="2" t="s">
        <v>9570</v>
      </c>
      <c r="B1569" s="2" t="s">
        <v>1361</v>
      </c>
      <c r="C1569" s="2">
        <v>2012.0</v>
      </c>
      <c r="D1569" s="2" t="s">
        <v>9571</v>
      </c>
      <c r="E1569" s="2" t="s">
        <v>724</v>
      </c>
      <c r="F1569" s="2" t="s">
        <v>1688</v>
      </c>
      <c r="H1569" s="2" t="s">
        <v>1689</v>
      </c>
      <c r="I1569" s="2" t="s">
        <v>726</v>
      </c>
      <c r="J1569" s="12" t="str">
        <f>VLOOKUP(I1569,'Copy of Enriched Data - IPBES G'!$L$2:$L$229,1,false)</f>
        <v>10.1073/pnas.1111374109</v>
      </c>
      <c r="L1569" s="2" t="s">
        <v>9572</v>
      </c>
      <c r="M1569" s="2" t="s">
        <v>1405</v>
      </c>
      <c r="N1569" s="2" t="s">
        <v>1385</v>
      </c>
      <c r="O1569" s="2" t="s">
        <v>1386</v>
      </c>
      <c r="AO1569" s="2" t="s">
        <v>1368</v>
      </c>
    </row>
    <row r="1570" ht="15.75" customHeight="1">
      <c r="A1570" s="2" t="s">
        <v>10262</v>
      </c>
      <c r="B1570" s="2" t="s">
        <v>1361</v>
      </c>
      <c r="C1570" s="2">
        <v>2011.0</v>
      </c>
      <c r="D1570" s="2" t="s">
        <v>10263</v>
      </c>
      <c r="E1570" s="2" t="s">
        <v>755</v>
      </c>
      <c r="F1570" s="2" t="s">
        <v>1688</v>
      </c>
      <c r="H1570" s="2" t="s">
        <v>2892</v>
      </c>
      <c r="I1570" s="2" t="s">
        <v>757</v>
      </c>
      <c r="J1570" s="12" t="str">
        <f>VLOOKUP(I1570,'Copy of Enriched Data - IPBES G'!$L$2:$L$229,1,false)</f>
        <v>10.1073/pnas.1100480108</v>
      </c>
      <c r="K1570" s="2" t="s">
        <v>10264</v>
      </c>
      <c r="L1570" s="2" t="s">
        <v>10265</v>
      </c>
      <c r="M1570" s="2" t="s">
        <v>5104</v>
      </c>
      <c r="N1570" s="2" t="s">
        <v>10266</v>
      </c>
      <c r="O1570" s="2" t="s">
        <v>10267</v>
      </c>
      <c r="P1570" s="2" t="s">
        <v>10238</v>
      </c>
      <c r="Q1570" s="2" t="s">
        <v>10268</v>
      </c>
      <c r="S1570" s="2">
        <v>9.0</v>
      </c>
      <c r="T1570" s="2">
        <v>108.0</v>
      </c>
      <c r="V1570" s="2" t="s">
        <v>2901</v>
      </c>
      <c r="AD1570" s="2" t="s">
        <v>1540</v>
      </c>
      <c r="AI1570" s="2" t="s">
        <v>1541</v>
      </c>
      <c r="AO1570" s="2" t="s">
        <v>2159</v>
      </c>
    </row>
    <row r="1571" ht="15.75" customHeight="1">
      <c r="A1571" s="2" t="s">
        <v>1896</v>
      </c>
      <c r="B1571" s="2" t="s">
        <v>1361</v>
      </c>
      <c r="C1571" s="2">
        <v>2010.0</v>
      </c>
      <c r="D1571" s="2" t="s">
        <v>1897</v>
      </c>
      <c r="E1571" s="2" t="s">
        <v>841</v>
      </c>
      <c r="F1571" s="2" t="s">
        <v>1688</v>
      </c>
      <c r="H1571" s="2" t="s">
        <v>1689</v>
      </c>
      <c r="I1571" s="2" t="s">
        <v>843</v>
      </c>
      <c r="J1571" s="12" t="str">
        <f>VLOOKUP(I1571,'Copy of Enriched Data - IPBES G'!$L$2:$L$229,1,false)</f>
        <v>10.1073/pnas.0914471107</v>
      </c>
      <c r="K1571" s="2" t="s">
        <v>1898</v>
      </c>
      <c r="L1571" s="2" t="s">
        <v>1899</v>
      </c>
      <c r="M1571" s="2" t="s">
        <v>1900</v>
      </c>
      <c r="N1571" s="2" t="s">
        <v>1385</v>
      </c>
      <c r="O1571" s="2" t="s">
        <v>1386</v>
      </c>
      <c r="Q1571" s="2" t="s">
        <v>1901</v>
      </c>
      <c r="S1571" s="2">
        <v>33.0</v>
      </c>
      <c r="T1571" s="2">
        <v>107.0</v>
      </c>
      <c r="AO1571" s="2" t="s">
        <v>1621</v>
      </c>
    </row>
    <row r="1572" ht="15.75" customHeight="1">
      <c r="A1572" s="2" t="s">
        <v>2890</v>
      </c>
      <c r="B1572" s="2" t="s">
        <v>1361</v>
      </c>
      <c r="C1572" s="2">
        <v>2010.0</v>
      </c>
      <c r="D1572" s="2" t="s">
        <v>2891</v>
      </c>
      <c r="E1572" s="2" t="s">
        <v>818</v>
      </c>
      <c r="F1572" s="2" t="s">
        <v>1688</v>
      </c>
      <c r="H1572" s="2" t="s">
        <v>2892</v>
      </c>
      <c r="I1572" s="2" t="s">
        <v>820</v>
      </c>
      <c r="J1572" s="12" t="str">
        <f>VLOOKUP(I1572,'Copy of Enriched Data - IPBES G'!$L$2:$L$229,1,false)</f>
        <v>10.1073/pnas.0910275107</v>
      </c>
      <c r="K1572" s="2" t="s">
        <v>2893</v>
      </c>
      <c r="L1572" s="2" t="s">
        <v>819</v>
      </c>
      <c r="M1572" s="2" t="s">
        <v>2894</v>
      </c>
      <c r="N1572" s="2" t="s">
        <v>2895</v>
      </c>
      <c r="O1572" s="2" t="s">
        <v>2896</v>
      </c>
      <c r="P1572" s="2" t="s">
        <v>2897</v>
      </c>
      <c r="Q1572" s="2" t="s">
        <v>2898</v>
      </c>
      <c r="S1572" s="2" t="s">
        <v>2899</v>
      </c>
      <c r="T1572" s="2" t="s">
        <v>2900</v>
      </c>
      <c r="V1572" s="2" t="s">
        <v>2901</v>
      </c>
      <c r="AD1572" s="2" t="s">
        <v>1540</v>
      </c>
      <c r="AI1572" s="2" t="s">
        <v>1541</v>
      </c>
      <c r="AO1572" s="2" t="s">
        <v>1885</v>
      </c>
    </row>
    <row r="1573" ht="15.75" customHeight="1">
      <c r="A1573" s="2" t="s">
        <v>10429</v>
      </c>
      <c r="B1573" s="2" t="s">
        <v>1361</v>
      </c>
      <c r="C1573" s="2">
        <v>2007.0</v>
      </c>
      <c r="D1573" s="2" t="s">
        <v>10430</v>
      </c>
      <c r="E1573" s="2" t="s">
        <v>1028</v>
      </c>
      <c r="F1573" s="2" t="s">
        <v>1688</v>
      </c>
      <c r="H1573" s="2" t="s">
        <v>1689</v>
      </c>
      <c r="I1573" s="2" t="s">
        <v>1030</v>
      </c>
      <c r="J1573" s="12" t="str">
        <f>VLOOKUP(I1573,'Copy of Enriched Data - IPBES G'!$L$2:$L$229,1,false)</f>
        <v>10.1073/pnas.0609568104</v>
      </c>
      <c r="L1573" s="2" t="s">
        <v>10431</v>
      </c>
      <c r="M1573" s="2" t="s">
        <v>2380</v>
      </c>
      <c r="N1573" s="2" t="s">
        <v>1385</v>
      </c>
      <c r="O1573" s="2" t="s">
        <v>1386</v>
      </c>
      <c r="Q1573" s="2" t="s">
        <v>10432</v>
      </c>
      <c r="S1573" s="2">
        <v>21.0</v>
      </c>
      <c r="T1573" s="2">
        <v>104.0</v>
      </c>
      <c r="AO1573" s="2" t="s">
        <v>1368</v>
      </c>
    </row>
    <row r="1574" ht="15.75" customHeight="1">
      <c r="A1574" s="2" t="s">
        <v>10546</v>
      </c>
      <c r="B1574" s="2" t="s">
        <v>1361</v>
      </c>
      <c r="C1574" s="2">
        <v>1999.0</v>
      </c>
      <c r="D1574" s="2" t="s">
        <v>10547</v>
      </c>
      <c r="E1574" s="2" t="s">
        <v>10548</v>
      </c>
      <c r="F1574" s="2" t="s">
        <v>8888</v>
      </c>
      <c r="H1574" s="2" t="s">
        <v>10549</v>
      </c>
      <c r="I1574" s="2" t="s">
        <v>1252</v>
      </c>
      <c r="J1574" s="12" t="str">
        <f>VLOOKUP(I1574,'Copy of Enriched Data - IPBES G'!$L$2:$L$229,1,false)</f>
        <v>10.1046/j.1365-2699.1999.00123.x</v>
      </c>
      <c r="L1574" s="2" t="s">
        <v>10550</v>
      </c>
      <c r="M1574" s="2" t="s">
        <v>1434</v>
      </c>
      <c r="N1574" s="2" t="s">
        <v>1385</v>
      </c>
      <c r="O1574" s="2" t="s">
        <v>1386</v>
      </c>
      <c r="AO1574" s="2" t="s">
        <v>1368</v>
      </c>
    </row>
    <row r="1575" ht="15.75" customHeight="1">
      <c r="A1575" s="2" t="s">
        <v>2477</v>
      </c>
      <c r="B1575" s="2" t="s">
        <v>1361</v>
      </c>
      <c r="C1575" s="2">
        <v>2016.0</v>
      </c>
      <c r="D1575" s="2" t="s">
        <v>2478</v>
      </c>
      <c r="E1575" s="2" t="s">
        <v>2479</v>
      </c>
      <c r="F1575" s="2" t="s">
        <v>2480</v>
      </c>
      <c r="H1575" s="2" t="s">
        <v>2481</v>
      </c>
      <c r="I1575" s="2" t="s">
        <v>159</v>
      </c>
      <c r="J1575" s="12" t="str">
        <f>VLOOKUP(I1575,'Copy of Enriched Data - IPBES G'!$L$2:$L$229,1,false)</f>
        <v>10.1038/srep38402</v>
      </c>
      <c r="L1575" s="2" t="s">
        <v>2482</v>
      </c>
      <c r="M1575" s="2" t="s">
        <v>1502</v>
      </c>
      <c r="N1575" s="2" t="s">
        <v>1385</v>
      </c>
      <c r="O1575" s="2" t="s">
        <v>1386</v>
      </c>
      <c r="AO1575" s="2" t="s">
        <v>1368</v>
      </c>
    </row>
    <row r="1576" ht="15.75" customHeight="1">
      <c r="A1576" s="2" t="s">
        <v>4475</v>
      </c>
      <c r="B1576" s="2" t="s">
        <v>1361</v>
      </c>
      <c r="C1576" s="2">
        <v>2015.0</v>
      </c>
      <c r="D1576" s="2" t="s">
        <v>4476</v>
      </c>
      <c r="E1576" s="2" t="s">
        <v>300</v>
      </c>
      <c r="F1576" s="2" t="s">
        <v>4477</v>
      </c>
      <c r="H1576" s="2" t="s">
        <v>2481</v>
      </c>
      <c r="I1576" s="2" t="s">
        <v>302</v>
      </c>
      <c r="J1576" s="12" t="str">
        <f>VLOOKUP(I1576,'Copy of Enriched Data - IPBES G'!$L$2:$L$229,1,false)</f>
        <v>10.1038/srep14340</v>
      </c>
      <c r="L1576" s="2" t="s">
        <v>301</v>
      </c>
      <c r="M1576" s="2" t="s">
        <v>1373</v>
      </c>
      <c r="N1576" s="2" t="s">
        <v>1385</v>
      </c>
      <c r="O1576" s="2" t="s">
        <v>1386</v>
      </c>
      <c r="AO1576" s="2" t="s">
        <v>1368</v>
      </c>
    </row>
    <row r="1577" ht="15.75" customHeight="1">
      <c r="A1577" s="2" t="s">
        <v>5048</v>
      </c>
      <c r="B1577" s="2" t="s">
        <v>1361</v>
      </c>
      <c r="C1577" s="2">
        <v>2016.0</v>
      </c>
      <c r="D1577" s="2" t="s">
        <v>5049</v>
      </c>
      <c r="E1577" s="2" t="s">
        <v>198</v>
      </c>
      <c r="F1577" s="2" t="s">
        <v>5050</v>
      </c>
      <c r="H1577" s="2" t="s">
        <v>5051</v>
      </c>
      <c r="I1577" s="2" t="s">
        <v>202</v>
      </c>
      <c r="J1577" s="12" t="str">
        <f>VLOOKUP(I1577,'Copy of Enriched Data - IPBES G'!$L$2:$L$229,1,false)</f>
        <v>10.1038/sdata.2016.67</v>
      </c>
      <c r="L1577" s="2" t="s">
        <v>5052</v>
      </c>
      <c r="M1577" s="2" t="s">
        <v>1502</v>
      </c>
      <c r="N1577" s="2" t="s">
        <v>1385</v>
      </c>
      <c r="O1577" s="2" t="s">
        <v>1386</v>
      </c>
      <c r="Q1577" s="2" t="s">
        <v>5053</v>
      </c>
      <c r="T1577" s="2">
        <v>3.0</v>
      </c>
      <c r="AO1577" s="2" t="s">
        <v>1368</v>
      </c>
    </row>
    <row r="1578" ht="15.75" customHeight="1">
      <c r="A1578" s="2" t="s">
        <v>1705</v>
      </c>
      <c r="B1578" s="2" t="s">
        <v>1361</v>
      </c>
      <c r="C1578" s="2">
        <v>2017.0</v>
      </c>
      <c r="D1578" s="2" t="s">
        <v>1706</v>
      </c>
      <c r="E1578" s="2" t="s">
        <v>76</v>
      </c>
      <c r="F1578" s="2" t="s">
        <v>1707</v>
      </c>
      <c r="H1578" s="2" t="s">
        <v>1708</v>
      </c>
      <c r="I1578" s="2" t="s">
        <v>79</v>
      </c>
      <c r="J1578" s="12" t="str">
        <f>VLOOKUP(I1578,'Copy of Enriched Data - IPBES G'!$L$2:$L$229,1,false)</f>
        <v>10.1038/s41559-017-0186</v>
      </c>
      <c r="L1578" s="2" t="s">
        <v>78</v>
      </c>
      <c r="M1578" s="2" t="s">
        <v>1709</v>
      </c>
      <c r="N1578" s="2" t="s">
        <v>1385</v>
      </c>
      <c r="O1578" s="2" t="s">
        <v>1386</v>
      </c>
      <c r="Q1578" s="2" t="s">
        <v>1710</v>
      </c>
      <c r="S1578" s="2" t="s">
        <v>1711</v>
      </c>
      <c r="T1578" s="2">
        <v>1.0</v>
      </c>
      <c r="AO1578" s="2" t="s">
        <v>1368</v>
      </c>
    </row>
    <row r="1579" ht="15.75" customHeight="1">
      <c r="A1579" s="2" t="s">
        <v>3964</v>
      </c>
      <c r="B1579" s="2" t="s">
        <v>1361</v>
      </c>
      <c r="C1579" s="2">
        <v>2010.0</v>
      </c>
      <c r="D1579" s="2" t="s">
        <v>3965</v>
      </c>
      <c r="E1579" s="2" t="s">
        <v>886</v>
      </c>
      <c r="F1579" s="2" t="s">
        <v>1594</v>
      </c>
      <c r="I1579" s="2" t="s">
        <v>888</v>
      </c>
      <c r="J1579" s="12" t="str">
        <f>VLOOKUP(I1579,'Copy of Enriched Data - IPBES G'!$L$2:$L$229,1,false)</f>
        <v>10.1038/ngeo838</v>
      </c>
      <c r="M1579" s="2" t="s">
        <v>1449</v>
      </c>
      <c r="N1579" s="2" t="s">
        <v>3966</v>
      </c>
      <c r="O1579" s="2" t="s">
        <v>3967</v>
      </c>
      <c r="Q1579" s="2" t="s">
        <v>3968</v>
      </c>
      <c r="S1579" s="2" t="s">
        <v>1480</v>
      </c>
      <c r="T1579" s="2">
        <v>3.0</v>
      </c>
      <c r="AO1579" s="2" t="s">
        <v>1368</v>
      </c>
    </row>
    <row r="1580" ht="15.75" customHeight="1">
      <c r="A1580" s="2" t="s">
        <v>2058</v>
      </c>
      <c r="B1580" s="2" t="s">
        <v>1361</v>
      </c>
      <c r="C1580" s="2">
        <v>2011.0</v>
      </c>
      <c r="D1580" s="2" t="s">
        <v>2059</v>
      </c>
      <c r="E1580" s="2" t="s">
        <v>762</v>
      </c>
      <c r="F1580" s="2" t="s">
        <v>1594</v>
      </c>
      <c r="I1580" s="2" t="s">
        <v>2060</v>
      </c>
      <c r="J1580" s="12" t="str">
        <f>VLOOKUP(I1580,'Copy of Enriched Data - IPBES G'!$L$2:$L$229,1,false)</f>
        <v>10.1038/ngeo1057</v>
      </c>
      <c r="M1580" s="2" t="s">
        <v>1627</v>
      </c>
      <c r="N1580" s="2" t="s">
        <v>2061</v>
      </c>
      <c r="O1580" s="2" t="s">
        <v>2062</v>
      </c>
      <c r="Q1580" s="2" t="s">
        <v>2063</v>
      </c>
      <c r="S1580" s="2" t="s">
        <v>1453</v>
      </c>
      <c r="T1580" s="2">
        <v>4.0</v>
      </c>
      <c r="AO1580" s="2" t="s">
        <v>1368</v>
      </c>
    </row>
    <row r="1581" ht="15.75" customHeight="1">
      <c r="A1581" s="2" t="s">
        <v>2147</v>
      </c>
      <c r="B1581" s="2" t="s">
        <v>1361</v>
      </c>
      <c r="C1581" s="2">
        <v>2015.0</v>
      </c>
      <c r="D1581" s="2" t="s">
        <v>2148</v>
      </c>
      <c r="E1581" s="2" t="s">
        <v>2149</v>
      </c>
      <c r="F1581" s="2" t="s">
        <v>2150</v>
      </c>
      <c r="H1581" s="2" t="s">
        <v>2151</v>
      </c>
      <c r="I1581" s="2" t="s">
        <v>333</v>
      </c>
      <c r="J1581" s="12" t="str">
        <f>VLOOKUP(I1581,'Copy of Enriched Data - IPBES G'!$L$2:$L$229,1,false)</f>
        <v>10.1038/ncomms8615</v>
      </c>
      <c r="K1581" s="2" t="s">
        <v>2152</v>
      </c>
      <c r="M1581" s="2" t="s">
        <v>2153</v>
      </c>
      <c r="N1581" s="2" t="s">
        <v>2154</v>
      </c>
      <c r="O1581" s="2" t="s">
        <v>2155</v>
      </c>
      <c r="P1581" s="2" t="s">
        <v>2156</v>
      </c>
      <c r="Q1581" s="2" t="s">
        <v>2157</v>
      </c>
      <c r="S1581" s="2" t="s">
        <v>1462</v>
      </c>
      <c r="T1581" s="2">
        <v>6.0</v>
      </c>
      <c r="V1581" s="2" t="s">
        <v>2158</v>
      </c>
      <c r="AD1581" s="2" t="s">
        <v>1540</v>
      </c>
      <c r="AI1581" s="2" t="s">
        <v>1541</v>
      </c>
      <c r="AO1581" s="2" t="s">
        <v>2159</v>
      </c>
    </row>
    <row r="1582" ht="15.75" customHeight="1">
      <c r="A1582" s="2" t="s">
        <v>9929</v>
      </c>
      <c r="B1582" s="2" t="s">
        <v>1361</v>
      </c>
      <c r="C1582" s="2">
        <v>2017.0</v>
      </c>
      <c r="D1582" s="2" t="s">
        <v>9930</v>
      </c>
      <c r="E1582" s="2" t="s">
        <v>9931</v>
      </c>
      <c r="F1582" s="2" t="s">
        <v>2150</v>
      </c>
      <c r="H1582" s="2" t="s">
        <v>2151</v>
      </c>
      <c r="I1582" s="2" t="s">
        <v>103</v>
      </c>
      <c r="J1582" s="12" t="str">
        <f>VLOOKUP(I1582,'Copy of Enriched Data - IPBES G'!$L$2:$L$229,1,false)</f>
        <v>10.1038/ncomms15611</v>
      </c>
      <c r="K1582" s="2" t="s">
        <v>9932</v>
      </c>
      <c r="M1582" s="2" t="s">
        <v>9933</v>
      </c>
      <c r="N1582" s="2" t="s">
        <v>9934</v>
      </c>
      <c r="O1582" s="2" t="s">
        <v>9935</v>
      </c>
      <c r="P1582" s="2" t="s">
        <v>2156</v>
      </c>
      <c r="Q1582" s="2" t="s">
        <v>9936</v>
      </c>
      <c r="S1582" s="2">
        <v>1.0</v>
      </c>
      <c r="T1582" s="2">
        <v>8.0</v>
      </c>
      <c r="V1582" s="2" t="s">
        <v>2158</v>
      </c>
      <c r="AD1582" s="2" t="s">
        <v>1540</v>
      </c>
      <c r="AI1582" s="2" t="s">
        <v>1541</v>
      </c>
      <c r="AO1582" s="2" t="s">
        <v>1885</v>
      </c>
    </row>
    <row r="1583" ht="15.75" customHeight="1">
      <c r="A1583" s="2" t="s">
        <v>8415</v>
      </c>
      <c r="B1583" s="2" t="s">
        <v>1361</v>
      </c>
      <c r="C1583" s="2">
        <v>2017.0</v>
      </c>
      <c r="D1583" s="2" t="s">
        <v>8416</v>
      </c>
      <c r="E1583" s="2" t="s">
        <v>115</v>
      </c>
      <c r="F1583" s="2" t="s">
        <v>2150</v>
      </c>
      <c r="H1583" s="2" t="s">
        <v>2151</v>
      </c>
      <c r="I1583" s="2" t="s">
        <v>117</v>
      </c>
      <c r="J1583" s="12" t="str">
        <f>VLOOKUP(I1583,'Copy of Enriched Data - IPBES G'!$L$2:$L$229,1,false)</f>
        <v>10.1038/ncomms14435</v>
      </c>
      <c r="K1583" s="2" t="s">
        <v>8417</v>
      </c>
      <c r="L1583" s="2" t="s">
        <v>8418</v>
      </c>
      <c r="M1583" s="2" t="s">
        <v>5202</v>
      </c>
      <c r="N1583" s="2" t="s">
        <v>8419</v>
      </c>
      <c r="O1583" s="2" t="s">
        <v>8420</v>
      </c>
      <c r="P1583" s="2" t="s">
        <v>8421</v>
      </c>
      <c r="Q1583" s="2" t="s">
        <v>8422</v>
      </c>
      <c r="S1583" s="2" t="s">
        <v>1462</v>
      </c>
      <c r="T1583" s="2">
        <v>8.0</v>
      </c>
      <c r="V1583" s="2" t="s">
        <v>2158</v>
      </c>
      <c r="AD1583" s="2" t="s">
        <v>1540</v>
      </c>
      <c r="AI1583" s="2" t="s">
        <v>1541</v>
      </c>
      <c r="AO1583" s="2" t="s">
        <v>2137</v>
      </c>
    </row>
    <row r="1584" ht="15.75" customHeight="1">
      <c r="A1584" s="2" t="s">
        <v>11848</v>
      </c>
      <c r="B1584" s="2" t="s">
        <v>1361</v>
      </c>
      <c r="C1584" s="2">
        <v>2016.0</v>
      </c>
      <c r="D1584" s="2" t="s">
        <v>11849</v>
      </c>
      <c r="E1584" s="2" t="s">
        <v>207</v>
      </c>
      <c r="F1584" s="2" t="s">
        <v>2150</v>
      </c>
      <c r="I1584" s="2" t="s">
        <v>209</v>
      </c>
      <c r="J1584" s="12" t="str">
        <f>VLOOKUP(I1584,'Copy of Enriched Data - IPBES G'!$L$2:$L$229,1,false)</f>
        <v>10.1038/ncomms12485</v>
      </c>
      <c r="M1584" s="2" t="s">
        <v>1502</v>
      </c>
      <c r="N1584" s="2" t="s">
        <v>11850</v>
      </c>
      <c r="O1584" s="2" t="s">
        <v>11851</v>
      </c>
      <c r="Q1584" s="2" t="s">
        <v>11852</v>
      </c>
      <c r="T1584" s="2">
        <v>7.0</v>
      </c>
      <c r="AO1584" s="2" t="s">
        <v>1368</v>
      </c>
    </row>
    <row r="1585" ht="15.75" customHeight="1">
      <c r="A1585" s="2" t="s">
        <v>10970</v>
      </c>
      <c r="B1585" s="2" t="s">
        <v>1361</v>
      </c>
      <c r="C1585" s="2">
        <v>2015.0</v>
      </c>
      <c r="D1585" s="2" t="s">
        <v>10971</v>
      </c>
      <c r="E1585" s="2" t="s">
        <v>10972</v>
      </c>
      <c r="F1585" s="2" t="s">
        <v>2650</v>
      </c>
      <c r="I1585" s="2" t="s">
        <v>10973</v>
      </c>
      <c r="J1585" s="12" t="str">
        <f>VLOOKUP(I1585,'Copy of Enriched Data - IPBES G'!$L$2:$L$229,1,false)</f>
        <v>10.1038/nclimate2492</v>
      </c>
      <c r="M1585" s="2" t="s">
        <v>1373</v>
      </c>
      <c r="N1585" s="2" t="s">
        <v>10974</v>
      </c>
      <c r="O1585" s="2" t="s">
        <v>10975</v>
      </c>
      <c r="Q1585" s="2" t="s">
        <v>10976</v>
      </c>
      <c r="S1585" s="2" t="s">
        <v>1453</v>
      </c>
      <c r="T1585" s="2">
        <v>5.0</v>
      </c>
      <c r="AO1585" s="2" t="s">
        <v>1368</v>
      </c>
    </row>
    <row r="1586" ht="15.75" customHeight="1">
      <c r="A1586" s="2" t="s">
        <v>8710</v>
      </c>
      <c r="B1586" s="2" t="s">
        <v>1361</v>
      </c>
      <c r="C1586" s="2">
        <v>2013.0</v>
      </c>
      <c r="D1586" s="2" t="s">
        <v>8711</v>
      </c>
      <c r="E1586" s="2" t="s">
        <v>558</v>
      </c>
      <c r="F1586" s="2" t="s">
        <v>2650</v>
      </c>
      <c r="H1586" s="2" t="s">
        <v>4293</v>
      </c>
      <c r="I1586" s="2" t="s">
        <v>8712</v>
      </c>
      <c r="J1586" s="12" t="str">
        <f>VLOOKUP(I1586,'Copy of Enriched Data - IPBES G'!$L$2:$L$229,1,false)</f>
        <v>10.1038/nclimate1981</v>
      </c>
      <c r="L1586" s="2" t="s">
        <v>8713</v>
      </c>
      <c r="M1586" s="2" t="s">
        <v>1429</v>
      </c>
      <c r="N1586" s="2" t="s">
        <v>1385</v>
      </c>
      <c r="O1586" s="2" t="s">
        <v>1386</v>
      </c>
      <c r="AO1586" s="2" t="s">
        <v>1368</v>
      </c>
    </row>
    <row r="1587" ht="15.75" customHeight="1">
      <c r="A1587" s="2" t="s">
        <v>4291</v>
      </c>
      <c r="B1587" s="2" t="s">
        <v>1361</v>
      </c>
      <c r="C1587" s="2">
        <v>2012.0</v>
      </c>
      <c r="D1587" s="2" t="s">
        <v>4292</v>
      </c>
      <c r="E1587" s="2" t="s">
        <v>652</v>
      </c>
      <c r="F1587" s="2" t="s">
        <v>2650</v>
      </c>
      <c r="H1587" s="2" t="s">
        <v>4293</v>
      </c>
      <c r="I1587" s="2" t="s">
        <v>4294</v>
      </c>
      <c r="J1587" s="12" t="str">
        <f>VLOOKUP(I1587,'Copy of Enriched Data - IPBES G'!$L$2:$L$229,1,false)</f>
        <v>10.1038/nclimate1597</v>
      </c>
      <c r="K1587" s="2" t="s">
        <v>4295</v>
      </c>
      <c r="L1587" s="2" t="s">
        <v>4296</v>
      </c>
      <c r="M1587" s="2" t="s">
        <v>4297</v>
      </c>
      <c r="N1587" s="2" t="s">
        <v>1385</v>
      </c>
      <c r="O1587" s="2" t="s">
        <v>1386</v>
      </c>
      <c r="Q1587" s="2" t="s">
        <v>4298</v>
      </c>
      <c r="S1587" s="2" t="s">
        <v>2271</v>
      </c>
      <c r="T1587" s="2">
        <v>2.0</v>
      </c>
      <c r="AO1587" s="2" t="s">
        <v>1368</v>
      </c>
    </row>
    <row r="1588" ht="15.75" customHeight="1">
      <c r="A1588" s="2" t="s">
        <v>10302</v>
      </c>
      <c r="B1588" s="2" t="s">
        <v>1361</v>
      </c>
      <c r="C1588" s="2">
        <v>2015.0</v>
      </c>
      <c r="D1588" s="2" t="s">
        <v>10303</v>
      </c>
      <c r="E1588" s="2" t="s">
        <v>307</v>
      </c>
      <c r="F1588" s="2" t="s">
        <v>1380</v>
      </c>
      <c r="H1588" s="2" t="s">
        <v>1381</v>
      </c>
      <c r="I1588" s="2" t="s">
        <v>309</v>
      </c>
      <c r="J1588" s="12" t="str">
        <f>VLOOKUP(I1588,'Copy of Enriched Data - IPBES G'!$L$2:$L$229,1,false)</f>
        <v>10.1038/nature15371</v>
      </c>
      <c r="K1588" s="2" t="s">
        <v>10304</v>
      </c>
      <c r="L1588" s="2" t="s">
        <v>10305</v>
      </c>
      <c r="M1588" s="2" t="s">
        <v>1373</v>
      </c>
      <c r="N1588" s="2" t="s">
        <v>1385</v>
      </c>
      <c r="O1588" s="2" t="s">
        <v>1386</v>
      </c>
      <c r="Q1588" s="2" t="s">
        <v>10306</v>
      </c>
      <c r="S1588" s="2">
        <v>7569.0</v>
      </c>
      <c r="T1588" s="2">
        <v>525.0</v>
      </c>
      <c r="AO1588" s="2" t="s">
        <v>2238</v>
      </c>
    </row>
    <row r="1589" ht="15.75" customHeight="1">
      <c r="A1589" s="2" t="s">
        <v>9310</v>
      </c>
      <c r="B1589" s="2" t="s">
        <v>1361</v>
      </c>
      <c r="C1589" s="2">
        <v>2009.0</v>
      </c>
      <c r="D1589" s="2" t="s">
        <v>9311</v>
      </c>
      <c r="E1589" s="2" t="s">
        <v>938</v>
      </c>
      <c r="F1589" s="2" t="s">
        <v>1380</v>
      </c>
      <c r="H1589" s="2" t="s">
        <v>2961</v>
      </c>
      <c r="I1589" s="2" t="s">
        <v>940</v>
      </c>
      <c r="J1589" s="12" t="str">
        <f>VLOOKUP(I1589,'Copy of Enriched Data - IPBES G'!$L$2:$L$229,1,false)</f>
        <v>10.1038/nature08649</v>
      </c>
      <c r="L1589" s="2" t="s">
        <v>939</v>
      </c>
      <c r="M1589" s="2" t="s">
        <v>1364</v>
      </c>
      <c r="N1589" s="2" t="s">
        <v>9312</v>
      </c>
      <c r="O1589" s="2" t="s">
        <v>9313</v>
      </c>
      <c r="Q1589" s="2" t="s">
        <v>9314</v>
      </c>
      <c r="S1589" s="2" t="s">
        <v>9315</v>
      </c>
      <c r="T1589" s="2">
        <v>462.0</v>
      </c>
      <c r="AO1589" s="2" t="s">
        <v>2169</v>
      </c>
    </row>
    <row r="1590" ht="15.75" customHeight="1">
      <c r="A1590" s="2" t="s">
        <v>9578</v>
      </c>
      <c r="B1590" s="2" t="s">
        <v>1361</v>
      </c>
      <c r="C1590" s="2">
        <v>2008.0</v>
      </c>
      <c r="D1590" s="2" t="s">
        <v>9579</v>
      </c>
      <c r="E1590" s="2" t="s">
        <v>1006</v>
      </c>
      <c r="F1590" s="2" t="s">
        <v>1380</v>
      </c>
      <c r="H1590" s="2" t="s">
        <v>1381</v>
      </c>
      <c r="I1590" s="2" t="s">
        <v>1008</v>
      </c>
      <c r="J1590" s="12" t="str">
        <f>VLOOKUP(I1590,'Copy of Enriched Data - IPBES G'!$L$2:$L$229,1,false)</f>
        <v>10.1038/nature06949</v>
      </c>
      <c r="L1590" s="2" t="s">
        <v>9580</v>
      </c>
      <c r="M1590" s="2" t="s">
        <v>1458</v>
      </c>
      <c r="N1590" s="2" t="s">
        <v>1385</v>
      </c>
      <c r="O1590" s="2" t="s">
        <v>1386</v>
      </c>
      <c r="AO1590" s="2" t="s">
        <v>1368</v>
      </c>
    </row>
    <row r="1591" ht="15.75" customHeight="1">
      <c r="A1591" s="2" t="s">
        <v>9337</v>
      </c>
      <c r="B1591" s="2" t="s">
        <v>1361</v>
      </c>
      <c r="C1591" s="2">
        <v>2003.0</v>
      </c>
      <c r="D1591" s="2" t="s">
        <v>9338</v>
      </c>
      <c r="E1591" s="2" t="s">
        <v>1171</v>
      </c>
      <c r="F1591" s="2" t="s">
        <v>1380</v>
      </c>
      <c r="H1591" s="2" t="s">
        <v>1381</v>
      </c>
      <c r="I1591" s="2" t="s">
        <v>1173</v>
      </c>
      <c r="J1591" s="12" t="str">
        <f>VLOOKUP(I1591,'Copy of Enriched Data - IPBES G'!$L$2:$L$229,1,false)</f>
        <v>10.1038/nature01359</v>
      </c>
      <c r="K1591" s="2" t="s">
        <v>9339</v>
      </c>
      <c r="L1591" s="2" t="s">
        <v>9340</v>
      </c>
      <c r="M1591" s="2" t="s">
        <v>4209</v>
      </c>
      <c r="N1591" s="2" t="s">
        <v>1385</v>
      </c>
      <c r="O1591" s="2" t="s">
        <v>1386</v>
      </c>
      <c r="Q1591" s="2" t="s">
        <v>9341</v>
      </c>
      <c r="S1591" s="2" t="s">
        <v>9342</v>
      </c>
      <c r="T1591" s="2">
        <v>421.0</v>
      </c>
      <c r="W1591" s="2" t="s">
        <v>1380</v>
      </c>
      <c r="AO1591" s="2" t="s">
        <v>1621</v>
      </c>
    </row>
    <row r="1592" ht="15.75" customHeight="1">
      <c r="A1592" s="2" t="s">
        <v>4265</v>
      </c>
      <c r="B1592" s="2" t="s">
        <v>1361</v>
      </c>
      <c r="C1592" s="2">
        <v>2003.0</v>
      </c>
      <c r="D1592" s="2" t="s">
        <v>4266</v>
      </c>
      <c r="E1592" s="2" t="s">
        <v>4267</v>
      </c>
      <c r="F1592" s="2" t="s">
        <v>1380</v>
      </c>
      <c r="H1592" s="2" t="s">
        <v>1381</v>
      </c>
      <c r="I1592" s="2" t="s">
        <v>4268</v>
      </c>
      <c r="J1592" s="12" t="str">
        <f>VLOOKUP(I1592,'Copy of Enriched Data - IPBES G'!$L$2:$L$229,1,false)</f>
        <v>10.1038/nature01309.1</v>
      </c>
      <c r="K1592" s="2" t="s">
        <v>4269</v>
      </c>
      <c r="L1592" s="2" t="s">
        <v>4270</v>
      </c>
      <c r="M1592" s="2" t="s">
        <v>1606</v>
      </c>
      <c r="N1592" s="2" t="s">
        <v>1385</v>
      </c>
      <c r="O1592" s="2" t="s">
        <v>1386</v>
      </c>
      <c r="Q1592" s="2" t="s">
        <v>4271</v>
      </c>
      <c r="S1592" s="2" t="s">
        <v>4272</v>
      </c>
      <c r="T1592" s="2">
        <v>421.0</v>
      </c>
      <c r="AO1592" s="2" t="s">
        <v>2244</v>
      </c>
    </row>
    <row r="1593" ht="15.75" customHeight="1">
      <c r="A1593" s="2" t="s">
        <v>6000</v>
      </c>
      <c r="B1593" s="2" t="s">
        <v>1361</v>
      </c>
      <c r="C1593" s="2">
        <v>2002.0</v>
      </c>
      <c r="D1593" s="2" t="s">
        <v>6001</v>
      </c>
      <c r="E1593" s="2" t="s">
        <v>1178</v>
      </c>
      <c r="F1593" s="2" t="s">
        <v>1380</v>
      </c>
      <c r="H1593" s="2" t="s">
        <v>1381</v>
      </c>
      <c r="I1593" s="2" t="s">
        <v>1180</v>
      </c>
      <c r="J1593" s="12" t="str">
        <f>VLOOKUP(I1593,'Copy of Enriched Data - IPBES G'!$L$2:$L$229,1,false)</f>
        <v>10.1038/nature01017</v>
      </c>
      <c r="L1593" s="2" t="s">
        <v>1179</v>
      </c>
      <c r="M1593" s="2" t="s">
        <v>1493</v>
      </c>
      <c r="N1593" s="2" t="s">
        <v>6002</v>
      </c>
      <c r="O1593" s="2" t="s">
        <v>6003</v>
      </c>
      <c r="AO1593" s="2" t="s">
        <v>1621</v>
      </c>
    </row>
    <row r="1594" ht="15.75" customHeight="1">
      <c r="A1594" s="2" t="s">
        <v>11333</v>
      </c>
      <c r="B1594" s="2" t="s">
        <v>1361</v>
      </c>
      <c r="C1594" s="2">
        <v>2013.0</v>
      </c>
      <c r="D1594" s="2" t="s">
        <v>11334</v>
      </c>
      <c r="E1594" s="2" t="s">
        <v>565</v>
      </c>
      <c r="F1594" s="2" t="s">
        <v>1380</v>
      </c>
      <c r="H1594" s="2" t="s">
        <v>11335</v>
      </c>
      <c r="I1594" s="2" t="s">
        <v>566</v>
      </c>
      <c r="J1594" s="12" t="str">
        <f>VLOOKUP(I1594,'Copy of Enriched Data - IPBES G'!$L$2:$L$229,1,false)</f>
        <v>10.1038/502615a</v>
      </c>
      <c r="L1594" s="2" t="s">
        <v>11336</v>
      </c>
      <c r="M1594" s="2" t="s">
        <v>1429</v>
      </c>
      <c r="N1594" s="2" t="s">
        <v>1385</v>
      </c>
      <c r="O1594" s="2" t="s">
        <v>1386</v>
      </c>
      <c r="Q1594" s="2" t="s">
        <v>11337</v>
      </c>
      <c r="S1594" s="2" t="s">
        <v>11338</v>
      </c>
      <c r="T1594" s="2" t="s">
        <v>11339</v>
      </c>
      <c r="AO1594" s="2" t="s">
        <v>2169</v>
      </c>
    </row>
    <row r="1595" ht="15.75" customHeight="1">
      <c r="A1595" s="2" t="s">
        <v>8584</v>
      </c>
      <c r="B1595" s="2" t="s">
        <v>1361</v>
      </c>
      <c r="C1595" s="2">
        <v>1999.0</v>
      </c>
      <c r="D1595" s="2" t="s">
        <v>8585</v>
      </c>
      <c r="E1595" s="2" t="s">
        <v>1242</v>
      </c>
      <c r="F1595" s="2" t="s">
        <v>1380</v>
      </c>
      <c r="H1595" s="2" t="s">
        <v>1381</v>
      </c>
      <c r="I1595" s="2" t="s">
        <v>1244</v>
      </c>
      <c r="J1595" s="12" t="str">
        <f>VLOOKUP(I1595,'Copy of Enriched Data - IPBES G'!$L$2:$L$229,1,false)</f>
        <v>10.1038/44114</v>
      </c>
      <c r="L1595" s="2" t="s">
        <v>8586</v>
      </c>
      <c r="M1595" s="2" t="s">
        <v>1434</v>
      </c>
      <c r="N1595" s="2" t="s">
        <v>1385</v>
      </c>
      <c r="O1595" s="2" t="s">
        <v>1386</v>
      </c>
      <c r="AO1595" s="2" t="s">
        <v>1368</v>
      </c>
    </row>
    <row r="1596" ht="15.75" customHeight="1">
      <c r="A1596" s="2" t="s">
        <v>1377</v>
      </c>
      <c r="B1596" s="2" t="s">
        <v>1361</v>
      </c>
      <c r="C1596" s="2">
        <v>2002.0</v>
      </c>
      <c r="D1596" s="2" t="s">
        <v>1378</v>
      </c>
      <c r="E1596" s="2" t="s">
        <v>1379</v>
      </c>
      <c r="F1596" s="2" t="s">
        <v>1380</v>
      </c>
      <c r="H1596" s="2" t="s">
        <v>1381</v>
      </c>
      <c r="I1596" s="2" t="s">
        <v>1201</v>
      </c>
      <c r="J1596" s="12" t="str">
        <f>VLOOKUP(I1596,'Copy of Enriched Data - IPBES G'!$L$2:$L$229,1,false)</f>
        <v>10.1038/416808a</v>
      </c>
      <c r="K1596" s="2" t="s">
        <v>1382</v>
      </c>
      <c r="L1596" s="2" t="s">
        <v>1383</v>
      </c>
      <c r="M1596" s="2" t="s">
        <v>1384</v>
      </c>
      <c r="N1596" s="2" t="s">
        <v>1385</v>
      </c>
      <c r="O1596" s="2" t="s">
        <v>1386</v>
      </c>
      <c r="Q1596" s="2" t="s">
        <v>1387</v>
      </c>
      <c r="S1596" s="2">
        <v>6883.0</v>
      </c>
      <c r="T1596" s="2">
        <v>416.0</v>
      </c>
      <c r="AO1596" s="2" t="s">
        <v>1368</v>
      </c>
    </row>
    <row r="1597" ht="15.75" customHeight="1">
      <c r="A1597" s="2" t="s">
        <v>9185</v>
      </c>
      <c r="B1597" s="2" t="s">
        <v>1361</v>
      </c>
      <c r="C1597" s="2">
        <v>2004.0</v>
      </c>
      <c r="D1597" s="2" t="s">
        <v>9186</v>
      </c>
      <c r="E1597" s="2" t="s">
        <v>9187</v>
      </c>
      <c r="F1597" s="2" t="s">
        <v>9188</v>
      </c>
      <c r="I1597" s="2" t="s">
        <v>1158</v>
      </c>
      <c r="J1597" s="12" t="str">
        <f>VLOOKUP(I1597,'Copy of Enriched Data - IPBES G'!$L$2:$L$229,1,false)</f>
        <v>10.1023/B:NHAZ.0000020259.58716.0d</v>
      </c>
      <c r="M1597" s="2" t="s">
        <v>2373</v>
      </c>
      <c r="N1597" s="2" t="s">
        <v>1513</v>
      </c>
      <c r="O1597" s="2" t="s">
        <v>1514</v>
      </c>
      <c r="Q1597" s="2" t="s">
        <v>9189</v>
      </c>
      <c r="S1597" s="2" t="s">
        <v>1462</v>
      </c>
      <c r="T1597" s="2">
        <v>31.0</v>
      </c>
      <c r="AO1597" s="2" t="s">
        <v>1368</v>
      </c>
    </row>
    <row r="1598" ht="15.75" customHeight="1">
      <c r="A1598" s="2" t="s">
        <v>8512</v>
      </c>
      <c r="B1598" s="2" t="s">
        <v>1361</v>
      </c>
      <c r="C1598" s="2">
        <v>2001.0</v>
      </c>
      <c r="D1598" s="2" t="s">
        <v>8513</v>
      </c>
      <c r="E1598" s="2" t="s">
        <v>1212</v>
      </c>
      <c r="F1598" s="2" t="s">
        <v>1796</v>
      </c>
      <c r="H1598" s="2" t="s">
        <v>8514</v>
      </c>
      <c r="I1598" s="2" t="s">
        <v>1214</v>
      </c>
      <c r="J1598" s="12" t="str">
        <f>VLOOKUP(I1598,'Copy of Enriched Data - IPBES G'!$L$2:$L$229,1,false)</f>
        <v>10.1023/A:1013806223310</v>
      </c>
      <c r="L1598" s="2" t="s">
        <v>1213</v>
      </c>
      <c r="M1598" s="2" t="s">
        <v>1414</v>
      </c>
      <c r="N1598" s="2" t="s">
        <v>1385</v>
      </c>
      <c r="O1598" s="2" t="s">
        <v>1386</v>
      </c>
      <c r="AO1598" s="2" t="s">
        <v>1368</v>
      </c>
    </row>
    <row r="1599" ht="15.75" customHeight="1">
      <c r="A1599" s="2" t="s">
        <v>10155</v>
      </c>
      <c r="B1599" s="2" t="s">
        <v>1361</v>
      </c>
      <c r="C1599" s="2">
        <v>1998.0</v>
      </c>
      <c r="D1599" s="2" t="s">
        <v>10156</v>
      </c>
      <c r="E1599" s="2" t="s">
        <v>1258</v>
      </c>
      <c r="F1599" s="2" t="s">
        <v>10157</v>
      </c>
      <c r="I1599" s="2" t="s">
        <v>1261</v>
      </c>
      <c r="J1599" s="12" t="str">
        <f>VLOOKUP(I1599,'Copy of Enriched Data - IPBES G'!$L$2:$L$229,1,false)</f>
        <v>10.1023/A:1005984620681</v>
      </c>
      <c r="M1599" s="2" t="s">
        <v>1958</v>
      </c>
      <c r="N1599" s="2" t="s">
        <v>10158</v>
      </c>
      <c r="O1599" s="2" t="s">
        <v>10159</v>
      </c>
      <c r="Q1599" s="2" t="s">
        <v>10160</v>
      </c>
      <c r="T1599" s="2">
        <v>41.0</v>
      </c>
      <c r="AO1599" s="2" t="s">
        <v>1368</v>
      </c>
    </row>
    <row r="1600" ht="15.75" customHeight="1">
      <c r="A1600" s="2" t="s">
        <v>6892</v>
      </c>
      <c r="B1600" s="2" t="s">
        <v>1361</v>
      </c>
      <c r="C1600" s="2">
        <v>2014.0</v>
      </c>
      <c r="D1600" s="2" t="s">
        <v>6893</v>
      </c>
      <c r="E1600" s="2" t="s">
        <v>503</v>
      </c>
      <c r="F1600" s="2" t="s">
        <v>6894</v>
      </c>
      <c r="H1600" s="2" t="s">
        <v>4563</v>
      </c>
      <c r="I1600" s="2" t="s">
        <v>506</v>
      </c>
      <c r="J1600" s="12" t="str">
        <f>VLOOKUP(I1600,'Copy of Enriched Data - IPBES G'!$L$2:$L$229,1,false)</f>
        <v>10.1021/es500371t</v>
      </c>
      <c r="L1600" s="2" t="s">
        <v>6895</v>
      </c>
      <c r="M1600" s="2" t="s">
        <v>2651</v>
      </c>
      <c r="N1600" s="2" t="s">
        <v>1385</v>
      </c>
      <c r="O1600" s="2" t="s">
        <v>1386</v>
      </c>
      <c r="Q1600" s="2" t="s">
        <v>6896</v>
      </c>
      <c r="S1600" s="2" t="s">
        <v>1537</v>
      </c>
      <c r="T1600" s="2" t="s">
        <v>6533</v>
      </c>
      <c r="AO1600" s="2" t="s">
        <v>1368</v>
      </c>
    </row>
    <row r="1601" ht="15.75" customHeight="1">
      <c r="A1601" s="2" t="s">
        <v>4345</v>
      </c>
      <c r="B1601" s="2" t="s">
        <v>1361</v>
      </c>
      <c r="C1601" s="2">
        <v>2007.0</v>
      </c>
      <c r="D1601" s="2" t="s">
        <v>4346</v>
      </c>
      <c r="E1601" s="2" t="s">
        <v>1035</v>
      </c>
      <c r="F1601" s="2" t="s">
        <v>4347</v>
      </c>
      <c r="H1601" s="2" t="s">
        <v>4348</v>
      </c>
      <c r="I1601" s="2" t="s">
        <v>1037</v>
      </c>
      <c r="J1601" s="12" t="str">
        <f>VLOOKUP(I1601,'Copy of Enriched Data - IPBES G'!$L$2:$L$229,1,false)</f>
        <v>10.1021/es062147h</v>
      </c>
      <c r="L1601" s="2" t="s">
        <v>4349</v>
      </c>
      <c r="M1601" s="2" t="s">
        <v>2380</v>
      </c>
      <c r="N1601" s="2" t="s">
        <v>1385</v>
      </c>
      <c r="O1601" s="2" t="s">
        <v>1386</v>
      </c>
      <c r="AO1601" s="2" t="s">
        <v>1368</v>
      </c>
    </row>
    <row r="1602" ht="15.75" customHeight="1">
      <c r="A1602" s="2" t="s">
        <v>4426</v>
      </c>
      <c r="B1602" s="2" t="s">
        <v>1361</v>
      </c>
      <c r="C1602" s="2">
        <v>2004.0</v>
      </c>
      <c r="D1602" s="2" t="s">
        <v>4427</v>
      </c>
      <c r="E1602" s="2" t="s">
        <v>1116</v>
      </c>
      <c r="F1602" s="2" t="s">
        <v>4428</v>
      </c>
      <c r="H1602" s="2" t="s">
        <v>4429</v>
      </c>
      <c r="I1602" s="2" t="s">
        <v>1119</v>
      </c>
      <c r="J1602" s="12" t="str">
        <f>VLOOKUP(I1602,'Copy of Enriched Data - IPBES G'!$L$2:$L$229,1,false)</f>
        <v>10.1017/S1367943004001532</v>
      </c>
      <c r="L1602" s="2" t="s">
        <v>4430</v>
      </c>
      <c r="M1602" s="2" t="s">
        <v>2373</v>
      </c>
      <c r="N1602" s="2" t="s">
        <v>1385</v>
      </c>
      <c r="O1602" s="2" t="s">
        <v>1386</v>
      </c>
      <c r="AO1602" s="2" t="s">
        <v>1368</v>
      </c>
    </row>
    <row r="1603" ht="15.75" customHeight="1">
      <c r="A1603" s="2" t="s">
        <v>10494</v>
      </c>
      <c r="B1603" s="2" t="s">
        <v>1361</v>
      </c>
      <c r="C1603" s="2">
        <v>2014.0</v>
      </c>
      <c r="D1603" s="2" t="s">
        <v>10495</v>
      </c>
      <c r="E1603" s="2" t="s">
        <v>473</v>
      </c>
      <c r="F1603" s="2" t="s">
        <v>10496</v>
      </c>
      <c r="H1603" s="2" t="s">
        <v>10497</v>
      </c>
      <c r="I1603" s="2" t="s">
        <v>476</v>
      </c>
      <c r="J1603" s="12" t="str">
        <f>VLOOKUP(I1603,'Copy of Enriched Data - IPBES G'!$L$2:$L$229,1,false)</f>
        <v>10.1016/S2095-6339(15)30021-6</v>
      </c>
      <c r="L1603" s="2" t="s">
        <v>10498</v>
      </c>
      <c r="M1603" s="2" t="s">
        <v>1476</v>
      </c>
      <c r="N1603" s="2" t="s">
        <v>1385</v>
      </c>
      <c r="O1603" s="2" t="s">
        <v>1386</v>
      </c>
      <c r="AO1603" s="2" t="s">
        <v>1368</v>
      </c>
    </row>
    <row r="1604" ht="15.75" customHeight="1">
      <c r="A1604" s="2" t="s">
        <v>4531</v>
      </c>
      <c r="B1604" s="2" t="s">
        <v>1361</v>
      </c>
      <c r="C1604" s="2">
        <v>2000.0</v>
      </c>
      <c r="D1604" s="2" t="s">
        <v>4532</v>
      </c>
      <c r="E1604" s="2" t="s">
        <v>1225</v>
      </c>
      <c r="F1604" s="2" t="s">
        <v>4533</v>
      </c>
      <c r="H1604" s="2" t="s">
        <v>4534</v>
      </c>
      <c r="I1604" s="2" t="s">
        <v>1228</v>
      </c>
      <c r="J1604" s="12" t="str">
        <f>VLOOKUP(I1604,'Copy of Enriched Data - IPBES G'!$L$2:$L$229,1,false)</f>
        <v>10.1016/S0308-521X(00)00031-7</v>
      </c>
      <c r="L1604" s="2" t="s">
        <v>4535</v>
      </c>
      <c r="M1604" s="2" t="s">
        <v>2429</v>
      </c>
      <c r="N1604" s="2" t="s">
        <v>1385</v>
      </c>
      <c r="O1604" s="2" t="s">
        <v>1386</v>
      </c>
      <c r="AO1604" s="2" t="s">
        <v>1368</v>
      </c>
    </row>
    <row r="1605" ht="15.75" customHeight="1">
      <c r="A1605" s="2" t="s">
        <v>3641</v>
      </c>
      <c r="B1605" s="2" t="s">
        <v>1361</v>
      </c>
      <c r="C1605" s="2">
        <v>2004.0</v>
      </c>
      <c r="D1605" s="2" t="s">
        <v>3642</v>
      </c>
      <c r="E1605" s="2" t="s">
        <v>1107</v>
      </c>
      <c r="F1605" s="2" t="s">
        <v>3643</v>
      </c>
      <c r="H1605" s="2" t="s">
        <v>3644</v>
      </c>
      <c r="I1605" s="2" t="s">
        <v>1110</v>
      </c>
      <c r="J1605" s="12" t="str">
        <f>VLOOKUP(I1605,'Copy of Enriched Data - IPBES G'!$L$2:$L$229,1,false)</f>
        <v>10.1016/S0147-6513(03)00141-6</v>
      </c>
      <c r="M1605" s="2" t="s">
        <v>2373</v>
      </c>
      <c r="N1605" s="2" t="s">
        <v>1385</v>
      </c>
      <c r="O1605" s="2" t="s">
        <v>1386</v>
      </c>
      <c r="Q1605" s="2" t="s">
        <v>3645</v>
      </c>
      <c r="S1605" s="2" t="s">
        <v>1600</v>
      </c>
      <c r="T1605" s="2" t="s">
        <v>3646</v>
      </c>
      <c r="AO1605" s="2" t="s">
        <v>1368</v>
      </c>
    </row>
    <row r="1606" ht="15.75" customHeight="1">
      <c r="A1606" s="2" t="s">
        <v>6189</v>
      </c>
      <c r="B1606" s="2" t="s">
        <v>1361</v>
      </c>
      <c r="C1606" s="2">
        <v>2015.0</v>
      </c>
      <c r="D1606" s="2" t="s">
        <v>6190</v>
      </c>
      <c r="E1606" s="2" t="s">
        <v>383</v>
      </c>
      <c r="F1606" s="2" t="s">
        <v>6191</v>
      </c>
      <c r="H1606" s="2" t="s">
        <v>6192</v>
      </c>
      <c r="I1606" s="2" t="s">
        <v>386</v>
      </c>
      <c r="J1606" s="12" t="str">
        <f>VLOOKUP(I1606,'Copy of Enriched Data - IPBES G'!$L$2:$L$229,1,false)</f>
        <v>10.1016/j.watres.2014.08.053</v>
      </c>
      <c r="M1606" s="2" t="s">
        <v>1373</v>
      </c>
      <c r="N1606" s="2" t="s">
        <v>1385</v>
      </c>
      <c r="O1606" s="2" t="s">
        <v>1386</v>
      </c>
      <c r="Q1606" s="2" t="s">
        <v>5765</v>
      </c>
      <c r="T1606" s="2" t="s">
        <v>6193</v>
      </c>
      <c r="AO1606" s="2" t="s">
        <v>1368</v>
      </c>
    </row>
    <row r="1607" ht="15.75" customHeight="1">
      <c r="A1607" s="2" t="s">
        <v>6292</v>
      </c>
      <c r="B1607" s="2" t="s">
        <v>1361</v>
      </c>
      <c r="C1607" s="2">
        <v>2011.0</v>
      </c>
      <c r="D1607" s="2" t="s">
        <v>6293</v>
      </c>
      <c r="E1607" s="2" t="s">
        <v>738</v>
      </c>
      <c r="F1607" s="2" t="s">
        <v>6294</v>
      </c>
      <c r="H1607" s="2" t="s">
        <v>6295</v>
      </c>
      <c r="I1607" s="2" t="s">
        <v>741</v>
      </c>
      <c r="J1607" s="12" t="str">
        <f>VLOOKUP(I1607,'Copy of Enriched Data - IPBES G'!$L$2:$L$229,1,false)</f>
        <v>10.1016/j.wasman.2010.10.023</v>
      </c>
      <c r="L1607" s="2" t="s">
        <v>6296</v>
      </c>
      <c r="M1607" s="2" t="s">
        <v>1627</v>
      </c>
      <c r="N1607" s="2" t="s">
        <v>1385</v>
      </c>
      <c r="O1607" s="2" t="s">
        <v>1386</v>
      </c>
      <c r="Q1607" s="2" t="s">
        <v>6297</v>
      </c>
      <c r="S1607" s="2" t="s">
        <v>1506</v>
      </c>
      <c r="T1607" s="2" t="s">
        <v>2629</v>
      </c>
      <c r="AO1607" s="2" t="s">
        <v>1368</v>
      </c>
    </row>
    <row r="1608" ht="15.75" customHeight="1">
      <c r="A1608" s="2" t="s">
        <v>8461</v>
      </c>
      <c r="B1608" s="2" t="s">
        <v>1361</v>
      </c>
      <c r="C1608" s="2">
        <v>2013.0</v>
      </c>
      <c r="D1608" s="2" t="s">
        <v>8462</v>
      </c>
      <c r="E1608" s="2" t="s">
        <v>8463</v>
      </c>
      <c r="F1608" s="2" t="s">
        <v>6864</v>
      </c>
      <c r="H1608" s="2" t="s">
        <v>2509</v>
      </c>
      <c r="I1608" s="2" t="s">
        <v>628</v>
      </c>
      <c r="J1608" s="12" t="str">
        <f>VLOOKUP(I1608,'Copy of Enriched Data - IPBES G'!$L$2:$L$229,1,false)</f>
        <v>10.1016/j.tree.2012.07.013</v>
      </c>
      <c r="L1608" s="2" t="s">
        <v>8464</v>
      </c>
      <c r="M1608" s="2" t="s">
        <v>1429</v>
      </c>
      <c r="N1608" s="2" t="s">
        <v>1385</v>
      </c>
      <c r="O1608" s="2" t="s">
        <v>1386</v>
      </c>
      <c r="Q1608" s="2" t="s">
        <v>8465</v>
      </c>
      <c r="S1608" s="2" t="s">
        <v>1462</v>
      </c>
      <c r="T1608" s="2">
        <v>28.0</v>
      </c>
      <c r="AO1608" s="2" t="s">
        <v>2169</v>
      </c>
    </row>
    <row r="1609" ht="15.75" customHeight="1">
      <c r="A1609" s="2" t="s">
        <v>11666</v>
      </c>
      <c r="B1609" s="2" t="s">
        <v>1361</v>
      </c>
      <c r="C1609" s="2">
        <v>2017.0</v>
      </c>
      <c r="D1609" s="2" t="s">
        <v>11667</v>
      </c>
      <c r="E1609" s="2" t="s">
        <v>60</v>
      </c>
      <c r="F1609" s="2" t="s">
        <v>6140</v>
      </c>
      <c r="H1609" s="2" t="s">
        <v>6141</v>
      </c>
      <c r="I1609" s="2" t="s">
        <v>63</v>
      </c>
      <c r="J1609" s="12" t="str">
        <f>VLOOKUP(I1609,'Copy of Enriched Data - IPBES G'!$L$2:$L$229,1,false)</f>
        <v>10.1016/j.scitotenv.2017.05.039</v>
      </c>
      <c r="M1609" s="2" t="s">
        <v>1658</v>
      </c>
      <c r="N1609" s="2" t="s">
        <v>1385</v>
      </c>
      <c r="O1609" s="2" t="s">
        <v>1386</v>
      </c>
      <c r="Q1609" s="2" t="s">
        <v>11668</v>
      </c>
      <c r="T1609" s="2" t="s">
        <v>11669</v>
      </c>
      <c r="AO1609" s="2" t="s">
        <v>1368</v>
      </c>
    </row>
    <row r="1610" ht="15.75" customHeight="1">
      <c r="A1610" s="2" t="s">
        <v>6934</v>
      </c>
      <c r="B1610" s="2" t="s">
        <v>1361</v>
      </c>
      <c r="C1610" s="2">
        <v>2015.0</v>
      </c>
      <c r="D1610" s="2" t="s">
        <v>6935</v>
      </c>
      <c r="E1610" s="2" t="s">
        <v>433</v>
      </c>
      <c r="F1610" s="2" t="s">
        <v>6140</v>
      </c>
      <c r="H1610" s="2" t="s">
        <v>6141</v>
      </c>
      <c r="I1610" s="2" t="s">
        <v>435</v>
      </c>
      <c r="J1610" s="12" t="str">
        <f>VLOOKUP(I1610,'Copy of Enriched Data - IPBES G'!$L$2:$L$229,1,false)</f>
        <v>10.1016/j.scitotenv.2014.06.081</v>
      </c>
      <c r="L1610" s="2" t="s">
        <v>6936</v>
      </c>
      <c r="M1610" s="2" t="s">
        <v>1373</v>
      </c>
      <c r="N1610" s="2" t="s">
        <v>1385</v>
      </c>
      <c r="O1610" s="2" t="s">
        <v>1386</v>
      </c>
      <c r="Q1610" s="2" t="s">
        <v>5795</v>
      </c>
      <c r="T1610" s="2" t="s">
        <v>6937</v>
      </c>
      <c r="AO1610" s="2" t="s">
        <v>1368</v>
      </c>
    </row>
    <row r="1611" ht="15.75" customHeight="1">
      <c r="A1611" s="2" t="s">
        <v>4404</v>
      </c>
      <c r="B1611" s="2" t="s">
        <v>1361</v>
      </c>
      <c r="C1611" s="2">
        <v>2014.0</v>
      </c>
      <c r="D1611" s="2" t="s">
        <v>4405</v>
      </c>
      <c r="E1611" s="2" t="s">
        <v>528</v>
      </c>
      <c r="F1611" s="2" t="s">
        <v>3713</v>
      </c>
      <c r="H1611" s="2" t="s">
        <v>3714</v>
      </c>
      <c r="I1611" s="2" t="s">
        <v>530</v>
      </c>
      <c r="J1611" s="12" t="str">
        <f>VLOOKUP(I1611,'Copy of Enriched Data - IPBES G'!$L$2:$L$229,1,false)</f>
        <v>10.1016/j.scitotenv.2013.05.057</v>
      </c>
      <c r="L1611" s="2" t="s">
        <v>4406</v>
      </c>
      <c r="M1611" s="2" t="s">
        <v>1476</v>
      </c>
      <c r="N1611" s="2" t="s">
        <v>1385</v>
      </c>
      <c r="O1611" s="2" t="s">
        <v>1386</v>
      </c>
      <c r="AO1611" s="2" t="s">
        <v>1368</v>
      </c>
    </row>
    <row r="1612" ht="15.75" customHeight="1">
      <c r="A1612" s="2" t="s">
        <v>6138</v>
      </c>
      <c r="B1612" s="2" t="s">
        <v>1361</v>
      </c>
      <c r="C1612" s="2">
        <v>2010.0</v>
      </c>
      <c r="D1612" s="2" t="s">
        <v>6139</v>
      </c>
      <c r="E1612" s="2" t="s">
        <v>802</v>
      </c>
      <c r="F1612" s="2" t="s">
        <v>6140</v>
      </c>
      <c r="H1612" s="2" t="s">
        <v>6141</v>
      </c>
      <c r="I1612" s="2" t="s">
        <v>804</v>
      </c>
      <c r="J1612" s="12" t="str">
        <f>VLOOKUP(I1612,'Copy of Enriched Data - IPBES G'!$L$2:$L$229,1,false)</f>
        <v>10.1016/j.scitotenv.2010.09.026</v>
      </c>
      <c r="M1612" s="2" t="s">
        <v>1449</v>
      </c>
      <c r="N1612" s="2" t="s">
        <v>1385</v>
      </c>
      <c r="O1612" s="2" t="s">
        <v>1386</v>
      </c>
      <c r="Q1612" s="2" t="s">
        <v>6142</v>
      </c>
      <c r="S1612" s="2" t="s">
        <v>4442</v>
      </c>
      <c r="T1612" s="2" t="s">
        <v>6143</v>
      </c>
      <c r="AO1612" s="2" t="s">
        <v>1368</v>
      </c>
    </row>
    <row r="1613" ht="15.75" customHeight="1">
      <c r="A1613" s="2" t="s">
        <v>10614</v>
      </c>
      <c r="B1613" s="2" t="s">
        <v>1361</v>
      </c>
      <c r="C1613" s="2">
        <v>2012.0</v>
      </c>
      <c r="D1613" s="2" t="s">
        <v>10615</v>
      </c>
      <c r="E1613" s="2" t="s">
        <v>675</v>
      </c>
      <c r="F1613" s="2" t="s">
        <v>2358</v>
      </c>
      <c r="H1613" s="2" t="s">
        <v>2359</v>
      </c>
      <c r="I1613" s="2" t="s">
        <v>678</v>
      </c>
      <c r="J1613" s="12" t="str">
        <f>VLOOKUP(I1613,'Copy of Enriched Data - IPBES G'!$L$2:$L$229,1,false)</f>
        <v>10.1016/j.rse.2012.05.019</v>
      </c>
      <c r="L1613" s="2" t="s">
        <v>10616</v>
      </c>
      <c r="M1613" s="2">
        <v>2012.0</v>
      </c>
      <c r="N1613" s="2" t="s">
        <v>1385</v>
      </c>
      <c r="O1613" s="2" t="s">
        <v>1386</v>
      </c>
      <c r="AO1613" s="2" t="s">
        <v>1368</v>
      </c>
    </row>
    <row r="1614" ht="15.75" customHeight="1">
      <c r="A1614" s="2" t="s">
        <v>6882</v>
      </c>
      <c r="B1614" s="2" t="s">
        <v>1361</v>
      </c>
      <c r="C1614" s="2">
        <v>2007.0</v>
      </c>
      <c r="D1614" s="2" t="s">
        <v>6883</v>
      </c>
      <c r="E1614" s="2" t="s">
        <v>1042</v>
      </c>
      <c r="F1614" s="2" t="s">
        <v>6884</v>
      </c>
      <c r="H1614" s="2" t="s">
        <v>6885</v>
      </c>
      <c r="I1614" s="2" t="s">
        <v>1045</v>
      </c>
      <c r="J1614" s="12" t="str">
        <f>VLOOKUP(I1614,'Copy of Enriched Data - IPBES G'!$L$2:$L$229,1,false)</f>
        <v>10.1016/j.pce.2007.07.033</v>
      </c>
      <c r="L1614" s="2" t="s">
        <v>6886</v>
      </c>
      <c r="M1614" s="2" t="s">
        <v>2380</v>
      </c>
      <c r="N1614" s="2" t="s">
        <v>1385</v>
      </c>
      <c r="O1614" s="2" t="s">
        <v>1386</v>
      </c>
      <c r="AO1614" s="2" t="s">
        <v>1368</v>
      </c>
    </row>
    <row r="1615" ht="15.75" customHeight="1">
      <c r="A1615" s="2" t="s">
        <v>5144</v>
      </c>
      <c r="B1615" s="2" t="s">
        <v>1361</v>
      </c>
      <c r="C1615" s="2">
        <v>2015.0</v>
      </c>
      <c r="D1615" s="2" t="s">
        <v>5145</v>
      </c>
      <c r="E1615" s="2" t="s">
        <v>291</v>
      </c>
      <c r="F1615" s="2" t="s">
        <v>5146</v>
      </c>
      <c r="H1615" s="2" t="s">
        <v>5147</v>
      </c>
      <c r="I1615" s="2" t="s">
        <v>294</v>
      </c>
      <c r="J1615" s="12" t="str">
        <f>VLOOKUP(I1615,'Copy of Enriched Data - IPBES G'!$L$2:$L$229,1,false)</f>
        <v>10.1016/j.ocecoaman.2015.05.021</v>
      </c>
      <c r="L1615" s="2" t="s">
        <v>5148</v>
      </c>
      <c r="M1615" s="2" t="s">
        <v>5149</v>
      </c>
      <c r="N1615" s="2" t="s">
        <v>1385</v>
      </c>
      <c r="O1615" s="2" t="s">
        <v>1386</v>
      </c>
      <c r="Q1615" s="2" t="s">
        <v>5150</v>
      </c>
      <c r="T1615" s="2">
        <v>115.0</v>
      </c>
      <c r="AO1615" s="2" t="s">
        <v>1368</v>
      </c>
    </row>
    <row r="1616" ht="15.75" customHeight="1">
      <c r="A1616" s="2" t="s">
        <v>11576</v>
      </c>
      <c r="B1616" s="2" t="s">
        <v>1361</v>
      </c>
      <c r="C1616" s="2">
        <v>2015.0</v>
      </c>
      <c r="D1616" s="2" t="s">
        <v>11577</v>
      </c>
      <c r="E1616" s="2" t="s">
        <v>256</v>
      </c>
      <c r="F1616" s="2" t="s">
        <v>1570</v>
      </c>
      <c r="H1616" s="2" t="s">
        <v>11578</v>
      </c>
      <c r="I1616" s="2" t="s">
        <v>259</v>
      </c>
      <c r="J1616" s="12" t="str">
        <f>VLOOKUP(I1616,'Copy of Enriched Data - IPBES G'!$L$2:$L$229,1,false)</f>
        <v>10.1016/j.marpolbul.2015.10.042</v>
      </c>
      <c r="L1616" s="2" t="s">
        <v>11579</v>
      </c>
      <c r="M1616" s="2" t="s">
        <v>1373</v>
      </c>
      <c r="N1616" s="2" t="s">
        <v>1385</v>
      </c>
      <c r="O1616" s="2" t="s">
        <v>1386</v>
      </c>
      <c r="AO1616" s="2" t="s">
        <v>1368</v>
      </c>
    </row>
    <row r="1617" ht="15.75" customHeight="1">
      <c r="A1617" s="2" t="s">
        <v>7672</v>
      </c>
      <c r="B1617" s="2" t="s">
        <v>1361</v>
      </c>
      <c r="C1617" s="2">
        <v>2016.0</v>
      </c>
      <c r="D1617" s="2" t="s">
        <v>7673</v>
      </c>
      <c r="E1617" s="2" t="s">
        <v>7674</v>
      </c>
      <c r="F1617" s="2" t="s">
        <v>1466</v>
      </c>
      <c r="H1617" s="2" t="s">
        <v>6232</v>
      </c>
      <c r="I1617" s="2" t="s">
        <v>167</v>
      </c>
      <c r="J1617" s="12" t="str">
        <f>VLOOKUP(I1617,'Copy of Enriched Data - IPBES G'!$L$2:$L$229,1,false)</f>
        <v>10.1016/j.landusepol.2014.12.005</v>
      </c>
      <c r="L1617" s="2" t="s">
        <v>7675</v>
      </c>
      <c r="M1617" s="2" t="s">
        <v>7676</v>
      </c>
      <c r="N1617" s="2" t="s">
        <v>1385</v>
      </c>
      <c r="O1617" s="2" t="s">
        <v>1386</v>
      </c>
      <c r="Q1617" s="2" t="s">
        <v>7677</v>
      </c>
      <c r="T1617" s="2">
        <v>57.0</v>
      </c>
      <c r="AO1617" s="2" t="s">
        <v>1368</v>
      </c>
    </row>
    <row r="1618" ht="15.75" customHeight="1">
      <c r="A1618" s="2" t="s">
        <v>2344</v>
      </c>
      <c r="B1618" s="2" t="s">
        <v>1361</v>
      </c>
      <c r="C1618" s="2">
        <v>2009.0</v>
      </c>
      <c r="D1618" s="2" t="s">
        <v>2345</v>
      </c>
      <c r="E1618" s="2" t="s">
        <v>954</v>
      </c>
      <c r="F1618" s="2" t="s">
        <v>1466</v>
      </c>
      <c r="H1618" s="2" t="s">
        <v>2346</v>
      </c>
      <c r="I1618" s="2" t="s">
        <v>956</v>
      </c>
      <c r="J1618" s="12" t="str">
        <f>VLOOKUP(I1618,'Copy of Enriched Data - IPBES G'!$L$2:$L$229,1,false)</f>
        <v>10.1016/j.landusepol.2009.08.009</v>
      </c>
      <c r="L1618" s="2" t="s">
        <v>955</v>
      </c>
      <c r="M1618" s="2" t="s">
        <v>1364</v>
      </c>
      <c r="N1618" s="2" t="s">
        <v>1385</v>
      </c>
      <c r="O1618" s="2" t="s">
        <v>1386</v>
      </c>
      <c r="AO1618" s="2" t="s">
        <v>1368</v>
      </c>
    </row>
    <row r="1619" ht="15.75" customHeight="1">
      <c r="A1619" s="2" t="s">
        <v>4487</v>
      </c>
      <c r="B1619" s="2" t="s">
        <v>1361</v>
      </c>
      <c r="C1619" s="2">
        <v>2010.0</v>
      </c>
      <c r="D1619" s="2" t="s">
        <v>4488</v>
      </c>
      <c r="E1619" s="2" t="s">
        <v>900</v>
      </c>
      <c r="F1619" s="2" t="s">
        <v>4489</v>
      </c>
      <c r="H1619" s="2" t="s">
        <v>4490</v>
      </c>
      <c r="I1619" s="2" t="s">
        <v>903</v>
      </c>
      <c r="J1619" s="12" t="str">
        <f>VLOOKUP(I1619,'Copy of Enriched Data - IPBES G'!$L$2:$L$229,1,false)</f>
        <v>10.1016/j.jhazmat.2009.10.100</v>
      </c>
      <c r="L1619" s="2" t="s">
        <v>4491</v>
      </c>
      <c r="M1619" s="2" t="s">
        <v>1449</v>
      </c>
      <c r="N1619" s="2" t="s">
        <v>1385</v>
      </c>
      <c r="O1619" s="2" t="s">
        <v>1386</v>
      </c>
      <c r="Q1619" s="2" t="s">
        <v>4492</v>
      </c>
      <c r="S1619" s="2" t="s">
        <v>1462</v>
      </c>
      <c r="T1619" s="2">
        <v>175.0</v>
      </c>
      <c r="AO1619" s="2" t="s">
        <v>1368</v>
      </c>
    </row>
    <row r="1620" ht="15.75" customHeight="1">
      <c r="A1620" s="2" t="s">
        <v>8454</v>
      </c>
      <c r="B1620" s="2" t="s">
        <v>1361</v>
      </c>
      <c r="C1620" s="2">
        <v>2016.0</v>
      </c>
      <c r="D1620" s="2" t="s">
        <v>8455</v>
      </c>
      <c r="E1620" s="2" t="s">
        <v>189</v>
      </c>
      <c r="F1620" s="2" t="s">
        <v>6589</v>
      </c>
      <c r="H1620" s="2" t="s">
        <v>8435</v>
      </c>
      <c r="I1620" s="2" t="s">
        <v>192</v>
      </c>
      <c r="J1620" s="12" t="str">
        <f>VLOOKUP(I1620,'Copy of Enriched Data - IPBES G'!$L$2:$L$229,1,false)</f>
        <v>10.1016/j.jclepro.2015.06.100</v>
      </c>
      <c r="K1620" s="2" t="s">
        <v>8456</v>
      </c>
      <c r="M1620" s="2" t="s">
        <v>5488</v>
      </c>
      <c r="N1620" s="2" t="s">
        <v>8457</v>
      </c>
      <c r="O1620" s="2" t="s">
        <v>8458</v>
      </c>
      <c r="P1620" s="2" t="s">
        <v>8440</v>
      </c>
      <c r="Q1620" s="2" t="s">
        <v>8459</v>
      </c>
      <c r="T1620" s="2">
        <v>132.0</v>
      </c>
      <c r="V1620" s="2" t="s">
        <v>6589</v>
      </c>
      <c r="W1620" s="2" t="s">
        <v>8460</v>
      </c>
      <c r="AD1620" s="2" t="s">
        <v>1540</v>
      </c>
      <c r="AI1620" s="2" t="s">
        <v>1541</v>
      </c>
      <c r="AO1620" s="2" t="s">
        <v>2889</v>
      </c>
    </row>
    <row r="1621" ht="15.75" customHeight="1">
      <c r="A1621" s="2" t="s">
        <v>4948</v>
      </c>
      <c r="B1621" s="2" t="s">
        <v>1361</v>
      </c>
      <c r="C1621" s="2">
        <v>2004.0</v>
      </c>
      <c r="D1621" s="2" t="s">
        <v>4949</v>
      </c>
      <c r="E1621" s="2" t="s">
        <v>1125</v>
      </c>
      <c r="F1621" s="2" t="s">
        <v>4950</v>
      </c>
      <c r="H1621" s="2" t="s">
        <v>4951</v>
      </c>
      <c r="I1621" s="2" t="s">
        <v>1128</v>
      </c>
      <c r="J1621" s="12" t="str">
        <f>VLOOKUP(I1621,'Copy of Enriched Data - IPBES G'!$L$2:$L$229,1,false)</f>
        <v>10.1016/j.jaridenv.2004.03.022</v>
      </c>
      <c r="L1621" s="2" t="s">
        <v>4952</v>
      </c>
      <c r="M1621" s="2" t="s">
        <v>2373</v>
      </c>
      <c r="N1621" s="2" t="s">
        <v>1385</v>
      </c>
      <c r="O1621" s="2" t="s">
        <v>1386</v>
      </c>
      <c r="AO1621" s="2" t="s">
        <v>1368</v>
      </c>
    </row>
    <row r="1622" ht="15.75" customHeight="1">
      <c r="A1622" s="2" t="s">
        <v>3376</v>
      </c>
      <c r="B1622" s="2" t="s">
        <v>1361</v>
      </c>
      <c r="C1622" s="2">
        <v>2006.0</v>
      </c>
      <c r="D1622" s="2" t="s">
        <v>3377</v>
      </c>
      <c r="E1622" s="2" t="s">
        <v>1051</v>
      </c>
      <c r="F1622" s="2" t="s">
        <v>3378</v>
      </c>
      <c r="I1622" s="2" t="s">
        <v>1054</v>
      </c>
      <c r="J1622" s="12" t="str">
        <f>VLOOKUP(I1622,'Copy of Enriched Data - IPBES G'!$L$2:$L$229,1,false)</f>
        <v>10.1016/j.gloplacha.2006.04.001</v>
      </c>
      <c r="M1622" s="2" t="s">
        <v>1727</v>
      </c>
      <c r="N1622" s="2" t="s">
        <v>3379</v>
      </c>
      <c r="O1622" s="2" t="s">
        <v>3380</v>
      </c>
      <c r="Q1622" s="2" t="s">
        <v>3381</v>
      </c>
      <c r="S1622" s="2" t="s">
        <v>1600</v>
      </c>
      <c r="T1622" s="2" t="s">
        <v>3382</v>
      </c>
      <c r="AO1622" s="2" t="s">
        <v>1368</v>
      </c>
    </row>
    <row r="1623" ht="15.75" customHeight="1">
      <c r="A1623" s="2" t="s">
        <v>10609</v>
      </c>
      <c r="B1623" s="2" t="s">
        <v>1361</v>
      </c>
      <c r="C1623" s="2">
        <v>2015.0</v>
      </c>
      <c r="D1623" s="2" t="s">
        <v>10610</v>
      </c>
      <c r="E1623" s="2" t="s">
        <v>282</v>
      </c>
      <c r="F1623" s="2" t="s">
        <v>1789</v>
      </c>
      <c r="H1623" s="2" t="s">
        <v>1790</v>
      </c>
      <c r="I1623" s="2" t="s">
        <v>285</v>
      </c>
      <c r="J1623" s="12" t="str">
        <f>VLOOKUP(I1623,'Copy of Enriched Data - IPBES G'!$L$2:$L$229,1,false)</f>
        <v>10.1016/j.gloenvcha.2015.08.011</v>
      </c>
      <c r="K1623" s="2" t="s">
        <v>10611</v>
      </c>
      <c r="L1623" s="2" t="s">
        <v>10612</v>
      </c>
      <c r="M1623" s="2">
        <v>2015.0</v>
      </c>
      <c r="N1623" s="2" t="s">
        <v>1385</v>
      </c>
      <c r="O1623" s="2" t="s">
        <v>1386</v>
      </c>
      <c r="Q1623" s="2" t="s">
        <v>10613</v>
      </c>
      <c r="T1623" s="2">
        <v>35.0</v>
      </c>
      <c r="AO1623" s="2" t="s">
        <v>1368</v>
      </c>
    </row>
    <row r="1624" ht="15.75" customHeight="1">
      <c r="A1624" s="2" t="s">
        <v>11681</v>
      </c>
      <c r="B1624" s="2" t="s">
        <v>1361</v>
      </c>
      <c r="C1624" s="2">
        <v>2014.0</v>
      </c>
      <c r="D1624" s="2" t="s">
        <v>11682</v>
      </c>
      <c r="E1624" s="2" t="s">
        <v>542</v>
      </c>
      <c r="F1624" s="2" t="s">
        <v>1789</v>
      </c>
      <c r="H1624" s="2" t="s">
        <v>1790</v>
      </c>
      <c r="I1624" s="2" t="s">
        <v>544</v>
      </c>
      <c r="J1624" s="12" t="str">
        <f>VLOOKUP(I1624,'Copy of Enriched Data - IPBES G'!$L$2:$L$229,1,false)</f>
        <v>10.1016/j.gloenvcha.2013.09.008</v>
      </c>
      <c r="L1624" s="2" t="s">
        <v>11683</v>
      </c>
      <c r="M1624" s="2" t="s">
        <v>1476</v>
      </c>
      <c r="N1624" s="2" t="s">
        <v>1385</v>
      </c>
      <c r="O1624" s="2" t="s">
        <v>1386</v>
      </c>
      <c r="Q1624" s="2" t="s">
        <v>11684</v>
      </c>
      <c r="T1624" s="2" t="s">
        <v>4442</v>
      </c>
      <c r="AO1624" s="2" t="s">
        <v>1368</v>
      </c>
    </row>
    <row r="1625" ht="15.75" customHeight="1">
      <c r="A1625" s="2" t="s">
        <v>4607</v>
      </c>
      <c r="B1625" s="2" t="s">
        <v>1361</v>
      </c>
      <c r="C1625" s="2">
        <v>2012.0</v>
      </c>
      <c r="D1625" s="2" t="s">
        <v>4608</v>
      </c>
      <c r="E1625" s="2" t="s">
        <v>4609</v>
      </c>
      <c r="F1625" s="2" t="s">
        <v>1789</v>
      </c>
      <c r="I1625" s="2" t="s">
        <v>710</v>
      </c>
      <c r="J1625" s="12" t="str">
        <f>VLOOKUP(I1625,'Copy of Enriched Data - IPBES G'!$L$2:$L$229,1,false)</f>
        <v>10.1016/j.gloenvcha.2011.10.009</v>
      </c>
      <c r="M1625" s="2" t="s">
        <v>1405</v>
      </c>
      <c r="N1625" s="2" t="s">
        <v>4610</v>
      </c>
      <c r="O1625" s="2" t="s">
        <v>4611</v>
      </c>
      <c r="Q1625" s="2" t="s">
        <v>4612</v>
      </c>
      <c r="S1625" s="2" t="s">
        <v>1453</v>
      </c>
      <c r="T1625" s="2">
        <v>22.0</v>
      </c>
      <c r="AO1625" s="2" t="s">
        <v>1368</v>
      </c>
    </row>
    <row r="1626" ht="15.75" customHeight="1">
      <c r="A1626" s="2" t="s">
        <v>8634</v>
      </c>
      <c r="B1626" s="2" t="s">
        <v>1361</v>
      </c>
      <c r="C1626" s="2">
        <v>2004.0</v>
      </c>
      <c r="D1626" s="2" t="s">
        <v>8635</v>
      </c>
      <c r="E1626" s="2" t="s">
        <v>1133</v>
      </c>
      <c r="F1626" s="2" t="s">
        <v>1789</v>
      </c>
      <c r="H1626" s="2" t="s">
        <v>7029</v>
      </c>
      <c r="I1626" s="2" t="s">
        <v>1135</v>
      </c>
      <c r="J1626" s="12" t="str">
        <f>VLOOKUP(I1626,'Copy of Enriched Data - IPBES G'!$L$2:$L$229,1,false)</f>
        <v>10.1016/j.gloenvcha.2004.04.008</v>
      </c>
      <c r="M1626" s="2" t="s">
        <v>2373</v>
      </c>
      <c r="N1626" s="2" t="s">
        <v>1385</v>
      </c>
      <c r="O1626" s="2" t="s">
        <v>1386</v>
      </c>
      <c r="Q1626" s="2" t="s">
        <v>8636</v>
      </c>
      <c r="S1626" s="2" t="s">
        <v>1600</v>
      </c>
      <c r="T1626" s="2">
        <v>14.0</v>
      </c>
      <c r="AO1626" s="2" t="s">
        <v>1368</v>
      </c>
    </row>
    <row r="1627" ht="15.75" customHeight="1">
      <c r="A1627" s="2" t="s">
        <v>4382</v>
      </c>
      <c r="B1627" s="2" t="s">
        <v>1361</v>
      </c>
      <c r="C1627" s="2">
        <v>2011.0</v>
      </c>
      <c r="D1627" s="2" t="s">
        <v>4383</v>
      </c>
      <c r="E1627" s="2" t="s">
        <v>746</v>
      </c>
      <c r="F1627" s="2" t="s">
        <v>4384</v>
      </c>
      <c r="H1627" s="2" t="s">
        <v>4385</v>
      </c>
      <c r="I1627" s="2" t="s">
        <v>749</v>
      </c>
      <c r="J1627" s="12" t="str">
        <f>VLOOKUP(I1627,'Copy of Enriched Data - IPBES G'!$L$2:$L$229,1,false)</f>
        <v>10.1016/j.foodpol.2010.11.015</v>
      </c>
      <c r="L1627" s="2" t="s">
        <v>4386</v>
      </c>
      <c r="M1627" s="2" t="s">
        <v>1627</v>
      </c>
      <c r="N1627" s="2" t="s">
        <v>1385</v>
      </c>
      <c r="O1627" s="2" t="s">
        <v>1386</v>
      </c>
      <c r="AO1627" s="2" t="s">
        <v>1368</v>
      </c>
    </row>
    <row r="1628" ht="15.75" customHeight="1">
      <c r="A1628" s="2" t="s">
        <v>10897</v>
      </c>
      <c r="B1628" s="2" t="s">
        <v>1361</v>
      </c>
      <c r="C1628" s="2">
        <v>2013.0</v>
      </c>
      <c r="D1628" s="2" t="s">
        <v>10898</v>
      </c>
      <c r="E1628" s="2" t="s">
        <v>601</v>
      </c>
      <c r="F1628" s="2" t="s">
        <v>10899</v>
      </c>
      <c r="H1628" s="2" t="s">
        <v>10900</v>
      </c>
      <c r="I1628" s="2" t="s">
        <v>604</v>
      </c>
      <c r="J1628" s="12" t="str">
        <f>VLOOKUP(I1628,'Copy of Enriched Data - IPBES G'!$L$2:$L$229,1,false)</f>
        <v>10.1016/j.esd.2012.07.004</v>
      </c>
      <c r="L1628" s="2" t="s">
        <v>603</v>
      </c>
      <c r="M1628" s="2" t="s">
        <v>1429</v>
      </c>
      <c r="N1628" s="2" t="s">
        <v>1385</v>
      </c>
      <c r="O1628" s="2" t="s">
        <v>1386</v>
      </c>
      <c r="AO1628" s="2" t="s">
        <v>1368</v>
      </c>
    </row>
    <row r="1629" ht="15.75" customHeight="1">
      <c r="A1629" s="2" t="s">
        <v>10914</v>
      </c>
      <c r="B1629" s="2" t="s">
        <v>1361</v>
      </c>
      <c r="C1629" s="2">
        <v>2006.0</v>
      </c>
      <c r="D1629" s="2" t="s">
        <v>10915</v>
      </c>
      <c r="E1629" s="2" t="s">
        <v>1076</v>
      </c>
      <c r="F1629" s="2" t="s">
        <v>10916</v>
      </c>
      <c r="H1629" s="2" t="s">
        <v>10917</v>
      </c>
      <c r="I1629" s="2" t="s">
        <v>1079</v>
      </c>
      <c r="J1629" s="12" t="str">
        <f>VLOOKUP(I1629,'Copy of Enriched Data - IPBES G'!$L$2:$L$229,1,false)</f>
        <v>10.1016/j.envint.2006.05.002</v>
      </c>
      <c r="L1629" s="2" t="s">
        <v>10918</v>
      </c>
      <c r="M1629" s="2" t="s">
        <v>1727</v>
      </c>
      <c r="N1629" s="2" t="s">
        <v>1385</v>
      </c>
      <c r="O1629" s="2" t="s">
        <v>1386</v>
      </c>
      <c r="AO1629" s="2" t="s">
        <v>1368</v>
      </c>
    </row>
    <row r="1630" ht="15.75" customHeight="1">
      <c r="A1630" s="2" t="s">
        <v>1567</v>
      </c>
      <c r="B1630" s="2" t="s">
        <v>1361</v>
      </c>
      <c r="C1630" s="2">
        <v>2002.0</v>
      </c>
      <c r="D1630" s="2" t="s">
        <v>1568</v>
      </c>
      <c r="E1630" s="2" t="s">
        <v>1569</v>
      </c>
      <c r="F1630" s="2" t="s">
        <v>1570</v>
      </c>
      <c r="H1630" s="2" t="s">
        <v>1571</v>
      </c>
      <c r="I1630" s="2" t="s">
        <v>226</v>
      </c>
      <c r="J1630" s="12" t="str">
        <f>VLOOKUP(I1630,'Copy of Enriched Data - IPBES G'!$L$2:$L$229,1,false)</f>
        <v>10.1016/j.ecss.2016.01.036</v>
      </c>
      <c r="K1630" s="2" t="s">
        <v>1572</v>
      </c>
      <c r="L1630" s="2" t="s">
        <v>1573</v>
      </c>
      <c r="M1630" s="2" t="s">
        <v>1493</v>
      </c>
      <c r="N1630" s="2" t="s">
        <v>1385</v>
      </c>
      <c r="O1630" s="2" t="s">
        <v>1386</v>
      </c>
      <c r="Q1630" s="2" t="s">
        <v>1574</v>
      </c>
      <c r="T1630" s="2">
        <v>44.0</v>
      </c>
      <c r="AO1630" s="2" t="s">
        <v>1368</v>
      </c>
    </row>
    <row r="1631" ht="15.75" customHeight="1">
      <c r="A1631" s="2" t="s">
        <v>8776</v>
      </c>
      <c r="B1631" s="2" t="s">
        <v>1361</v>
      </c>
      <c r="C1631" s="2">
        <v>2012.0</v>
      </c>
      <c r="D1631" s="2" t="s">
        <v>8777</v>
      </c>
      <c r="E1631" s="2" t="s">
        <v>699</v>
      </c>
      <c r="F1631" s="2" t="s">
        <v>2350</v>
      </c>
      <c r="H1631" s="2" t="s">
        <v>3132</v>
      </c>
      <c r="I1631" s="2" t="s">
        <v>702</v>
      </c>
      <c r="J1631" s="12" t="str">
        <f>VLOOKUP(I1631,'Copy of Enriched Data - IPBES G'!$L$2:$L$229,1,false)</f>
        <v>10.1016/j.ecolind.2011.04.023</v>
      </c>
      <c r="L1631" s="2" t="s">
        <v>8778</v>
      </c>
      <c r="M1631" s="2" t="s">
        <v>1405</v>
      </c>
      <c r="N1631" s="2" t="s">
        <v>1385</v>
      </c>
      <c r="O1631" s="2" t="s">
        <v>1386</v>
      </c>
      <c r="AO1631" s="2" t="s">
        <v>1368</v>
      </c>
    </row>
    <row r="1632" ht="15.75" customHeight="1">
      <c r="A1632" s="2" t="s">
        <v>3921</v>
      </c>
      <c r="B1632" s="2" t="s">
        <v>1361</v>
      </c>
      <c r="C1632" s="2">
        <v>2010.0</v>
      </c>
      <c r="D1632" s="2" t="s">
        <v>3922</v>
      </c>
      <c r="E1632" s="2" t="s">
        <v>3923</v>
      </c>
      <c r="F1632" s="2" t="s">
        <v>3924</v>
      </c>
      <c r="I1632" s="2" t="s">
        <v>851</v>
      </c>
      <c r="J1632" s="12" t="str">
        <f>VLOOKUP(I1632,'Copy of Enriched Data - IPBES G'!$L$2:$L$229,1,false)</f>
        <v>10.1016/j.dsr2.2010.02.018</v>
      </c>
      <c r="M1632" s="2" t="s">
        <v>1449</v>
      </c>
      <c r="N1632" s="2" t="s">
        <v>3925</v>
      </c>
      <c r="O1632" s="2" t="s">
        <v>3926</v>
      </c>
      <c r="Q1632" s="2" t="s">
        <v>3927</v>
      </c>
      <c r="S1632" s="2" t="s">
        <v>2565</v>
      </c>
      <c r="T1632" s="2">
        <v>57.0</v>
      </c>
      <c r="AO1632" s="2" t="s">
        <v>1368</v>
      </c>
    </row>
    <row r="1633" ht="15.75" customHeight="1">
      <c r="A1633" s="2" t="s">
        <v>6804</v>
      </c>
      <c r="B1633" s="2" t="s">
        <v>1361</v>
      </c>
      <c r="C1633" s="2">
        <v>2013.0</v>
      </c>
      <c r="D1633" s="2" t="s">
        <v>6805</v>
      </c>
      <c r="E1633" s="2" t="s">
        <v>571</v>
      </c>
      <c r="F1633" s="2" t="s">
        <v>5595</v>
      </c>
      <c r="H1633" s="2" t="s">
        <v>5596</v>
      </c>
      <c r="I1633" s="2" t="s">
        <v>574</v>
      </c>
      <c r="J1633" s="12" t="str">
        <f>VLOOKUP(I1633,'Copy of Enriched Data - IPBES G'!$L$2:$L$229,1,false)</f>
        <v>10.1016/j.cosust.2013.04.003</v>
      </c>
      <c r="K1633" s="2" t="s">
        <v>6806</v>
      </c>
      <c r="L1633" s="2" t="s">
        <v>6807</v>
      </c>
      <c r="M1633" s="2" t="s">
        <v>3034</v>
      </c>
      <c r="N1633" s="2" t="s">
        <v>1385</v>
      </c>
      <c r="O1633" s="2" t="s">
        <v>1386</v>
      </c>
      <c r="Q1633" s="2" t="s">
        <v>6808</v>
      </c>
      <c r="S1633" s="2" t="s">
        <v>1480</v>
      </c>
      <c r="T1633" s="2" t="s">
        <v>1480</v>
      </c>
      <c r="AO1633" s="2" t="s">
        <v>1368</v>
      </c>
    </row>
    <row r="1634" ht="15.75" customHeight="1">
      <c r="A1634" s="2" t="s">
        <v>11896</v>
      </c>
      <c r="B1634" s="2" t="s">
        <v>1361</v>
      </c>
      <c r="C1634" s="2">
        <v>2016.0</v>
      </c>
      <c r="D1634" s="2" t="s">
        <v>11897</v>
      </c>
      <c r="E1634" s="2" t="s">
        <v>247</v>
      </c>
      <c r="F1634" s="2" t="s">
        <v>1484</v>
      </c>
      <c r="H1634" s="2" t="s">
        <v>3119</v>
      </c>
      <c r="I1634" s="2" t="s">
        <v>250</v>
      </c>
      <c r="J1634" s="12" t="str">
        <f>VLOOKUP(I1634,'Copy of Enriched Data - IPBES G'!$L$2:$L$229,1,false)</f>
        <v>10.1016/j.biocon.2015.10.023</v>
      </c>
      <c r="K1634" s="2" t="s">
        <v>11898</v>
      </c>
      <c r="M1634" s="2" t="s">
        <v>11899</v>
      </c>
      <c r="N1634" s="2" t="s">
        <v>11900</v>
      </c>
      <c r="O1634" s="2" t="s">
        <v>11901</v>
      </c>
      <c r="P1634" s="2" t="s">
        <v>2210</v>
      </c>
      <c r="Q1634" s="2" t="s">
        <v>11902</v>
      </c>
      <c r="T1634" s="2">
        <v>193.0</v>
      </c>
      <c r="V1634" s="2" t="s">
        <v>1484</v>
      </c>
      <c r="W1634" s="2" t="s">
        <v>11903</v>
      </c>
      <c r="AD1634" s="2" t="s">
        <v>1540</v>
      </c>
      <c r="AI1634" s="2" t="s">
        <v>1541</v>
      </c>
      <c r="AO1634" s="2" t="s">
        <v>1542</v>
      </c>
    </row>
    <row r="1635" ht="15.75" customHeight="1">
      <c r="A1635" s="2" t="s">
        <v>2318</v>
      </c>
      <c r="B1635" s="2" t="s">
        <v>1361</v>
      </c>
      <c r="C1635" s="2">
        <v>2010.0</v>
      </c>
      <c r="D1635" s="2" t="s">
        <v>2319</v>
      </c>
      <c r="E1635" s="2" t="s">
        <v>832</v>
      </c>
      <c r="F1635" s="2" t="s">
        <v>2320</v>
      </c>
      <c r="H1635" s="2" t="s">
        <v>2321</v>
      </c>
      <c r="I1635" s="2" t="s">
        <v>835</v>
      </c>
      <c r="J1635" s="12" t="str">
        <f>VLOOKUP(I1635,'Copy of Enriched Data - IPBES G'!$L$2:$L$229,1,false)</f>
        <v>10.1016/j.aquatox.2010.05.019</v>
      </c>
      <c r="M1635" s="2" t="s">
        <v>1449</v>
      </c>
      <c r="N1635" s="2" t="s">
        <v>1385</v>
      </c>
      <c r="O1635" s="2" t="s">
        <v>1386</v>
      </c>
      <c r="Q1635" s="2" t="s">
        <v>2322</v>
      </c>
      <c r="S1635" s="2" t="s">
        <v>1600</v>
      </c>
      <c r="T1635" s="2">
        <v>99.0</v>
      </c>
      <c r="AO1635" s="2" t="s">
        <v>1368</v>
      </c>
    </row>
    <row r="1636" ht="15.75" customHeight="1">
      <c r="A1636" s="2" t="s">
        <v>3846</v>
      </c>
      <c r="B1636" s="2" t="s">
        <v>1361</v>
      </c>
      <c r="C1636" s="2">
        <v>2009.0</v>
      </c>
      <c r="D1636" s="2" t="s">
        <v>3847</v>
      </c>
      <c r="E1636" s="2" t="s">
        <v>945</v>
      </c>
      <c r="F1636" s="2" t="s">
        <v>3848</v>
      </c>
      <c r="H1636" s="2" t="s">
        <v>3849</v>
      </c>
      <c r="I1636" s="2" t="s">
        <v>948</v>
      </c>
      <c r="J1636" s="12" t="str">
        <f>VLOOKUP(I1636,'Copy of Enriched Data - IPBES G'!$L$2:$L$229,1,false)</f>
        <v>10.1016/j.apgeog.2008.10.004</v>
      </c>
      <c r="L1636" s="2" t="s">
        <v>3850</v>
      </c>
      <c r="M1636" s="2" t="s">
        <v>1364</v>
      </c>
      <c r="N1636" s="2" t="s">
        <v>1385</v>
      </c>
      <c r="O1636" s="2" t="s">
        <v>1386</v>
      </c>
      <c r="AO1636" s="2" t="s">
        <v>1368</v>
      </c>
    </row>
    <row r="1637" ht="15.75" customHeight="1">
      <c r="A1637" s="2" t="s">
        <v>9190</v>
      </c>
      <c r="B1637" s="2" t="s">
        <v>1361</v>
      </c>
      <c r="C1637" s="2">
        <v>2008.0</v>
      </c>
      <c r="D1637" s="2" t="s">
        <v>9191</v>
      </c>
      <c r="E1637" s="2" t="s">
        <v>9192</v>
      </c>
      <c r="F1637" s="2" t="s">
        <v>9193</v>
      </c>
      <c r="I1637" s="2" t="s">
        <v>992</v>
      </c>
      <c r="J1637" s="12" t="str">
        <f>VLOOKUP(I1637,'Copy of Enriched Data - IPBES G'!$L$2:$L$229,1,false)</f>
        <v>10.1016/j.amepre.2008.08.021</v>
      </c>
      <c r="M1637" s="2" t="s">
        <v>1458</v>
      </c>
      <c r="N1637" s="2" t="s">
        <v>9194</v>
      </c>
      <c r="O1637" s="2" t="s">
        <v>9195</v>
      </c>
      <c r="Q1637" s="2" t="s">
        <v>9196</v>
      </c>
      <c r="S1637" s="2" t="s">
        <v>1480</v>
      </c>
      <c r="T1637" s="2">
        <v>35.0</v>
      </c>
      <c r="AO1637" s="2" t="s">
        <v>1368</v>
      </c>
    </row>
    <row r="1638" ht="15.75" customHeight="1">
      <c r="A1638" s="2" t="s">
        <v>4135</v>
      </c>
      <c r="B1638" s="2" t="s">
        <v>1361</v>
      </c>
      <c r="C1638" s="2">
        <v>2013.0</v>
      </c>
      <c r="D1638" s="2" t="s">
        <v>4136</v>
      </c>
      <c r="E1638" s="2" t="s">
        <v>549</v>
      </c>
      <c r="F1638" s="2" t="s">
        <v>4137</v>
      </c>
      <c r="H1638" s="2" t="s">
        <v>4138</v>
      </c>
      <c r="I1638" s="2" t="s">
        <v>552</v>
      </c>
      <c r="J1638" s="12" t="str">
        <f>VLOOKUP(I1638,'Copy of Enriched Data - IPBES G'!$L$2:$L$229,1,false)</f>
        <v>10.1016/j.agwat.2013.08.007</v>
      </c>
      <c r="K1638" s="2" t="s">
        <v>4139</v>
      </c>
      <c r="L1638" s="2" t="s">
        <v>4140</v>
      </c>
      <c r="M1638" s="2" t="s">
        <v>4141</v>
      </c>
      <c r="N1638" s="2" t="s">
        <v>4142</v>
      </c>
      <c r="O1638" s="2" t="s">
        <v>4143</v>
      </c>
      <c r="P1638" s="2" t="s">
        <v>4144</v>
      </c>
      <c r="Q1638" s="2" t="s">
        <v>4145</v>
      </c>
      <c r="T1638" s="2">
        <v>130.0</v>
      </c>
      <c r="V1638" s="2" t="s">
        <v>4137</v>
      </c>
      <c r="AD1638" s="2" t="s">
        <v>1540</v>
      </c>
      <c r="AI1638" s="2" t="s">
        <v>1541</v>
      </c>
      <c r="AO1638" s="2" t="s">
        <v>1885</v>
      </c>
    </row>
    <row r="1639" ht="15.75" customHeight="1">
      <c r="A1639" s="2" t="s">
        <v>3354</v>
      </c>
      <c r="B1639" s="2" t="s">
        <v>1361</v>
      </c>
      <c r="C1639" s="2">
        <v>2008.0</v>
      </c>
      <c r="D1639" s="2" t="s">
        <v>3355</v>
      </c>
      <c r="E1639" s="2" t="s">
        <v>1013</v>
      </c>
      <c r="F1639" s="2" t="s">
        <v>3356</v>
      </c>
      <c r="I1639" s="2" t="s">
        <v>1016</v>
      </c>
      <c r="J1639" s="12" t="str">
        <f>VLOOKUP(I1639,'Copy of Enriched Data - IPBES G'!$L$2:$L$229,1,false)</f>
        <v>10.1007/s11625-008-0042-4</v>
      </c>
      <c r="M1639" s="2" t="s">
        <v>1458</v>
      </c>
      <c r="N1639" s="2" t="s">
        <v>3357</v>
      </c>
      <c r="O1639" s="2" t="s">
        <v>3358</v>
      </c>
      <c r="Q1639" s="2" t="s">
        <v>3359</v>
      </c>
      <c r="S1639" s="2" t="s">
        <v>1462</v>
      </c>
      <c r="T1639" s="2" t="s">
        <v>1600</v>
      </c>
      <c r="AO1639" s="2" t="s">
        <v>1368</v>
      </c>
    </row>
    <row r="1640" ht="15.75" customHeight="1">
      <c r="A1640" s="2" t="s">
        <v>1793</v>
      </c>
      <c r="B1640" s="2" t="s">
        <v>1361</v>
      </c>
      <c r="C1640" s="2">
        <v>2014.0</v>
      </c>
      <c r="D1640" s="2" t="s">
        <v>1794</v>
      </c>
      <c r="E1640" s="2" t="s">
        <v>1795</v>
      </c>
      <c r="F1640" s="2" t="s">
        <v>1796</v>
      </c>
      <c r="H1640" s="2" t="s">
        <v>1797</v>
      </c>
      <c r="I1640" s="2" t="s">
        <v>467</v>
      </c>
      <c r="J1640" s="12" t="str">
        <f>VLOOKUP(I1640,'Copy of Enriched Data - IPBES G'!$L$2:$L$229,1,false)</f>
        <v>10.1007/s11270-014-2186-4</v>
      </c>
      <c r="L1640" s="2" t="s">
        <v>1798</v>
      </c>
      <c r="M1640" s="2" t="s">
        <v>1476</v>
      </c>
      <c r="N1640" s="2" t="s">
        <v>1385</v>
      </c>
      <c r="O1640" s="2" t="s">
        <v>1386</v>
      </c>
      <c r="AO1640" s="2" t="s">
        <v>1368</v>
      </c>
    </row>
    <row r="1641" ht="15.75" customHeight="1">
      <c r="A1641" s="2" t="s">
        <v>5184</v>
      </c>
      <c r="B1641" s="2" t="s">
        <v>1361</v>
      </c>
      <c r="C1641" s="2">
        <v>2015.0</v>
      </c>
      <c r="D1641" s="2" t="s">
        <v>5185</v>
      </c>
      <c r="E1641" s="2" t="s">
        <v>264</v>
      </c>
      <c r="F1641" s="2" t="s">
        <v>5186</v>
      </c>
      <c r="H1641" s="2" t="s">
        <v>5187</v>
      </c>
      <c r="I1641" s="2" t="s">
        <v>268</v>
      </c>
      <c r="J1641" s="12" t="str">
        <f>VLOOKUP(I1641,'Copy of Enriched Data - IPBES G'!$L$2:$L$229,1,false)</f>
        <v>10.1007/s10336-015-1155-z</v>
      </c>
      <c r="K1641" s="2" t="s">
        <v>5188</v>
      </c>
      <c r="L1641" s="2" t="s">
        <v>5189</v>
      </c>
      <c r="M1641" s="2" t="s">
        <v>5190</v>
      </c>
      <c r="N1641" s="2" t="s">
        <v>1385</v>
      </c>
      <c r="O1641" s="2" t="s">
        <v>1386</v>
      </c>
      <c r="Q1641" s="2" t="s">
        <v>5191</v>
      </c>
      <c r="S1641" s="2" t="s">
        <v>5192</v>
      </c>
      <c r="T1641" s="2">
        <v>156.0</v>
      </c>
      <c r="AO1641" s="2" t="s">
        <v>1368</v>
      </c>
    </row>
    <row r="1642" ht="15.75" customHeight="1">
      <c r="A1642" s="2" t="s">
        <v>10512</v>
      </c>
      <c r="B1642" s="2" t="s">
        <v>1361</v>
      </c>
      <c r="C1642" s="2">
        <v>2008.0</v>
      </c>
      <c r="D1642" s="2" t="s">
        <v>10513</v>
      </c>
      <c r="E1642" s="2" t="s">
        <v>998</v>
      </c>
      <c r="F1642" s="2" t="s">
        <v>4186</v>
      </c>
      <c r="H1642" s="2" t="s">
        <v>10514</v>
      </c>
      <c r="I1642" s="2" t="s">
        <v>1001</v>
      </c>
      <c r="J1642" s="12" t="str">
        <f>VLOOKUP(I1642,'Copy of Enriched Data - IPBES G'!$L$2:$L$229,1,false)</f>
        <v>10.1007/s10021-008-9146-z</v>
      </c>
      <c r="L1642" s="2" t="s">
        <v>1000</v>
      </c>
      <c r="M1642" s="2" t="s">
        <v>1458</v>
      </c>
      <c r="N1642" s="2" t="s">
        <v>1385</v>
      </c>
      <c r="O1642" s="2" t="s">
        <v>1386</v>
      </c>
      <c r="AO1642" s="2" t="s">
        <v>1368</v>
      </c>
    </row>
    <row r="1643" ht="15.75" customHeight="1">
      <c r="A1643" s="2" t="s">
        <v>10369</v>
      </c>
      <c r="B1643" s="2" t="s">
        <v>1361</v>
      </c>
      <c r="C1643" s="2">
        <v>2000.0</v>
      </c>
      <c r="D1643" s="2" t="s">
        <v>10370</v>
      </c>
      <c r="E1643" s="2" t="s">
        <v>1234</v>
      </c>
      <c r="F1643" s="2" t="s">
        <v>5024</v>
      </c>
      <c r="H1643" s="2" t="s">
        <v>6987</v>
      </c>
      <c r="I1643" s="2" t="s">
        <v>1237</v>
      </c>
      <c r="J1643" s="12" t="str">
        <f>VLOOKUP(I1643,'Copy of Enriched Data - IPBES G'!$L$2:$L$229,1,false)</f>
        <v>10.1007/s002679910039</v>
      </c>
      <c r="L1643" s="2" t="s">
        <v>10371</v>
      </c>
      <c r="M1643" s="2" t="s">
        <v>2429</v>
      </c>
      <c r="N1643" s="2" t="s">
        <v>1385</v>
      </c>
      <c r="O1643" s="2" t="s">
        <v>1386</v>
      </c>
      <c r="AO1643" s="2" t="s">
        <v>1368</v>
      </c>
    </row>
    <row r="1644" ht="15.75" customHeight="1">
      <c r="A1644" s="2" t="s">
        <v>4520</v>
      </c>
      <c r="B1644" s="2" t="s">
        <v>1361</v>
      </c>
      <c r="C1644" s="2">
        <v>2012.0</v>
      </c>
      <c r="D1644" s="2" t="s">
        <v>4521</v>
      </c>
      <c r="E1644" s="2" t="s">
        <v>715</v>
      </c>
      <c r="F1644" s="2" t="s">
        <v>4522</v>
      </c>
      <c r="H1644" s="2" t="s">
        <v>4523</v>
      </c>
      <c r="I1644" s="2" t="s">
        <v>718</v>
      </c>
      <c r="J1644" s="12" t="str">
        <f>VLOOKUP(I1644,'Copy of Enriched Data - IPBES G'!$L$2:$L$229,1,false)</f>
        <v>10.1002/wcc.160</v>
      </c>
      <c r="M1644" s="2" t="s">
        <v>3753</v>
      </c>
      <c r="N1644" s="2" t="s">
        <v>1385</v>
      </c>
      <c r="O1644" s="2" t="s">
        <v>1386</v>
      </c>
      <c r="Q1644" s="2" t="s">
        <v>4524</v>
      </c>
      <c r="S1644" s="2" t="s">
        <v>1453</v>
      </c>
      <c r="T1644" s="2">
        <v>3.0</v>
      </c>
      <c r="AO1644" s="2" t="s">
        <v>1368</v>
      </c>
    </row>
    <row r="1645" ht="15.75" customHeight="1">
      <c r="A1645" s="2" t="s">
        <v>2117</v>
      </c>
      <c r="B1645" s="2" t="s">
        <v>1361</v>
      </c>
      <c r="C1645" s="2">
        <v>2005.0</v>
      </c>
      <c r="D1645" s="2" t="s">
        <v>2118</v>
      </c>
      <c r="E1645" s="2" t="s">
        <v>1084</v>
      </c>
      <c r="F1645" s="2" t="s">
        <v>2119</v>
      </c>
      <c r="I1645" s="2" t="s">
        <v>1087</v>
      </c>
      <c r="J1645" s="12" t="str">
        <f>VLOOKUP(I1645,'Copy of Enriched Data - IPBES G'!$L$2:$L$229,1,false)</f>
        <v>10.1002/joc.1276</v>
      </c>
      <c r="K1645" s="2" t="s">
        <v>2120</v>
      </c>
      <c r="M1645" s="2" t="s">
        <v>1394</v>
      </c>
      <c r="N1645" s="2" t="s">
        <v>2121</v>
      </c>
      <c r="O1645" s="2" t="s">
        <v>2122</v>
      </c>
      <c r="Q1645" s="2" t="s">
        <v>2123</v>
      </c>
      <c r="S1645" s="2" t="s">
        <v>2124</v>
      </c>
      <c r="T1645" s="2">
        <v>25.0</v>
      </c>
      <c r="AO1645" s="2" t="s">
        <v>1368</v>
      </c>
    </row>
    <row r="1646" ht="15.75" customHeight="1">
      <c r="A1646" s="2" t="s">
        <v>4436</v>
      </c>
      <c r="B1646" s="2" t="s">
        <v>1361</v>
      </c>
      <c r="C1646" s="2">
        <v>2017.0</v>
      </c>
      <c r="D1646" s="2" t="s">
        <v>4437</v>
      </c>
      <c r="E1646" s="2" t="s">
        <v>51</v>
      </c>
      <c r="F1646" s="2" t="s">
        <v>4438</v>
      </c>
      <c r="H1646" s="2" t="s">
        <v>4439</v>
      </c>
      <c r="I1646" s="2" t="s">
        <v>54</v>
      </c>
      <c r="J1646" s="12" t="str">
        <f>VLOOKUP(I1646,'Copy of Enriched Data - IPBES G'!$L$2:$L$229,1,false)</f>
        <v>10.1002/2017GL075888</v>
      </c>
      <c r="L1646" s="2" t="s">
        <v>4440</v>
      </c>
      <c r="M1646" s="2" t="s">
        <v>1658</v>
      </c>
      <c r="N1646" s="2" t="s">
        <v>1385</v>
      </c>
      <c r="O1646" s="2" t="s">
        <v>1386</v>
      </c>
      <c r="Q1646" s="2" t="s">
        <v>4441</v>
      </c>
      <c r="S1646" s="2" t="s">
        <v>4442</v>
      </c>
      <c r="T1646" s="2">
        <v>44.0</v>
      </c>
      <c r="AO1646" s="2" t="s">
        <v>1368</v>
      </c>
    </row>
    <row r="1647" ht="15.75" customHeight="1">
      <c r="A1647" s="2" t="s">
        <v>4399</v>
      </c>
      <c r="B1647" s="2" t="s">
        <v>1361</v>
      </c>
      <c r="C1647" s="2">
        <v>2015.0</v>
      </c>
      <c r="D1647" s="2" t="s">
        <v>4400</v>
      </c>
      <c r="E1647" s="2" t="s">
        <v>338</v>
      </c>
      <c r="F1647" s="2" t="s">
        <v>4401</v>
      </c>
      <c r="I1647" s="2" t="s">
        <v>341</v>
      </c>
      <c r="J1647" s="12" t="str">
        <f>VLOOKUP(I1647,'Copy of Enriched Data - IPBES G'!$L$2:$L$229,1,false)</f>
        <v>10.1002/2015WR017349</v>
      </c>
      <c r="L1647" s="2" t="s">
        <v>4402</v>
      </c>
      <c r="M1647" s="2" t="s">
        <v>1373</v>
      </c>
      <c r="N1647" s="2" t="s">
        <v>1385</v>
      </c>
      <c r="O1647" s="2" t="s">
        <v>1386</v>
      </c>
      <c r="Q1647" s="2" t="s">
        <v>4403</v>
      </c>
      <c r="AO1647" s="2" t="s">
        <v>1368</v>
      </c>
    </row>
    <row r="1648" ht="15.75" customHeight="1">
      <c r="A1648" s="2" t="s">
        <v>10659</v>
      </c>
      <c r="B1648" s="2" t="s">
        <v>1361</v>
      </c>
      <c r="C1648" s="2">
        <v>2014.0</v>
      </c>
      <c r="D1648" s="2" t="s">
        <v>10660</v>
      </c>
      <c r="E1648" s="2" t="s">
        <v>519</v>
      </c>
      <c r="F1648" s="2" t="s">
        <v>10661</v>
      </c>
      <c r="I1648" s="2" t="s">
        <v>522</v>
      </c>
      <c r="J1648" s="12" t="str">
        <f>VLOOKUP(I1648,'Copy of Enriched Data - IPBES G'!$L$2:$L$229,1,false)</f>
        <v>10.1002/2013EF000188</v>
      </c>
      <c r="M1648" s="2" t="s">
        <v>1476</v>
      </c>
      <c r="N1648" s="2" t="s">
        <v>10057</v>
      </c>
      <c r="O1648" s="2" t="s">
        <v>10058</v>
      </c>
      <c r="Q1648" s="2" t="s">
        <v>10662</v>
      </c>
      <c r="S1648" s="2" t="s">
        <v>1453</v>
      </c>
      <c r="T1648" s="2">
        <v>2.0</v>
      </c>
      <c r="AO1648" s="2" t="s">
        <v>1368</v>
      </c>
    </row>
  </sheetData>
  <autoFilter ref="$A$1:$CJ$1648">
    <sortState ref="A1:CJ1648">
      <sortCondition descending="1" ref="J1:J1648"/>
    </sortState>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6" width="8.0"/>
    <col customWidth="1" min="57" max="57" width="22.88"/>
    <col customWidth="1" min="58" max="72" width="8.0"/>
  </cols>
  <sheetData>
    <row r="1" ht="12.75" customHeight="1">
      <c r="A1" s="2" t="s">
        <v>11</v>
      </c>
      <c r="B1" s="2" t="s">
        <v>12</v>
      </c>
      <c r="C1" s="2" t="s">
        <v>12076</v>
      </c>
      <c r="D1" s="2" t="s">
        <v>12077</v>
      </c>
      <c r="E1" s="2" t="s">
        <v>12078</v>
      </c>
      <c r="F1" s="2" t="s">
        <v>12079</v>
      </c>
      <c r="G1" s="2" t="s">
        <v>12080</v>
      </c>
      <c r="H1" s="2" t="s">
        <v>12081</v>
      </c>
      <c r="I1" s="2" t="s">
        <v>13</v>
      </c>
      <c r="J1" s="2" t="s">
        <v>14</v>
      </c>
      <c r="K1" s="2" t="s">
        <v>12082</v>
      </c>
      <c r="L1" s="2" t="s">
        <v>12083</v>
      </c>
      <c r="M1" s="2" t="s">
        <v>1301</v>
      </c>
      <c r="N1" s="2" t="s">
        <v>15</v>
      </c>
      <c r="O1" s="2" t="s">
        <v>12084</v>
      </c>
      <c r="P1" s="2" t="s">
        <v>12085</v>
      </c>
      <c r="Q1" s="2" t="s">
        <v>12086</v>
      </c>
      <c r="R1" s="2" t="s">
        <v>12087</v>
      </c>
      <c r="S1" s="2" t="s">
        <v>12088</v>
      </c>
      <c r="T1" s="2" t="s">
        <v>12089</v>
      </c>
      <c r="U1" s="2" t="s">
        <v>12090</v>
      </c>
      <c r="V1" s="2" t="s">
        <v>16</v>
      </c>
      <c r="W1" s="2" t="s">
        <v>12091</v>
      </c>
      <c r="X1" s="2" t="s">
        <v>12092</v>
      </c>
      <c r="Y1" s="2" t="s">
        <v>12093</v>
      </c>
      <c r="Z1" s="2" t="s">
        <v>12094</v>
      </c>
      <c r="AA1" s="2" t="s">
        <v>12095</v>
      </c>
      <c r="AB1" s="2" t="s">
        <v>12096</v>
      </c>
      <c r="AC1" s="2" t="s">
        <v>12097</v>
      </c>
      <c r="AD1" s="2" t="s">
        <v>12098</v>
      </c>
      <c r="AE1" s="2" t="s">
        <v>12099</v>
      </c>
      <c r="AF1" s="2" t="s">
        <v>12100</v>
      </c>
      <c r="AG1" s="2" t="s">
        <v>12101</v>
      </c>
      <c r="AH1" s="2" t="s">
        <v>12102</v>
      </c>
      <c r="AI1" s="2" t="s">
        <v>12103</v>
      </c>
      <c r="AJ1" s="2" t="s">
        <v>12104</v>
      </c>
      <c r="AK1" s="2" t="s">
        <v>12105</v>
      </c>
      <c r="AL1" s="2" t="s">
        <v>1299</v>
      </c>
      <c r="AM1" s="2" t="s">
        <v>12106</v>
      </c>
      <c r="AN1" s="2" t="s">
        <v>12107</v>
      </c>
      <c r="AO1" s="2" t="s">
        <v>1281</v>
      </c>
      <c r="AP1" s="2" t="s">
        <v>12108</v>
      </c>
      <c r="AQ1" s="2" t="s">
        <v>1280</v>
      </c>
      <c r="AR1" s="2" t="s">
        <v>1293</v>
      </c>
      <c r="AS1" s="2" t="s">
        <v>12109</v>
      </c>
      <c r="AT1" s="2" t="s">
        <v>12110</v>
      </c>
      <c r="AU1" s="2" t="s">
        <v>1276</v>
      </c>
      <c r="AV1" s="2" t="s">
        <v>1291</v>
      </c>
      <c r="AW1" s="2" t="s">
        <v>1290</v>
      </c>
      <c r="AX1" s="2" t="s">
        <v>12111</v>
      </c>
      <c r="AY1" s="2" t="s">
        <v>12112</v>
      </c>
      <c r="AZ1" s="2" t="s">
        <v>12113</v>
      </c>
      <c r="BA1" s="2" t="s">
        <v>12114</v>
      </c>
      <c r="BB1" s="2" t="s">
        <v>12115</v>
      </c>
      <c r="BC1" s="2" t="s">
        <v>12116</v>
      </c>
      <c r="BD1" s="2" t="s">
        <v>12117</v>
      </c>
      <c r="BE1" s="14" t="s">
        <v>17</v>
      </c>
      <c r="BF1" s="2" t="s">
        <v>18</v>
      </c>
      <c r="BG1" s="2" t="s">
        <v>12118</v>
      </c>
      <c r="BH1" s="2" t="s">
        <v>12119</v>
      </c>
      <c r="BI1" s="2" t="s">
        <v>12120</v>
      </c>
      <c r="BJ1" s="2" t="s">
        <v>19</v>
      </c>
      <c r="BK1" s="2" t="s">
        <v>12121</v>
      </c>
      <c r="BL1" s="2" t="s">
        <v>12122</v>
      </c>
      <c r="BM1" s="2" t="s">
        <v>12123</v>
      </c>
      <c r="BN1" s="2" t="s">
        <v>12124</v>
      </c>
      <c r="BO1" s="2" t="s">
        <v>12125</v>
      </c>
      <c r="BP1" s="2" t="s">
        <v>12126</v>
      </c>
      <c r="BQ1" s="2" t="s">
        <v>12127</v>
      </c>
      <c r="BR1" s="2" t="s">
        <v>20</v>
      </c>
      <c r="BS1" s="2" t="s">
        <v>21</v>
      </c>
      <c r="BT1" s="2" t="s">
        <v>22</v>
      </c>
    </row>
    <row r="2" ht="12.75" customHeight="1">
      <c r="A2" s="2" t="s">
        <v>23</v>
      </c>
      <c r="B2" s="2" t="s">
        <v>12128</v>
      </c>
      <c r="C2" s="2" t="s">
        <v>12129</v>
      </c>
      <c r="D2" s="2" t="s">
        <v>12129</v>
      </c>
      <c r="E2" s="2" t="s">
        <v>12129</v>
      </c>
      <c r="F2" s="2" t="s">
        <v>12130</v>
      </c>
      <c r="G2" s="2" t="s">
        <v>12129</v>
      </c>
      <c r="H2" s="2" t="s">
        <v>12129</v>
      </c>
      <c r="I2" s="2" t="s">
        <v>12131</v>
      </c>
      <c r="J2" s="2" t="s">
        <v>12132</v>
      </c>
      <c r="K2" s="2" t="s">
        <v>12129</v>
      </c>
      <c r="L2" s="2" t="s">
        <v>12129</v>
      </c>
      <c r="M2" s="2" t="s">
        <v>3263</v>
      </c>
      <c r="N2" s="2" t="s">
        <v>35</v>
      </c>
      <c r="O2" s="2" t="s">
        <v>12129</v>
      </c>
      <c r="P2" s="2" t="s">
        <v>12129</v>
      </c>
      <c r="Q2" s="2" t="s">
        <v>12129</v>
      </c>
      <c r="R2" s="2" t="s">
        <v>12129</v>
      </c>
      <c r="S2" s="2" t="s">
        <v>12129</v>
      </c>
      <c r="T2" s="2" t="s">
        <v>12133</v>
      </c>
      <c r="U2" s="2" t="s">
        <v>12129</v>
      </c>
      <c r="V2" s="2" t="s">
        <v>12134</v>
      </c>
      <c r="W2" s="2" t="s">
        <v>12135</v>
      </c>
      <c r="X2" s="2" t="s">
        <v>12136</v>
      </c>
      <c r="Y2" s="2" t="s">
        <v>12137</v>
      </c>
      <c r="Z2" s="2" t="s">
        <v>12138</v>
      </c>
      <c r="AA2" s="2" t="s">
        <v>12139</v>
      </c>
      <c r="AB2" s="2" t="s">
        <v>12140</v>
      </c>
      <c r="AC2" s="2" t="s">
        <v>12129</v>
      </c>
      <c r="AD2" s="2" t="s">
        <v>12129</v>
      </c>
      <c r="AE2" s="2" t="s">
        <v>12129</v>
      </c>
      <c r="AF2" s="2" t="s">
        <v>12129</v>
      </c>
      <c r="AG2" s="2">
        <v>15.0</v>
      </c>
      <c r="AH2" s="2">
        <v>3.0</v>
      </c>
      <c r="AI2" s="2">
        <v>3.0</v>
      </c>
      <c r="AJ2" s="2">
        <v>0.0</v>
      </c>
      <c r="AK2" s="2">
        <v>10.0</v>
      </c>
      <c r="AL2" s="2" t="s">
        <v>12141</v>
      </c>
      <c r="AM2" s="2" t="s">
        <v>12142</v>
      </c>
      <c r="AN2" s="2" t="s">
        <v>12143</v>
      </c>
      <c r="AO2" s="2" t="s">
        <v>12144</v>
      </c>
      <c r="AP2" s="2" t="s">
        <v>12145</v>
      </c>
      <c r="AQ2" s="2" t="s">
        <v>12129</v>
      </c>
      <c r="AR2" s="2" t="s">
        <v>12146</v>
      </c>
      <c r="AS2" s="2" t="s">
        <v>12147</v>
      </c>
      <c r="AT2" s="2" t="s">
        <v>12148</v>
      </c>
      <c r="AU2" s="2">
        <v>2015.0</v>
      </c>
      <c r="AV2" s="2">
        <v>6.0</v>
      </c>
      <c r="AW2" s="2">
        <v>4.0</v>
      </c>
      <c r="AX2" s="2" t="s">
        <v>12129</v>
      </c>
      <c r="AY2" s="2" t="s">
        <v>12129</v>
      </c>
      <c r="AZ2" s="2" t="s">
        <v>12129</v>
      </c>
      <c r="BA2" s="2" t="s">
        <v>12129</v>
      </c>
      <c r="BB2" s="2">
        <v>697.0</v>
      </c>
      <c r="BC2" s="2">
        <v>706.0</v>
      </c>
      <c r="BD2" s="2" t="s">
        <v>12129</v>
      </c>
      <c r="BE2" s="2" t="s">
        <v>12129</v>
      </c>
      <c r="BF2" s="2" t="s">
        <v>12129</v>
      </c>
      <c r="BG2" s="2" t="s">
        <v>12129</v>
      </c>
      <c r="BH2" s="2" t="s">
        <v>12129</v>
      </c>
      <c r="BI2" s="2">
        <v>10.0</v>
      </c>
      <c r="BJ2" s="2" t="s">
        <v>12149</v>
      </c>
      <c r="BK2" s="2" t="s">
        <v>12150</v>
      </c>
      <c r="BL2" s="2" t="s">
        <v>12149</v>
      </c>
      <c r="BM2" s="2" t="s">
        <v>12151</v>
      </c>
      <c r="BN2" s="2" t="s">
        <v>12129</v>
      </c>
      <c r="BO2" s="2" t="s">
        <v>12129</v>
      </c>
      <c r="BP2" s="2" t="s">
        <v>12129</v>
      </c>
      <c r="BQ2" s="2" t="s">
        <v>12129</v>
      </c>
      <c r="BR2" s="2" t="s">
        <v>12152</v>
      </c>
      <c r="BS2" s="2" t="s">
        <v>12153</v>
      </c>
      <c r="BT2" s="2" t="str">
        <f>HYPERLINK("https%3A%2F%2Fwww.webofscience.com%2Fwos%2Fwoscc%2Ffull-record%2FWOS:000366349700011","View Full Record in Web of Science")</f>
        <v>View Full Record in Web of Science</v>
      </c>
    </row>
    <row r="3" ht="12.75" customHeight="1">
      <c r="A3" s="2" t="s">
        <v>23</v>
      </c>
      <c r="B3" s="2" t="s">
        <v>12154</v>
      </c>
      <c r="C3" s="2" t="s">
        <v>12129</v>
      </c>
      <c r="D3" s="2" t="s">
        <v>12129</v>
      </c>
      <c r="E3" s="2" t="s">
        <v>12129</v>
      </c>
      <c r="F3" s="2" t="s">
        <v>12155</v>
      </c>
      <c r="G3" s="2" t="s">
        <v>12129</v>
      </c>
      <c r="H3" s="2" t="s">
        <v>12129</v>
      </c>
      <c r="I3" s="2" t="s">
        <v>12156</v>
      </c>
      <c r="J3" s="2" t="s">
        <v>12157</v>
      </c>
      <c r="K3" s="2" t="s">
        <v>12129</v>
      </c>
      <c r="L3" s="2" t="s">
        <v>12129</v>
      </c>
      <c r="M3" s="2" t="s">
        <v>3263</v>
      </c>
      <c r="N3" s="2" t="s">
        <v>35</v>
      </c>
      <c r="O3" s="2" t="s">
        <v>12129</v>
      </c>
      <c r="P3" s="2" t="s">
        <v>12129</v>
      </c>
      <c r="Q3" s="2" t="s">
        <v>12129</v>
      </c>
      <c r="R3" s="2" t="s">
        <v>12129</v>
      </c>
      <c r="S3" s="2" t="s">
        <v>12129</v>
      </c>
      <c r="T3" s="2" t="s">
        <v>12129</v>
      </c>
      <c r="U3" s="2" t="s">
        <v>12158</v>
      </c>
      <c r="V3" s="2" t="s">
        <v>12159</v>
      </c>
      <c r="W3" s="2" t="s">
        <v>12160</v>
      </c>
      <c r="X3" s="2" t="s">
        <v>12161</v>
      </c>
      <c r="Y3" s="2" t="s">
        <v>12162</v>
      </c>
      <c r="Z3" s="2" t="s">
        <v>12163</v>
      </c>
      <c r="AA3" s="2" t="s">
        <v>12164</v>
      </c>
      <c r="AB3" s="2" t="s">
        <v>12165</v>
      </c>
      <c r="AC3" s="2" t="s">
        <v>12166</v>
      </c>
      <c r="AD3" s="2" t="s">
        <v>12167</v>
      </c>
      <c r="AE3" s="2" t="s">
        <v>12168</v>
      </c>
      <c r="AF3" s="2" t="s">
        <v>12129</v>
      </c>
      <c r="AG3" s="2">
        <v>82.0</v>
      </c>
      <c r="AH3" s="2">
        <v>60.0</v>
      </c>
      <c r="AI3" s="2">
        <v>72.0</v>
      </c>
      <c r="AJ3" s="2">
        <v>0.0</v>
      </c>
      <c r="AK3" s="2">
        <v>26.0</v>
      </c>
      <c r="AL3" s="2" t="s">
        <v>12169</v>
      </c>
      <c r="AM3" s="2" t="s">
        <v>12170</v>
      </c>
      <c r="AN3" s="2" t="s">
        <v>12171</v>
      </c>
      <c r="AO3" s="2" t="s">
        <v>12129</v>
      </c>
      <c r="AP3" s="2" t="s">
        <v>9285</v>
      </c>
      <c r="AQ3" s="2" t="s">
        <v>12129</v>
      </c>
      <c r="AR3" s="2" t="s">
        <v>12172</v>
      </c>
      <c r="AS3" s="2" t="s">
        <v>12173</v>
      </c>
      <c r="AT3" s="2" t="s">
        <v>12129</v>
      </c>
      <c r="AU3" s="2">
        <v>2006.0</v>
      </c>
      <c r="AV3" s="2">
        <v>2.0</v>
      </c>
      <c r="AW3" s="2" t="s">
        <v>12129</v>
      </c>
      <c r="AX3" s="2" t="s">
        <v>12129</v>
      </c>
      <c r="AY3" s="2" t="s">
        <v>12129</v>
      </c>
      <c r="AZ3" s="2" t="s">
        <v>12129</v>
      </c>
      <c r="BA3" s="2" t="s">
        <v>12129</v>
      </c>
      <c r="BB3" s="2" t="s">
        <v>12129</v>
      </c>
      <c r="BC3" s="2" t="s">
        <v>12129</v>
      </c>
      <c r="BD3" s="2">
        <v>24.0</v>
      </c>
      <c r="BE3" s="2" t="s">
        <v>12174</v>
      </c>
      <c r="BF3" s="15" t="str">
        <f>HYPERLINK("http://dx.doi.org/10.1186/1746-4269-2-24","http://dx.doi.org/10.1186/1746-4269-2-24")</f>
        <v>http://dx.doi.org/10.1186/1746-4269-2-24</v>
      </c>
      <c r="BG3" s="2" t="s">
        <v>12129</v>
      </c>
      <c r="BH3" s="2" t="s">
        <v>12129</v>
      </c>
      <c r="BI3" s="2">
        <v>22.0</v>
      </c>
      <c r="BJ3" s="2" t="s">
        <v>12175</v>
      </c>
      <c r="BK3" s="2" t="s">
        <v>12176</v>
      </c>
      <c r="BL3" s="2" t="s">
        <v>12177</v>
      </c>
      <c r="BM3" s="2" t="s">
        <v>12178</v>
      </c>
      <c r="BN3" s="2">
        <v>1.6681845E7</v>
      </c>
      <c r="BO3" s="2" t="s">
        <v>12179</v>
      </c>
      <c r="BP3" s="2" t="s">
        <v>12129</v>
      </c>
      <c r="BQ3" s="2" t="s">
        <v>12129</v>
      </c>
      <c r="BR3" s="2" t="s">
        <v>12152</v>
      </c>
      <c r="BS3" s="2" t="s">
        <v>12180</v>
      </c>
      <c r="BT3" s="2" t="str">
        <f>HYPERLINK("https%3A%2F%2Fwww.webofscience.com%2Fwos%2Fwoscc%2Ffull-record%2FWOS:000209091500024","View Full Record in Web of Science")</f>
        <v>View Full Record in Web of Science</v>
      </c>
    </row>
    <row r="4" ht="12.75" customHeight="1">
      <c r="A4" s="2" t="s">
        <v>23</v>
      </c>
      <c r="B4" s="2" t="s">
        <v>12181</v>
      </c>
      <c r="C4" s="2" t="s">
        <v>12129</v>
      </c>
      <c r="D4" s="2" t="s">
        <v>12129</v>
      </c>
      <c r="E4" s="2" t="s">
        <v>12129</v>
      </c>
      <c r="F4" s="2" t="s">
        <v>12182</v>
      </c>
      <c r="G4" s="2" t="s">
        <v>12129</v>
      </c>
      <c r="H4" s="2" t="s">
        <v>12129</v>
      </c>
      <c r="I4" s="2" t="s">
        <v>12183</v>
      </c>
      <c r="J4" s="2" t="s">
        <v>362</v>
      </c>
      <c r="K4" s="2" t="s">
        <v>12129</v>
      </c>
      <c r="L4" s="2" t="s">
        <v>12129</v>
      </c>
      <c r="M4" s="2" t="s">
        <v>3263</v>
      </c>
      <c r="N4" s="2" t="s">
        <v>35</v>
      </c>
      <c r="O4" s="2" t="s">
        <v>12129</v>
      </c>
      <c r="P4" s="2" t="s">
        <v>12129</v>
      </c>
      <c r="Q4" s="2" t="s">
        <v>12129</v>
      </c>
      <c r="R4" s="2" t="s">
        <v>12129</v>
      </c>
      <c r="S4" s="2" t="s">
        <v>12129</v>
      </c>
      <c r="T4" s="2" t="s">
        <v>12129</v>
      </c>
      <c r="U4" s="2" t="s">
        <v>12184</v>
      </c>
      <c r="V4" s="2" t="s">
        <v>12185</v>
      </c>
      <c r="W4" s="2" t="s">
        <v>12186</v>
      </c>
      <c r="X4" s="2" t="s">
        <v>12187</v>
      </c>
      <c r="Y4" s="2" t="s">
        <v>12188</v>
      </c>
      <c r="Z4" s="2" t="s">
        <v>12189</v>
      </c>
      <c r="AA4" s="2" t="s">
        <v>12190</v>
      </c>
      <c r="AB4" s="2" t="s">
        <v>12191</v>
      </c>
      <c r="AC4" s="2" t="s">
        <v>12192</v>
      </c>
      <c r="AD4" s="2" t="s">
        <v>12193</v>
      </c>
      <c r="AE4" s="2" t="s">
        <v>12194</v>
      </c>
      <c r="AF4" s="2" t="s">
        <v>12129</v>
      </c>
      <c r="AG4" s="2">
        <v>69.0</v>
      </c>
      <c r="AH4" s="2">
        <v>64.0</v>
      </c>
      <c r="AI4" s="2">
        <v>79.0</v>
      </c>
      <c r="AJ4" s="2">
        <v>2.0</v>
      </c>
      <c r="AK4" s="2">
        <v>181.0</v>
      </c>
      <c r="AL4" s="2" t="s">
        <v>12195</v>
      </c>
      <c r="AM4" s="2" t="s">
        <v>12196</v>
      </c>
      <c r="AN4" s="2" t="s">
        <v>12197</v>
      </c>
      <c r="AO4" s="2" t="s">
        <v>1877</v>
      </c>
      <c r="AP4" s="2" t="s">
        <v>12129</v>
      </c>
      <c r="AQ4" s="2" t="s">
        <v>12129</v>
      </c>
      <c r="AR4" s="2" t="s">
        <v>362</v>
      </c>
      <c r="AS4" s="2" t="s">
        <v>12198</v>
      </c>
      <c r="AT4" s="2" t="s">
        <v>12199</v>
      </c>
      <c r="AU4" s="2">
        <v>2011.0</v>
      </c>
      <c r="AV4" s="2">
        <v>6.0</v>
      </c>
      <c r="AW4" s="2">
        <v>11.0</v>
      </c>
      <c r="AX4" s="2" t="s">
        <v>12129</v>
      </c>
      <c r="AY4" s="2" t="s">
        <v>12129</v>
      </c>
      <c r="AZ4" s="2" t="s">
        <v>12129</v>
      </c>
      <c r="BA4" s="2" t="s">
        <v>12129</v>
      </c>
      <c r="BB4" s="2" t="s">
        <v>12129</v>
      </c>
      <c r="BC4" s="2" t="s">
        <v>12129</v>
      </c>
      <c r="BD4" s="2" t="s">
        <v>12200</v>
      </c>
      <c r="BE4" s="2" t="s">
        <v>12201</v>
      </c>
      <c r="BF4" s="15" t="str">
        <f>HYPERLINK("http://dx.doi.org/10.1371/journal.pone.0027785","http://dx.doi.org/10.1371/journal.pone.0027785")</f>
        <v>http://dx.doi.org/10.1371/journal.pone.0027785</v>
      </c>
      <c r="BG4" s="2" t="s">
        <v>12129</v>
      </c>
      <c r="BH4" s="2" t="s">
        <v>12129</v>
      </c>
      <c r="BI4" s="2">
        <v>12.0</v>
      </c>
      <c r="BJ4" s="2" t="s">
        <v>39</v>
      </c>
      <c r="BK4" s="2" t="s">
        <v>12176</v>
      </c>
      <c r="BL4" s="2" t="s">
        <v>12202</v>
      </c>
      <c r="BM4" s="2" t="s">
        <v>12203</v>
      </c>
      <c r="BN4" s="2">
        <v>2.2114695E7</v>
      </c>
      <c r="BO4" s="2" t="s">
        <v>12179</v>
      </c>
      <c r="BP4" s="2" t="s">
        <v>12129</v>
      </c>
      <c r="BQ4" s="2" t="s">
        <v>12129</v>
      </c>
      <c r="BR4" s="2" t="s">
        <v>12152</v>
      </c>
      <c r="BS4" s="2" t="s">
        <v>12204</v>
      </c>
      <c r="BT4" s="2" t="str">
        <f>HYPERLINK("https%3A%2F%2Fwww.webofscience.com%2Fwos%2Fwoscc%2Ffull-record%2FWOS:000297555400114","View Full Record in Web of Science")</f>
        <v>View Full Record in Web of Science</v>
      </c>
    </row>
    <row r="5" ht="12.75" customHeight="1">
      <c r="A5" s="2" t="s">
        <v>12205</v>
      </c>
      <c r="B5" s="2" t="s">
        <v>12206</v>
      </c>
      <c r="C5" s="2" t="s">
        <v>12129</v>
      </c>
      <c r="D5" s="2" t="s">
        <v>12207</v>
      </c>
      <c r="E5" s="2" t="s">
        <v>12129</v>
      </c>
      <c r="F5" s="2" t="s">
        <v>12208</v>
      </c>
      <c r="G5" s="2" t="s">
        <v>12129</v>
      </c>
      <c r="H5" s="2" t="s">
        <v>12129</v>
      </c>
      <c r="I5" s="2" t="s">
        <v>12209</v>
      </c>
      <c r="J5" s="2" t="s">
        <v>12210</v>
      </c>
      <c r="K5" s="2" t="s">
        <v>12211</v>
      </c>
      <c r="L5" s="2" t="s">
        <v>12129</v>
      </c>
      <c r="M5" s="2" t="s">
        <v>3263</v>
      </c>
      <c r="N5" s="2" t="s">
        <v>12212</v>
      </c>
      <c r="O5" s="2" t="s">
        <v>12129</v>
      </c>
      <c r="P5" s="2" t="s">
        <v>12129</v>
      </c>
      <c r="Q5" s="2" t="s">
        <v>12129</v>
      </c>
      <c r="R5" s="2" t="s">
        <v>12129</v>
      </c>
      <c r="S5" s="2" t="s">
        <v>12129</v>
      </c>
      <c r="T5" s="2" t="s">
        <v>12129</v>
      </c>
      <c r="U5" s="2" t="s">
        <v>12213</v>
      </c>
      <c r="V5" s="2" t="s">
        <v>12129</v>
      </c>
      <c r="W5" s="2" t="s">
        <v>12214</v>
      </c>
      <c r="X5" s="2" t="s">
        <v>12215</v>
      </c>
      <c r="Y5" s="2" t="s">
        <v>12216</v>
      </c>
      <c r="Z5" s="2" t="s">
        <v>12129</v>
      </c>
      <c r="AA5" s="2" t="s">
        <v>12129</v>
      </c>
      <c r="AB5" s="2" t="s">
        <v>12129</v>
      </c>
      <c r="AC5" s="2" t="s">
        <v>12129</v>
      </c>
      <c r="AD5" s="2" t="s">
        <v>12129</v>
      </c>
      <c r="AE5" s="2" t="s">
        <v>12129</v>
      </c>
      <c r="AF5" s="2" t="s">
        <v>12129</v>
      </c>
      <c r="AG5" s="2">
        <v>192.0</v>
      </c>
      <c r="AH5" s="2">
        <v>2.0</v>
      </c>
      <c r="AI5" s="2">
        <v>2.0</v>
      </c>
      <c r="AJ5" s="2">
        <v>1.0</v>
      </c>
      <c r="AK5" s="2">
        <v>5.0</v>
      </c>
      <c r="AL5" s="2" t="s">
        <v>12217</v>
      </c>
      <c r="AM5" s="2" t="s">
        <v>12170</v>
      </c>
      <c r="AN5" s="2" t="s">
        <v>12218</v>
      </c>
      <c r="AO5" s="2" t="s">
        <v>12129</v>
      </c>
      <c r="AP5" s="2" t="s">
        <v>12129</v>
      </c>
      <c r="AQ5" s="2" t="s">
        <v>12219</v>
      </c>
      <c r="AR5" s="2" t="s">
        <v>12220</v>
      </c>
      <c r="AS5" s="2" t="s">
        <v>12129</v>
      </c>
      <c r="AT5" s="2" t="s">
        <v>12129</v>
      </c>
      <c r="AU5" s="2">
        <v>2014.0</v>
      </c>
      <c r="AV5" s="2" t="s">
        <v>12129</v>
      </c>
      <c r="AW5" s="2" t="s">
        <v>12129</v>
      </c>
      <c r="AX5" s="2" t="s">
        <v>12129</v>
      </c>
      <c r="AY5" s="2" t="s">
        <v>12129</v>
      </c>
      <c r="AZ5" s="2" t="s">
        <v>12129</v>
      </c>
      <c r="BA5" s="2" t="s">
        <v>12129</v>
      </c>
      <c r="BB5" s="2">
        <v>113.0</v>
      </c>
      <c r="BC5" s="2">
        <v>212.0</v>
      </c>
      <c r="BD5" s="2" t="s">
        <v>12129</v>
      </c>
      <c r="BE5" s="2" t="s">
        <v>12129</v>
      </c>
      <c r="BF5" s="2" t="s">
        <v>12129</v>
      </c>
      <c r="BG5" s="2" t="s">
        <v>12221</v>
      </c>
      <c r="BH5" s="2" t="s">
        <v>12129</v>
      </c>
      <c r="BI5" s="2">
        <v>100.0</v>
      </c>
      <c r="BJ5" s="2" t="s">
        <v>12222</v>
      </c>
      <c r="BK5" s="2" t="s">
        <v>12223</v>
      </c>
      <c r="BL5" s="2" t="s">
        <v>12224</v>
      </c>
      <c r="BM5" s="2" t="s">
        <v>12225</v>
      </c>
      <c r="BN5" s="2" t="s">
        <v>12129</v>
      </c>
      <c r="BO5" s="2" t="s">
        <v>12129</v>
      </c>
      <c r="BP5" s="2" t="s">
        <v>12129</v>
      </c>
      <c r="BQ5" s="2" t="s">
        <v>12129</v>
      </c>
      <c r="BR5" s="2" t="s">
        <v>12152</v>
      </c>
      <c r="BS5" s="2" t="s">
        <v>12226</v>
      </c>
      <c r="BT5" s="2" t="str">
        <f>HYPERLINK("https%3A%2F%2Fwww.webofscience.com%2Fwos%2Fwoscc%2Ffull-record%2FWOS:000364520200005","View Full Record in Web of Science")</f>
        <v>View Full Record in Web of Science</v>
      </c>
    </row>
    <row r="6" ht="12.75" customHeight="1">
      <c r="A6" s="2" t="s">
        <v>23</v>
      </c>
      <c r="B6" s="2" t="s">
        <v>12227</v>
      </c>
      <c r="C6" s="2" t="s">
        <v>12129</v>
      </c>
      <c r="D6" s="2" t="s">
        <v>12129</v>
      </c>
      <c r="E6" s="2" t="s">
        <v>12129</v>
      </c>
      <c r="F6" s="2" t="s">
        <v>12228</v>
      </c>
      <c r="G6" s="2" t="s">
        <v>12129</v>
      </c>
      <c r="H6" s="2" t="s">
        <v>12129</v>
      </c>
      <c r="I6" s="2" t="s">
        <v>12229</v>
      </c>
      <c r="J6" s="2" t="s">
        <v>12230</v>
      </c>
      <c r="K6" s="2" t="s">
        <v>12129</v>
      </c>
      <c r="L6" s="2" t="s">
        <v>12129</v>
      </c>
      <c r="M6" s="2" t="s">
        <v>3263</v>
      </c>
      <c r="N6" s="2" t="s">
        <v>35</v>
      </c>
      <c r="O6" s="2" t="s">
        <v>12129</v>
      </c>
      <c r="P6" s="2" t="s">
        <v>12129</v>
      </c>
      <c r="Q6" s="2" t="s">
        <v>12129</v>
      </c>
      <c r="R6" s="2" t="s">
        <v>12129</v>
      </c>
      <c r="S6" s="2" t="s">
        <v>12129</v>
      </c>
      <c r="T6" s="2" t="s">
        <v>12231</v>
      </c>
      <c r="U6" s="2" t="s">
        <v>12232</v>
      </c>
      <c r="V6" s="2" t="s">
        <v>12233</v>
      </c>
      <c r="W6" s="2" t="s">
        <v>12234</v>
      </c>
      <c r="X6" s="2" t="s">
        <v>12235</v>
      </c>
      <c r="Y6" s="2" t="s">
        <v>12236</v>
      </c>
      <c r="Z6" s="2" t="s">
        <v>12237</v>
      </c>
      <c r="AA6" s="2" t="s">
        <v>12238</v>
      </c>
      <c r="AB6" s="2" t="s">
        <v>12239</v>
      </c>
      <c r="AC6" s="2" t="s">
        <v>12240</v>
      </c>
      <c r="AD6" s="2" t="s">
        <v>12241</v>
      </c>
      <c r="AE6" s="2" t="s">
        <v>12242</v>
      </c>
      <c r="AF6" s="2" t="s">
        <v>12129</v>
      </c>
      <c r="AG6" s="2">
        <v>127.0</v>
      </c>
      <c r="AH6" s="2">
        <v>12.0</v>
      </c>
      <c r="AI6" s="2">
        <v>14.0</v>
      </c>
      <c r="AJ6" s="2">
        <v>4.0</v>
      </c>
      <c r="AK6" s="2">
        <v>109.0</v>
      </c>
      <c r="AL6" s="2" t="s">
        <v>12243</v>
      </c>
      <c r="AM6" s="2" t="s">
        <v>12244</v>
      </c>
      <c r="AN6" s="2" t="s">
        <v>12245</v>
      </c>
      <c r="AO6" s="2" t="s">
        <v>2378</v>
      </c>
      <c r="AP6" s="2" t="s">
        <v>12246</v>
      </c>
      <c r="AQ6" s="2" t="s">
        <v>12129</v>
      </c>
      <c r="AR6" s="2" t="s">
        <v>12247</v>
      </c>
      <c r="AS6" s="2" t="s">
        <v>12248</v>
      </c>
      <c r="AT6" s="2" t="s">
        <v>12249</v>
      </c>
      <c r="AU6" s="2">
        <v>2018.0</v>
      </c>
      <c r="AV6" s="2">
        <v>28.0</v>
      </c>
      <c r="AW6" s="2">
        <v>6.0</v>
      </c>
      <c r="AX6" s="2" t="s">
        <v>12129</v>
      </c>
      <c r="AY6" s="2" t="s">
        <v>12129</v>
      </c>
      <c r="AZ6" s="2" t="s">
        <v>12129</v>
      </c>
      <c r="BA6" s="2" t="s">
        <v>12129</v>
      </c>
      <c r="BB6" s="2">
        <v>1377.0</v>
      </c>
      <c r="BC6" s="2">
        <v>1395.0</v>
      </c>
      <c r="BD6" s="2" t="s">
        <v>12129</v>
      </c>
      <c r="BE6" s="2" t="s">
        <v>12250</v>
      </c>
      <c r="BF6" s="15" t="str">
        <f>HYPERLINK("http://dx.doi.org/10.1002/eap.1755","http://dx.doi.org/10.1002/eap.1755")</f>
        <v>http://dx.doi.org/10.1002/eap.1755</v>
      </c>
      <c r="BG6" s="2" t="s">
        <v>12129</v>
      </c>
      <c r="BH6" s="2" t="s">
        <v>12129</v>
      </c>
      <c r="BI6" s="2">
        <v>19.0</v>
      </c>
      <c r="BJ6" s="2" t="s">
        <v>695</v>
      </c>
      <c r="BK6" s="2" t="s">
        <v>12176</v>
      </c>
      <c r="BL6" s="2" t="s">
        <v>12251</v>
      </c>
      <c r="BM6" s="2" t="s">
        <v>12252</v>
      </c>
      <c r="BN6" s="2">
        <v>2.9808543E7</v>
      </c>
      <c r="BO6" s="2" t="s">
        <v>12253</v>
      </c>
      <c r="BP6" s="2" t="s">
        <v>12129</v>
      </c>
      <c r="BQ6" s="2" t="s">
        <v>12129</v>
      </c>
      <c r="BR6" s="2" t="s">
        <v>12152</v>
      </c>
      <c r="BS6" s="2" t="s">
        <v>12254</v>
      </c>
      <c r="BT6" s="2" t="str">
        <f>HYPERLINK("https%3A%2F%2Fwww.webofscience.com%2Fwos%2Fwoscc%2Ffull-record%2FWOS:000443555100001","View Full Record in Web of Science")</f>
        <v>View Full Record in Web of Science</v>
      </c>
    </row>
    <row r="7" ht="12.75" customHeight="1">
      <c r="A7" s="2" t="s">
        <v>23</v>
      </c>
      <c r="B7" s="2" t="s">
        <v>12255</v>
      </c>
      <c r="C7" s="2" t="s">
        <v>12129</v>
      </c>
      <c r="D7" s="2" t="s">
        <v>12129</v>
      </c>
      <c r="E7" s="2" t="s">
        <v>12129</v>
      </c>
      <c r="F7" s="2" t="s">
        <v>12256</v>
      </c>
      <c r="G7" s="2" t="s">
        <v>12129</v>
      </c>
      <c r="H7" s="2" t="s">
        <v>12129</v>
      </c>
      <c r="I7" s="2" t="s">
        <v>12257</v>
      </c>
      <c r="J7" s="2" t="s">
        <v>12258</v>
      </c>
      <c r="K7" s="2" t="s">
        <v>12129</v>
      </c>
      <c r="L7" s="2" t="s">
        <v>12129</v>
      </c>
      <c r="M7" s="2" t="s">
        <v>3263</v>
      </c>
      <c r="N7" s="2" t="s">
        <v>35</v>
      </c>
      <c r="O7" s="2" t="s">
        <v>12129</v>
      </c>
      <c r="P7" s="2" t="s">
        <v>12129</v>
      </c>
      <c r="Q7" s="2" t="s">
        <v>12129</v>
      </c>
      <c r="R7" s="2" t="s">
        <v>12129</v>
      </c>
      <c r="S7" s="2" t="s">
        <v>12129</v>
      </c>
      <c r="T7" s="2" t="s">
        <v>12259</v>
      </c>
      <c r="U7" s="2" t="s">
        <v>12260</v>
      </c>
      <c r="V7" s="2" t="s">
        <v>12261</v>
      </c>
      <c r="W7" s="2" t="s">
        <v>12262</v>
      </c>
      <c r="X7" s="2" t="s">
        <v>12263</v>
      </c>
      <c r="Y7" s="2" t="s">
        <v>12264</v>
      </c>
      <c r="Z7" s="2" t="s">
        <v>12265</v>
      </c>
      <c r="AA7" s="2" t="s">
        <v>12129</v>
      </c>
      <c r="AB7" s="2" t="s">
        <v>12266</v>
      </c>
      <c r="AC7" s="2" t="s">
        <v>12267</v>
      </c>
      <c r="AD7" s="2" t="s">
        <v>12267</v>
      </c>
      <c r="AE7" s="2" t="s">
        <v>12268</v>
      </c>
      <c r="AF7" s="2" t="s">
        <v>12129</v>
      </c>
      <c r="AG7" s="2">
        <v>63.0</v>
      </c>
      <c r="AH7" s="2">
        <v>14.0</v>
      </c>
      <c r="AI7" s="2">
        <v>18.0</v>
      </c>
      <c r="AJ7" s="2">
        <v>0.0</v>
      </c>
      <c r="AK7" s="2">
        <v>35.0</v>
      </c>
      <c r="AL7" s="2" t="s">
        <v>12269</v>
      </c>
      <c r="AM7" s="2" t="s">
        <v>12270</v>
      </c>
      <c r="AN7" s="2" t="s">
        <v>12271</v>
      </c>
      <c r="AO7" s="2" t="s">
        <v>6011</v>
      </c>
      <c r="AP7" s="2" t="s">
        <v>12272</v>
      </c>
      <c r="AQ7" s="2" t="s">
        <v>12129</v>
      </c>
      <c r="AR7" s="2" t="s">
        <v>12273</v>
      </c>
      <c r="AS7" s="2" t="s">
        <v>12274</v>
      </c>
      <c r="AT7" s="2" t="s">
        <v>12275</v>
      </c>
      <c r="AU7" s="2">
        <v>2018.0</v>
      </c>
      <c r="AV7" s="2">
        <v>422.0</v>
      </c>
      <c r="AW7" s="2" t="s">
        <v>12129</v>
      </c>
      <c r="AX7" s="2" t="s">
        <v>12129</v>
      </c>
      <c r="AY7" s="2" t="s">
        <v>12129</v>
      </c>
      <c r="AZ7" s="2" t="s">
        <v>12129</v>
      </c>
      <c r="BA7" s="2" t="s">
        <v>12129</v>
      </c>
      <c r="BB7" s="2">
        <v>137.0</v>
      </c>
      <c r="BC7" s="2">
        <v>146.0</v>
      </c>
      <c r="BD7" s="2" t="s">
        <v>12129</v>
      </c>
      <c r="BE7" s="2" t="s">
        <v>12276</v>
      </c>
      <c r="BF7" s="15" t="str">
        <f>HYPERLINK("http://dx.doi.org/10.1016/j.foreco.2018.04.012","http://dx.doi.org/10.1016/j.foreco.2018.04.012")</f>
        <v>http://dx.doi.org/10.1016/j.foreco.2018.04.012</v>
      </c>
      <c r="BG7" s="2" t="s">
        <v>12129</v>
      </c>
      <c r="BH7" s="2" t="s">
        <v>12129</v>
      </c>
      <c r="BI7" s="2">
        <v>10.0</v>
      </c>
      <c r="BJ7" s="2" t="s">
        <v>12277</v>
      </c>
      <c r="BK7" s="2" t="s">
        <v>12176</v>
      </c>
      <c r="BL7" s="2" t="s">
        <v>12277</v>
      </c>
      <c r="BM7" s="2" t="s">
        <v>12278</v>
      </c>
      <c r="BN7" s="2" t="s">
        <v>12129</v>
      </c>
      <c r="BO7" s="2" t="s">
        <v>12279</v>
      </c>
      <c r="BP7" s="2" t="s">
        <v>12129</v>
      </c>
      <c r="BQ7" s="2" t="s">
        <v>12129</v>
      </c>
      <c r="BR7" s="2" t="s">
        <v>12152</v>
      </c>
      <c r="BS7" s="2" t="s">
        <v>12280</v>
      </c>
      <c r="BT7" s="2" t="str">
        <f>HYPERLINK("https%3A%2F%2Fwww.webofscience.com%2Fwos%2Fwoscc%2Ffull-record%2FWOS:000433653900015","View Full Record in Web of Science")</f>
        <v>View Full Record in Web of Science</v>
      </c>
    </row>
    <row r="8" ht="12.75" customHeight="1">
      <c r="A8" s="2" t="s">
        <v>23</v>
      </c>
      <c r="B8" s="2" t="s">
        <v>12281</v>
      </c>
      <c r="C8" s="2" t="s">
        <v>12129</v>
      </c>
      <c r="D8" s="2" t="s">
        <v>12129</v>
      </c>
      <c r="E8" s="2" t="s">
        <v>12129</v>
      </c>
      <c r="F8" s="2" t="s">
        <v>12282</v>
      </c>
      <c r="G8" s="2" t="s">
        <v>12129</v>
      </c>
      <c r="H8" s="2" t="s">
        <v>12129</v>
      </c>
      <c r="I8" s="2" t="s">
        <v>12283</v>
      </c>
      <c r="J8" s="2" t="s">
        <v>257</v>
      </c>
      <c r="K8" s="2" t="s">
        <v>12129</v>
      </c>
      <c r="L8" s="2" t="s">
        <v>12129</v>
      </c>
      <c r="M8" s="2" t="s">
        <v>3263</v>
      </c>
      <c r="N8" s="2" t="s">
        <v>35</v>
      </c>
      <c r="O8" s="2" t="s">
        <v>12129</v>
      </c>
      <c r="P8" s="2" t="s">
        <v>12129</v>
      </c>
      <c r="Q8" s="2" t="s">
        <v>12129</v>
      </c>
      <c r="R8" s="2" t="s">
        <v>12129</v>
      </c>
      <c r="S8" s="2" t="s">
        <v>12129</v>
      </c>
      <c r="T8" s="2" t="s">
        <v>12284</v>
      </c>
      <c r="U8" s="2" t="s">
        <v>12285</v>
      </c>
      <c r="V8" s="2" t="s">
        <v>12286</v>
      </c>
      <c r="W8" s="2" t="s">
        <v>12287</v>
      </c>
      <c r="X8" s="2" t="s">
        <v>12288</v>
      </c>
      <c r="Y8" s="2" t="s">
        <v>12289</v>
      </c>
      <c r="Z8" s="2" t="s">
        <v>12290</v>
      </c>
      <c r="AA8" s="2" t="s">
        <v>12129</v>
      </c>
      <c r="AB8" s="2" t="s">
        <v>12129</v>
      </c>
      <c r="AC8" s="2" t="s">
        <v>12291</v>
      </c>
      <c r="AD8" s="2" t="s">
        <v>12292</v>
      </c>
      <c r="AE8" s="2" t="s">
        <v>12293</v>
      </c>
      <c r="AF8" s="2" t="s">
        <v>12129</v>
      </c>
      <c r="AG8" s="2">
        <v>60.0</v>
      </c>
      <c r="AH8" s="2">
        <v>17.0</v>
      </c>
      <c r="AI8" s="2">
        <v>22.0</v>
      </c>
      <c r="AJ8" s="2">
        <v>0.0</v>
      </c>
      <c r="AK8" s="2">
        <v>70.0</v>
      </c>
      <c r="AL8" s="2" t="s">
        <v>12294</v>
      </c>
      <c r="AM8" s="2" t="s">
        <v>12295</v>
      </c>
      <c r="AN8" s="2" t="s">
        <v>12296</v>
      </c>
      <c r="AO8" s="2" t="s">
        <v>12297</v>
      </c>
      <c r="AP8" s="2" t="s">
        <v>12298</v>
      </c>
      <c r="AQ8" s="2" t="s">
        <v>12129</v>
      </c>
      <c r="AR8" s="2" t="s">
        <v>12299</v>
      </c>
      <c r="AS8" s="2" t="s">
        <v>12300</v>
      </c>
      <c r="AT8" s="2" t="s">
        <v>12301</v>
      </c>
      <c r="AU8" s="2">
        <v>2018.0</v>
      </c>
      <c r="AV8" s="2">
        <v>133.0</v>
      </c>
      <c r="AW8" s="2" t="s">
        <v>12129</v>
      </c>
      <c r="AX8" s="2" t="s">
        <v>12129</v>
      </c>
      <c r="AY8" s="2" t="s">
        <v>12129</v>
      </c>
      <c r="AZ8" s="2" t="s">
        <v>12129</v>
      </c>
      <c r="BA8" s="2" t="s">
        <v>12129</v>
      </c>
      <c r="BB8" s="2">
        <v>956.0</v>
      </c>
      <c r="BC8" s="2">
        <v>969.0</v>
      </c>
      <c r="BD8" s="2" t="s">
        <v>12129</v>
      </c>
      <c r="BE8" s="2" t="s">
        <v>12302</v>
      </c>
      <c r="BF8" s="15" t="str">
        <f>HYPERLINK("http://dx.doi.org/10.1016/j.marpolbul.2018.04.065","http://dx.doi.org/10.1016/j.marpolbul.2018.04.065")</f>
        <v>http://dx.doi.org/10.1016/j.marpolbul.2018.04.065</v>
      </c>
      <c r="BG8" s="2" t="s">
        <v>12129</v>
      </c>
      <c r="BH8" s="2" t="s">
        <v>12129</v>
      </c>
      <c r="BI8" s="2">
        <v>14.0</v>
      </c>
      <c r="BJ8" s="2" t="s">
        <v>145</v>
      </c>
      <c r="BK8" s="2" t="s">
        <v>12176</v>
      </c>
      <c r="BL8" s="2" t="s">
        <v>12303</v>
      </c>
      <c r="BM8" s="2" t="s">
        <v>12304</v>
      </c>
      <c r="BN8" s="2">
        <v>2.9778407E7</v>
      </c>
      <c r="BO8" s="2" t="s">
        <v>12129</v>
      </c>
      <c r="BP8" s="2" t="s">
        <v>12129</v>
      </c>
      <c r="BQ8" s="2" t="s">
        <v>12129</v>
      </c>
      <c r="BR8" s="2" t="s">
        <v>12152</v>
      </c>
      <c r="BS8" s="2" t="s">
        <v>12305</v>
      </c>
      <c r="BT8" s="2" t="str">
        <f>HYPERLINK("https%3A%2F%2Fwww.webofscience.com%2Fwos%2Fwoscc%2Ffull-record%2FWOS:000441853600107","View Full Record in Web of Science")</f>
        <v>View Full Record in Web of Science</v>
      </c>
    </row>
    <row r="9" ht="12.75" customHeight="1">
      <c r="A9" s="2" t="s">
        <v>23</v>
      </c>
      <c r="B9" s="2" t="s">
        <v>12306</v>
      </c>
      <c r="C9" s="2" t="s">
        <v>12129</v>
      </c>
      <c r="D9" s="2" t="s">
        <v>12129</v>
      </c>
      <c r="E9" s="2" t="s">
        <v>12129</v>
      </c>
      <c r="F9" s="2" t="s">
        <v>12307</v>
      </c>
      <c r="G9" s="2" t="s">
        <v>12129</v>
      </c>
      <c r="H9" s="2" t="s">
        <v>12129</v>
      </c>
      <c r="I9" s="2" t="s">
        <v>12308</v>
      </c>
      <c r="J9" s="2" t="s">
        <v>12309</v>
      </c>
      <c r="K9" s="2" t="s">
        <v>12129</v>
      </c>
      <c r="L9" s="2" t="s">
        <v>12129</v>
      </c>
      <c r="M9" s="2" t="s">
        <v>3263</v>
      </c>
      <c r="N9" s="2" t="s">
        <v>35</v>
      </c>
      <c r="O9" s="2" t="s">
        <v>12129</v>
      </c>
      <c r="P9" s="2" t="s">
        <v>12129</v>
      </c>
      <c r="Q9" s="2" t="s">
        <v>12129</v>
      </c>
      <c r="R9" s="2" t="s">
        <v>12129</v>
      </c>
      <c r="S9" s="2" t="s">
        <v>12129</v>
      </c>
      <c r="T9" s="2" t="s">
        <v>12310</v>
      </c>
      <c r="U9" s="2" t="s">
        <v>12311</v>
      </c>
      <c r="V9" s="2" t="s">
        <v>12312</v>
      </c>
      <c r="W9" s="2" t="s">
        <v>12313</v>
      </c>
      <c r="X9" s="2" t="s">
        <v>12314</v>
      </c>
      <c r="Y9" s="2" t="s">
        <v>12315</v>
      </c>
      <c r="Z9" s="2" t="s">
        <v>12316</v>
      </c>
      <c r="AA9" s="2" t="s">
        <v>12129</v>
      </c>
      <c r="AB9" s="2" t="s">
        <v>12317</v>
      </c>
      <c r="AC9" s="2" t="s">
        <v>12318</v>
      </c>
      <c r="AD9" s="2" t="s">
        <v>12319</v>
      </c>
      <c r="AE9" s="2" t="s">
        <v>12320</v>
      </c>
      <c r="AF9" s="2" t="s">
        <v>12129</v>
      </c>
      <c r="AG9" s="2">
        <v>93.0</v>
      </c>
      <c r="AH9" s="2">
        <v>2.0</v>
      </c>
      <c r="AI9" s="2">
        <v>3.0</v>
      </c>
      <c r="AJ9" s="2">
        <v>0.0</v>
      </c>
      <c r="AK9" s="2">
        <v>29.0</v>
      </c>
      <c r="AL9" s="2" t="s">
        <v>12321</v>
      </c>
      <c r="AM9" s="2" t="s">
        <v>2146</v>
      </c>
      <c r="AN9" s="2" t="s">
        <v>12322</v>
      </c>
      <c r="AO9" s="2" t="s">
        <v>12323</v>
      </c>
      <c r="AP9" s="2" t="s">
        <v>12324</v>
      </c>
      <c r="AQ9" s="2" t="s">
        <v>12129</v>
      </c>
      <c r="AR9" s="2" t="s">
        <v>12325</v>
      </c>
      <c r="AS9" s="2" t="s">
        <v>12326</v>
      </c>
      <c r="AT9" s="2" t="s">
        <v>12301</v>
      </c>
      <c r="AU9" s="2">
        <v>2018.0</v>
      </c>
      <c r="AV9" s="2">
        <v>139.0</v>
      </c>
      <c r="AW9" s="2" t="s">
        <v>12129</v>
      </c>
      <c r="AX9" s="2" t="s">
        <v>12129</v>
      </c>
      <c r="AY9" s="2" t="s">
        <v>12129</v>
      </c>
      <c r="AZ9" s="2" t="s">
        <v>12129</v>
      </c>
      <c r="BA9" s="2" t="s">
        <v>12129</v>
      </c>
      <c r="BB9" s="2">
        <v>79.0</v>
      </c>
      <c r="BC9" s="2">
        <v>86.0</v>
      </c>
      <c r="BD9" s="2" t="s">
        <v>12129</v>
      </c>
      <c r="BE9" s="2" t="s">
        <v>12327</v>
      </c>
      <c r="BF9" s="15" t="str">
        <f>HYPERLINK("http://dx.doi.org/10.1016/j.marenvres.2018.05.008","http://dx.doi.org/10.1016/j.marenvres.2018.05.008")</f>
        <v>http://dx.doi.org/10.1016/j.marenvres.2018.05.008</v>
      </c>
      <c r="BG9" s="2" t="s">
        <v>12129</v>
      </c>
      <c r="BH9" s="2" t="s">
        <v>12129</v>
      </c>
      <c r="BI9" s="2">
        <v>8.0</v>
      </c>
      <c r="BJ9" s="2" t="s">
        <v>12328</v>
      </c>
      <c r="BK9" s="2" t="s">
        <v>12176</v>
      </c>
      <c r="BL9" s="2" t="s">
        <v>12329</v>
      </c>
      <c r="BM9" s="2" t="s">
        <v>12330</v>
      </c>
      <c r="BN9" s="2">
        <v>2.9773316E7</v>
      </c>
      <c r="BO9" s="2" t="s">
        <v>12129</v>
      </c>
      <c r="BP9" s="2" t="s">
        <v>12129</v>
      </c>
      <c r="BQ9" s="2" t="s">
        <v>12129</v>
      </c>
      <c r="BR9" s="2" t="s">
        <v>12152</v>
      </c>
      <c r="BS9" s="2" t="s">
        <v>12331</v>
      </c>
      <c r="BT9" s="2" t="str">
        <f>HYPERLINK("https%3A%2F%2Fwww.webofscience.com%2Fwos%2Fwoscc%2Ffull-record%2FWOS:000436911600009","View Full Record in Web of Science")</f>
        <v>View Full Record in Web of Science</v>
      </c>
    </row>
    <row r="10" ht="12.75" customHeight="1">
      <c r="A10" s="2" t="s">
        <v>23</v>
      </c>
      <c r="B10" s="2" t="s">
        <v>12332</v>
      </c>
      <c r="C10" s="2" t="s">
        <v>12129</v>
      </c>
      <c r="D10" s="2" t="s">
        <v>12129</v>
      </c>
      <c r="E10" s="2" t="s">
        <v>12129</v>
      </c>
      <c r="F10" s="2" t="s">
        <v>12333</v>
      </c>
      <c r="G10" s="2" t="s">
        <v>12129</v>
      </c>
      <c r="H10" s="2" t="s">
        <v>12129</v>
      </c>
      <c r="I10" s="2" t="s">
        <v>12334</v>
      </c>
      <c r="J10" s="2" t="s">
        <v>12335</v>
      </c>
      <c r="K10" s="2" t="s">
        <v>12129</v>
      </c>
      <c r="L10" s="2" t="s">
        <v>12129</v>
      </c>
      <c r="M10" s="2" t="s">
        <v>3263</v>
      </c>
      <c r="N10" s="2" t="s">
        <v>35</v>
      </c>
      <c r="O10" s="2" t="s">
        <v>12129</v>
      </c>
      <c r="P10" s="2" t="s">
        <v>12129</v>
      </c>
      <c r="Q10" s="2" t="s">
        <v>12129</v>
      </c>
      <c r="R10" s="2" t="s">
        <v>12129</v>
      </c>
      <c r="S10" s="2" t="s">
        <v>12129</v>
      </c>
      <c r="T10" s="2" t="s">
        <v>12336</v>
      </c>
      <c r="U10" s="2" t="s">
        <v>12337</v>
      </c>
      <c r="V10" s="2" t="s">
        <v>12338</v>
      </c>
      <c r="W10" s="2" t="s">
        <v>12339</v>
      </c>
      <c r="X10" s="2" t="s">
        <v>12340</v>
      </c>
      <c r="Y10" s="2" t="s">
        <v>12341</v>
      </c>
      <c r="Z10" s="2" t="s">
        <v>12342</v>
      </c>
      <c r="AA10" s="2" t="s">
        <v>12129</v>
      </c>
      <c r="AB10" s="2" t="s">
        <v>12129</v>
      </c>
      <c r="AC10" s="2" t="s">
        <v>12343</v>
      </c>
      <c r="AD10" s="2" t="s">
        <v>12343</v>
      </c>
      <c r="AE10" s="2" t="s">
        <v>12344</v>
      </c>
      <c r="AF10" s="2" t="s">
        <v>12129</v>
      </c>
      <c r="AG10" s="2">
        <v>82.0</v>
      </c>
      <c r="AH10" s="2">
        <v>6.0</v>
      </c>
      <c r="AI10" s="2">
        <v>7.0</v>
      </c>
      <c r="AJ10" s="2">
        <v>0.0</v>
      </c>
      <c r="AK10" s="2">
        <v>24.0</v>
      </c>
      <c r="AL10" s="2" t="s">
        <v>12345</v>
      </c>
      <c r="AM10" s="2" t="s">
        <v>12346</v>
      </c>
      <c r="AN10" s="2" t="s">
        <v>12347</v>
      </c>
      <c r="AO10" s="2" t="s">
        <v>12348</v>
      </c>
      <c r="AP10" s="2" t="s">
        <v>12349</v>
      </c>
      <c r="AQ10" s="2" t="s">
        <v>12129</v>
      </c>
      <c r="AR10" s="2" t="s">
        <v>12350</v>
      </c>
      <c r="AS10" s="2" t="s">
        <v>12351</v>
      </c>
      <c r="AT10" s="2" t="s">
        <v>12352</v>
      </c>
      <c r="AU10" s="2">
        <v>2018.0</v>
      </c>
      <c r="AV10" s="2">
        <v>71.0</v>
      </c>
      <c r="AW10" s="2">
        <v>4.0</v>
      </c>
      <c r="AX10" s="2" t="s">
        <v>12129</v>
      </c>
      <c r="AY10" s="2" t="s">
        <v>12129</v>
      </c>
      <c r="AZ10" s="2" t="s">
        <v>12129</v>
      </c>
      <c r="BA10" s="2" t="s">
        <v>12129</v>
      </c>
      <c r="BB10" s="2">
        <v>458.0</v>
      </c>
      <c r="BC10" s="2">
        <v>469.0</v>
      </c>
      <c r="BD10" s="2" t="s">
        <v>12129</v>
      </c>
      <c r="BE10" s="2" t="s">
        <v>12353</v>
      </c>
      <c r="BF10" s="15" t="str">
        <f>HYPERLINK("http://dx.doi.org/10.1016/j.rama.2018.02.008","http://dx.doi.org/10.1016/j.rama.2018.02.008")</f>
        <v>http://dx.doi.org/10.1016/j.rama.2018.02.008</v>
      </c>
      <c r="BG10" s="2" t="s">
        <v>12129</v>
      </c>
      <c r="BH10" s="2" t="s">
        <v>12129</v>
      </c>
      <c r="BI10" s="2">
        <v>12.0</v>
      </c>
      <c r="BJ10" s="2" t="s">
        <v>695</v>
      </c>
      <c r="BK10" s="2" t="s">
        <v>12176</v>
      </c>
      <c r="BL10" s="2" t="s">
        <v>12251</v>
      </c>
      <c r="BM10" s="2" t="s">
        <v>12354</v>
      </c>
      <c r="BN10" s="2" t="s">
        <v>12129</v>
      </c>
      <c r="BO10" s="2" t="s">
        <v>12129</v>
      </c>
      <c r="BP10" s="2" t="s">
        <v>12129</v>
      </c>
      <c r="BQ10" s="2" t="s">
        <v>12129</v>
      </c>
      <c r="BR10" s="2" t="s">
        <v>12152</v>
      </c>
      <c r="BS10" s="2" t="s">
        <v>12355</v>
      </c>
      <c r="BT10" s="2" t="str">
        <f>HYPERLINK("https%3A%2F%2Fwww.webofscience.com%2Fwos%2Fwoscc%2Ffull-record%2FWOS:000435480900008","View Full Record in Web of Science")</f>
        <v>View Full Record in Web of Science</v>
      </c>
    </row>
    <row r="11" ht="12.75" customHeight="1">
      <c r="A11" s="2" t="s">
        <v>23</v>
      </c>
      <c r="B11" s="2" t="s">
        <v>12356</v>
      </c>
      <c r="C11" s="2" t="s">
        <v>12129</v>
      </c>
      <c r="D11" s="2" t="s">
        <v>12129</v>
      </c>
      <c r="E11" s="2" t="s">
        <v>12129</v>
      </c>
      <c r="F11" s="2" t="s">
        <v>12357</v>
      </c>
      <c r="G11" s="2" t="s">
        <v>12129</v>
      </c>
      <c r="H11" s="2" t="s">
        <v>12129</v>
      </c>
      <c r="I11" s="2" t="s">
        <v>12358</v>
      </c>
      <c r="J11" s="2" t="s">
        <v>1148</v>
      </c>
      <c r="K11" s="2" t="s">
        <v>12129</v>
      </c>
      <c r="L11" s="2" t="s">
        <v>12129</v>
      </c>
      <c r="M11" s="2" t="s">
        <v>3263</v>
      </c>
      <c r="N11" s="2" t="s">
        <v>35</v>
      </c>
      <c r="O11" s="2" t="s">
        <v>12129</v>
      </c>
      <c r="P11" s="2" t="s">
        <v>12129</v>
      </c>
      <c r="Q11" s="2" t="s">
        <v>12129</v>
      </c>
      <c r="R11" s="2" t="s">
        <v>12129</v>
      </c>
      <c r="S11" s="2" t="s">
        <v>12129</v>
      </c>
      <c r="T11" s="2" t="s">
        <v>12359</v>
      </c>
      <c r="U11" s="2" t="s">
        <v>12360</v>
      </c>
      <c r="V11" s="2" t="s">
        <v>12361</v>
      </c>
      <c r="W11" s="2" t="s">
        <v>12362</v>
      </c>
      <c r="X11" s="2" t="s">
        <v>12363</v>
      </c>
      <c r="Y11" s="2" t="s">
        <v>12364</v>
      </c>
      <c r="Z11" s="2" t="s">
        <v>12365</v>
      </c>
      <c r="AA11" s="2" t="s">
        <v>12366</v>
      </c>
      <c r="AB11" s="2" t="s">
        <v>12367</v>
      </c>
      <c r="AC11" s="2" t="s">
        <v>12368</v>
      </c>
      <c r="AD11" s="2" t="s">
        <v>12369</v>
      </c>
      <c r="AE11" s="2" t="s">
        <v>12370</v>
      </c>
      <c r="AF11" s="2" t="s">
        <v>12129</v>
      </c>
      <c r="AG11" s="2">
        <v>62.0</v>
      </c>
      <c r="AH11" s="2">
        <v>29.0</v>
      </c>
      <c r="AI11" s="2">
        <v>32.0</v>
      </c>
      <c r="AJ11" s="2">
        <v>1.0</v>
      </c>
      <c r="AK11" s="2">
        <v>49.0</v>
      </c>
      <c r="AL11" s="2" t="s">
        <v>12243</v>
      </c>
      <c r="AM11" s="2" t="s">
        <v>12244</v>
      </c>
      <c r="AN11" s="2" t="s">
        <v>12245</v>
      </c>
      <c r="AO11" s="2" t="s">
        <v>12371</v>
      </c>
      <c r="AP11" s="2" t="s">
        <v>12372</v>
      </c>
      <c r="AQ11" s="2" t="s">
        <v>12129</v>
      </c>
      <c r="AR11" s="2" t="s">
        <v>12373</v>
      </c>
      <c r="AS11" s="2" t="s">
        <v>12374</v>
      </c>
      <c r="AT11" s="2" t="s">
        <v>12352</v>
      </c>
      <c r="AU11" s="2">
        <v>2018.0</v>
      </c>
      <c r="AV11" s="2">
        <v>55.0</v>
      </c>
      <c r="AW11" s="2">
        <v>4.0</v>
      </c>
      <c r="AX11" s="2" t="s">
        <v>12129</v>
      </c>
      <c r="AY11" s="2" t="s">
        <v>12129</v>
      </c>
      <c r="AZ11" s="2" t="s">
        <v>12129</v>
      </c>
      <c r="BA11" s="2" t="s">
        <v>12129</v>
      </c>
      <c r="BB11" s="2">
        <v>1626.0</v>
      </c>
      <c r="BC11" s="2">
        <v>1636.0</v>
      </c>
      <c r="BD11" s="2" t="s">
        <v>12129</v>
      </c>
      <c r="BE11" s="2" t="s">
        <v>12375</v>
      </c>
      <c r="BF11" s="15" t="str">
        <f>HYPERLINK("http://dx.doi.org/10.1111/1365-2664.13137","http://dx.doi.org/10.1111/1365-2664.13137")</f>
        <v>http://dx.doi.org/10.1111/1365-2664.13137</v>
      </c>
      <c r="BG11" s="2" t="s">
        <v>12129</v>
      </c>
      <c r="BH11" s="2" t="s">
        <v>12129</v>
      </c>
      <c r="BI11" s="2">
        <v>11.0</v>
      </c>
      <c r="BJ11" s="2" t="s">
        <v>1121</v>
      </c>
      <c r="BK11" s="2" t="s">
        <v>12176</v>
      </c>
      <c r="BL11" s="2" t="s">
        <v>12376</v>
      </c>
      <c r="BM11" s="2" t="s">
        <v>12377</v>
      </c>
      <c r="BN11" s="2" t="s">
        <v>12129</v>
      </c>
      <c r="BO11" s="2" t="s">
        <v>12378</v>
      </c>
      <c r="BP11" s="2" t="s">
        <v>12129</v>
      </c>
      <c r="BQ11" s="2" t="s">
        <v>12129</v>
      </c>
      <c r="BR11" s="2" t="s">
        <v>12152</v>
      </c>
      <c r="BS11" s="2" t="s">
        <v>12379</v>
      </c>
      <c r="BT11" s="2" t="str">
        <f>HYPERLINK("https%3A%2F%2Fwww.webofscience.com%2Fwos%2Fwoscc%2Ffull-record%2FWOS:000434970200007","View Full Record in Web of Science")</f>
        <v>View Full Record in Web of Science</v>
      </c>
    </row>
    <row r="12" ht="12.75" customHeight="1">
      <c r="A12" s="2" t="s">
        <v>23</v>
      </c>
      <c r="B12" s="2" t="s">
        <v>12380</v>
      </c>
      <c r="C12" s="2" t="s">
        <v>12129</v>
      </c>
      <c r="D12" s="2" t="s">
        <v>12129</v>
      </c>
      <c r="E12" s="2" t="s">
        <v>12129</v>
      </c>
      <c r="F12" s="2" t="s">
        <v>12381</v>
      </c>
      <c r="G12" s="2" t="s">
        <v>12129</v>
      </c>
      <c r="H12" s="2" t="s">
        <v>12129</v>
      </c>
      <c r="I12" s="2" t="s">
        <v>12382</v>
      </c>
      <c r="J12" s="2" t="s">
        <v>315</v>
      </c>
      <c r="K12" s="2" t="s">
        <v>12129</v>
      </c>
      <c r="L12" s="2" t="s">
        <v>12129</v>
      </c>
      <c r="M12" s="2" t="s">
        <v>3263</v>
      </c>
      <c r="N12" s="2" t="s">
        <v>35</v>
      </c>
      <c r="O12" s="2" t="s">
        <v>12129</v>
      </c>
      <c r="P12" s="2" t="s">
        <v>12129</v>
      </c>
      <c r="Q12" s="2" t="s">
        <v>12129</v>
      </c>
      <c r="R12" s="2" t="s">
        <v>12129</v>
      </c>
      <c r="S12" s="2" t="s">
        <v>12129</v>
      </c>
      <c r="T12" s="2" t="s">
        <v>12383</v>
      </c>
      <c r="U12" s="2" t="s">
        <v>12384</v>
      </c>
      <c r="V12" s="2" t="s">
        <v>12385</v>
      </c>
      <c r="W12" s="2" t="s">
        <v>12386</v>
      </c>
      <c r="X12" s="2" t="s">
        <v>12387</v>
      </c>
      <c r="Y12" s="2" t="s">
        <v>12388</v>
      </c>
      <c r="Z12" s="2" t="s">
        <v>12389</v>
      </c>
      <c r="AA12" s="2" t="s">
        <v>12390</v>
      </c>
      <c r="AB12" s="2" t="s">
        <v>12391</v>
      </c>
      <c r="AC12" s="2" t="s">
        <v>12129</v>
      </c>
      <c r="AD12" s="2" t="s">
        <v>12129</v>
      </c>
      <c r="AE12" s="2" t="s">
        <v>12129</v>
      </c>
      <c r="AF12" s="2" t="s">
        <v>12129</v>
      </c>
      <c r="AG12" s="2">
        <v>49.0</v>
      </c>
      <c r="AH12" s="2">
        <v>184.0</v>
      </c>
      <c r="AI12" s="2">
        <v>220.0</v>
      </c>
      <c r="AJ12" s="2">
        <v>0.0</v>
      </c>
      <c r="AK12" s="2">
        <v>71.0</v>
      </c>
      <c r="AL12" s="2" t="s">
        <v>12392</v>
      </c>
      <c r="AM12" s="2" t="s">
        <v>12393</v>
      </c>
      <c r="AN12" s="2" t="s">
        <v>12394</v>
      </c>
      <c r="AO12" s="2" t="s">
        <v>5876</v>
      </c>
      <c r="AP12" s="2" t="s">
        <v>12129</v>
      </c>
      <c r="AQ12" s="2" t="s">
        <v>12129</v>
      </c>
      <c r="AR12" s="2" t="s">
        <v>12395</v>
      </c>
      <c r="AS12" s="2" t="s">
        <v>5884</v>
      </c>
      <c r="AT12" s="2" t="s">
        <v>12352</v>
      </c>
      <c r="AU12" s="2">
        <v>2018.0</v>
      </c>
      <c r="AV12" s="2">
        <v>13.0</v>
      </c>
      <c r="AW12" s="2">
        <v>7.0</v>
      </c>
      <c r="AX12" s="2" t="s">
        <v>12129</v>
      </c>
      <c r="AY12" s="2" t="s">
        <v>12129</v>
      </c>
      <c r="AZ12" s="2" t="s">
        <v>12129</v>
      </c>
      <c r="BA12" s="2" t="s">
        <v>12129</v>
      </c>
      <c r="BB12" s="2" t="s">
        <v>12129</v>
      </c>
      <c r="BC12" s="2" t="s">
        <v>12129</v>
      </c>
      <c r="BD12" s="2">
        <v>74028.0</v>
      </c>
      <c r="BE12" s="2" t="s">
        <v>12396</v>
      </c>
      <c r="BF12" s="15" t="str">
        <f>HYPERLINK("http://dx.doi.org/10.1088/1748-9326/aacd1c","http://dx.doi.org/10.1088/1748-9326/aacd1c")</f>
        <v>http://dx.doi.org/10.1088/1748-9326/aacd1c</v>
      </c>
      <c r="BG12" s="2" t="s">
        <v>12129</v>
      </c>
      <c r="BH12" s="2" t="s">
        <v>12129</v>
      </c>
      <c r="BI12" s="2">
        <v>15.0</v>
      </c>
      <c r="BJ12" s="2" t="s">
        <v>319</v>
      </c>
      <c r="BK12" s="2" t="s">
        <v>12176</v>
      </c>
      <c r="BL12" s="2" t="s">
        <v>12397</v>
      </c>
      <c r="BM12" s="2" t="s">
        <v>12398</v>
      </c>
      <c r="BN12" s="2" t="s">
        <v>12129</v>
      </c>
      <c r="BO12" s="2" t="s">
        <v>12399</v>
      </c>
      <c r="BP12" s="2" t="s">
        <v>12129</v>
      </c>
      <c r="BQ12" s="2" t="s">
        <v>12129</v>
      </c>
      <c r="BR12" s="2" t="s">
        <v>12152</v>
      </c>
      <c r="BS12" s="2" t="s">
        <v>12400</v>
      </c>
      <c r="BT12" s="2" t="str">
        <f>HYPERLINK("https%3A%2F%2Fwww.webofscience.com%2Fwos%2Fwoscc%2Ffull-record%2FWOS:000438666900001","View Full Record in Web of Science")</f>
        <v>View Full Record in Web of Science</v>
      </c>
    </row>
    <row r="13" ht="12.75" customHeight="1">
      <c r="A13" s="2" t="s">
        <v>23</v>
      </c>
      <c r="B13" s="2" t="s">
        <v>12401</v>
      </c>
      <c r="C13" s="2" t="s">
        <v>12129</v>
      </c>
      <c r="D13" s="2" t="s">
        <v>12129</v>
      </c>
      <c r="E13" s="2" t="s">
        <v>12129</v>
      </c>
      <c r="F13" s="2" t="s">
        <v>12402</v>
      </c>
      <c r="G13" s="2" t="s">
        <v>12129</v>
      </c>
      <c r="H13" s="2" t="s">
        <v>12129</v>
      </c>
      <c r="I13" s="2" t="s">
        <v>12403</v>
      </c>
      <c r="J13" s="2" t="s">
        <v>700</v>
      </c>
      <c r="K13" s="2" t="s">
        <v>12129</v>
      </c>
      <c r="L13" s="2" t="s">
        <v>12129</v>
      </c>
      <c r="M13" s="2" t="s">
        <v>3263</v>
      </c>
      <c r="N13" s="2" t="s">
        <v>35</v>
      </c>
      <c r="O13" s="2" t="s">
        <v>12129</v>
      </c>
      <c r="P13" s="2" t="s">
        <v>12129</v>
      </c>
      <c r="Q13" s="2" t="s">
        <v>12129</v>
      </c>
      <c r="R13" s="2" t="s">
        <v>12129</v>
      </c>
      <c r="S13" s="2" t="s">
        <v>12129</v>
      </c>
      <c r="T13" s="2" t="s">
        <v>12404</v>
      </c>
      <c r="U13" s="2" t="s">
        <v>12405</v>
      </c>
      <c r="V13" s="2" t="s">
        <v>12406</v>
      </c>
      <c r="W13" s="2" t="s">
        <v>12407</v>
      </c>
      <c r="X13" s="2" t="s">
        <v>12408</v>
      </c>
      <c r="Y13" s="2" t="s">
        <v>12409</v>
      </c>
      <c r="Z13" s="2" t="s">
        <v>12410</v>
      </c>
      <c r="AA13" s="2" t="s">
        <v>12129</v>
      </c>
      <c r="AB13" s="2" t="s">
        <v>12411</v>
      </c>
      <c r="AC13" s="2" t="s">
        <v>12412</v>
      </c>
      <c r="AD13" s="2" t="s">
        <v>12413</v>
      </c>
      <c r="AE13" s="2" t="s">
        <v>12414</v>
      </c>
      <c r="AF13" s="2" t="s">
        <v>12129</v>
      </c>
      <c r="AG13" s="2">
        <v>79.0</v>
      </c>
      <c r="AH13" s="2">
        <v>63.0</v>
      </c>
      <c r="AI13" s="2">
        <v>71.0</v>
      </c>
      <c r="AJ13" s="2">
        <v>4.0</v>
      </c>
      <c r="AK13" s="2">
        <v>131.0</v>
      </c>
      <c r="AL13" s="2" t="s">
        <v>12269</v>
      </c>
      <c r="AM13" s="2" t="s">
        <v>12270</v>
      </c>
      <c r="AN13" s="2" t="s">
        <v>12271</v>
      </c>
      <c r="AO13" s="2" t="s">
        <v>2351</v>
      </c>
      <c r="AP13" s="2" t="s">
        <v>12415</v>
      </c>
      <c r="AQ13" s="2" t="s">
        <v>12129</v>
      </c>
      <c r="AR13" s="2" t="s">
        <v>12416</v>
      </c>
      <c r="AS13" s="2" t="s">
        <v>12417</v>
      </c>
      <c r="AT13" s="2" t="s">
        <v>12352</v>
      </c>
      <c r="AU13" s="2">
        <v>2018.0</v>
      </c>
      <c r="AV13" s="2">
        <v>90.0</v>
      </c>
      <c r="AW13" s="2" t="s">
        <v>12129</v>
      </c>
      <c r="AX13" s="2" t="s">
        <v>12129</v>
      </c>
      <c r="AY13" s="2" t="s">
        <v>12129</v>
      </c>
      <c r="AZ13" s="2" t="s">
        <v>12129</v>
      </c>
      <c r="BA13" s="2" t="s">
        <v>12129</v>
      </c>
      <c r="BB13" s="2">
        <v>261.0</v>
      </c>
      <c r="BC13" s="2">
        <v>279.0</v>
      </c>
      <c r="BD13" s="2" t="s">
        <v>12129</v>
      </c>
      <c r="BE13" s="2" t="s">
        <v>12418</v>
      </c>
      <c r="BF13" s="15" t="str">
        <f>HYPERLINK("http://dx.doi.org/10.1016/j.ecolind.2018.03.004","http://dx.doi.org/10.1016/j.ecolind.2018.03.004")</f>
        <v>http://dx.doi.org/10.1016/j.ecolind.2018.03.004</v>
      </c>
      <c r="BG13" s="2" t="s">
        <v>12129</v>
      </c>
      <c r="BH13" s="2" t="s">
        <v>12129</v>
      </c>
      <c r="BI13" s="2">
        <v>19.0</v>
      </c>
      <c r="BJ13" s="2" t="s">
        <v>704</v>
      </c>
      <c r="BK13" s="2" t="s">
        <v>12176</v>
      </c>
      <c r="BL13" s="2" t="s">
        <v>12376</v>
      </c>
      <c r="BM13" s="2" t="s">
        <v>12419</v>
      </c>
      <c r="BN13" s="2" t="s">
        <v>12129</v>
      </c>
      <c r="BO13" s="2" t="s">
        <v>12129</v>
      </c>
      <c r="BP13" s="2" t="s">
        <v>12129</v>
      </c>
      <c r="BQ13" s="2" t="s">
        <v>12129</v>
      </c>
      <c r="BR13" s="2" t="s">
        <v>12152</v>
      </c>
      <c r="BS13" s="2" t="s">
        <v>12420</v>
      </c>
      <c r="BT13" s="2" t="str">
        <f>HYPERLINK("https%3A%2F%2Fwww.webofscience.com%2Fwos%2Fwoscc%2Ffull-record%2FWOS:000440266100029","View Full Record in Web of Science")</f>
        <v>View Full Record in Web of Science</v>
      </c>
    </row>
    <row r="14" ht="12.75" customHeight="1">
      <c r="A14" s="2" t="s">
        <v>23</v>
      </c>
      <c r="B14" s="2" t="s">
        <v>12421</v>
      </c>
      <c r="C14" s="2" t="s">
        <v>12129</v>
      </c>
      <c r="D14" s="2" t="s">
        <v>12129</v>
      </c>
      <c r="E14" s="2" t="s">
        <v>12129</v>
      </c>
      <c r="F14" s="2" t="s">
        <v>12422</v>
      </c>
      <c r="G14" s="2" t="s">
        <v>12129</v>
      </c>
      <c r="H14" s="2" t="s">
        <v>12129</v>
      </c>
      <c r="I14" s="2" t="s">
        <v>12423</v>
      </c>
      <c r="J14" s="2" t="s">
        <v>315</v>
      </c>
      <c r="K14" s="2" t="s">
        <v>12129</v>
      </c>
      <c r="L14" s="2" t="s">
        <v>12129</v>
      </c>
      <c r="M14" s="2" t="s">
        <v>3263</v>
      </c>
      <c r="N14" s="2" t="s">
        <v>35</v>
      </c>
      <c r="O14" s="2" t="s">
        <v>12129</v>
      </c>
      <c r="P14" s="2" t="s">
        <v>12129</v>
      </c>
      <c r="Q14" s="2" t="s">
        <v>12129</v>
      </c>
      <c r="R14" s="2" t="s">
        <v>12129</v>
      </c>
      <c r="S14" s="2" t="s">
        <v>12129</v>
      </c>
      <c r="T14" s="2" t="s">
        <v>12424</v>
      </c>
      <c r="U14" s="2" t="s">
        <v>12425</v>
      </c>
      <c r="V14" s="2" t="s">
        <v>12426</v>
      </c>
      <c r="W14" s="2" t="s">
        <v>12427</v>
      </c>
      <c r="X14" s="2" t="s">
        <v>12428</v>
      </c>
      <c r="Y14" s="2" t="s">
        <v>12429</v>
      </c>
      <c r="Z14" s="2" t="s">
        <v>12430</v>
      </c>
      <c r="AA14" s="2" t="s">
        <v>12431</v>
      </c>
      <c r="AB14" s="2" t="s">
        <v>12432</v>
      </c>
      <c r="AC14" s="2" t="s">
        <v>12433</v>
      </c>
      <c r="AD14" s="2" t="s">
        <v>12434</v>
      </c>
      <c r="AE14" s="2" t="s">
        <v>12435</v>
      </c>
      <c r="AF14" s="2" t="s">
        <v>12129</v>
      </c>
      <c r="AG14" s="2">
        <v>59.0</v>
      </c>
      <c r="AH14" s="2">
        <v>93.0</v>
      </c>
      <c r="AI14" s="2">
        <v>103.0</v>
      </c>
      <c r="AJ14" s="2">
        <v>1.0</v>
      </c>
      <c r="AK14" s="2">
        <v>76.0</v>
      </c>
      <c r="AL14" s="2" t="s">
        <v>12392</v>
      </c>
      <c r="AM14" s="2" t="s">
        <v>12393</v>
      </c>
      <c r="AN14" s="2" t="s">
        <v>12394</v>
      </c>
      <c r="AO14" s="2" t="s">
        <v>5876</v>
      </c>
      <c r="AP14" s="2" t="s">
        <v>12129</v>
      </c>
      <c r="AQ14" s="2" t="s">
        <v>12129</v>
      </c>
      <c r="AR14" s="2" t="s">
        <v>12395</v>
      </c>
      <c r="AS14" s="2" t="s">
        <v>5884</v>
      </c>
      <c r="AT14" s="2" t="s">
        <v>12436</v>
      </c>
      <c r="AU14" s="2">
        <v>2018.0</v>
      </c>
      <c r="AV14" s="2">
        <v>13.0</v>
      </c>
      <c r="AW14" s="2">
        <v>6.0</v>
      </c>
      <c r="AX14" s="2" t="s">
        <v>12129</v>
      </c>
      <c r="AY14" s="2" t="s">
        <v>12129</v>
      </c>
      <c r="AZ14" s="2" t="s">
        <v>12129</v>
      </c>
      <c r="BA14" s="2" t="s">
        <v>12129</v>
      </c>
      <c r="BB14" s="2" t="s">
        <v>12129</v>
      </c>
      <c r="BC14" s="2" t="s">
        <v>12129</v>
      </c>
      <c r="BD14" s="2">
        <v>65013.0</v>
      </c>
      <c r="BE14" s="2" t="s">
        <v>12437</v>
      </c>
      <c r="BF14" s="15" t="str">
        <f>HYPERLINK("http://dx.doi.org/10.1088/1748-9326/aac331","http://dx.doi.org/10.1088/1748-9326/aac331")</f>
        <v>http://dx.doi.org/10.1088/1748-9326/aac331</v>
      </c>
      <c r="BG14" s="2" t="s">
        <v>12129</v>
      </c>
      <c r="BH14" s="2" t="s">
        <v>12129</v>
      </c>
      <c r="BI14" s="2">
        <v>12.0</v>
      </c>
      <c r="BJ14" s="2" t="s">
        <v>319</v>
      </c>
      <c r="BK14" s="2" t="s">
        <v>12176</v>
      </c>
      <c r="BL14" s="2" t="s">
        <v>12397</v>
      </c>
      <c r="BM14" s="2" t="s">
        <v>12438</v>
      </c>
      <c r="BN14" s="2" t="s">
        <v>12129</v>
      </c>
      <c r="BO14" s="2" t="s">
        <v>12399</v>
      </c>
      <c r="BP14" s="2" t="s">
        <v>12129</v>
      </c>
      <c r="BQ14" s="2" t="s">
        <v>12129</v>
      </c>
      <c r="BR14" s="2" t="s">
        <v>12152</v>
      </c>
      <c r="BS14" s="2" t="s">
        <v>12439</v>
      </c>
      <c r="BT14" s="2" t="str">
        <f>HYPERLINK("https%3A%2F%2Fwww.webofscience.com%2Fwos%2Fwoscc%2Ffull-record%2FWOS:000434818600001","View Full Record in Web of Science")</f>
        <v>View Full Record in Web of Science</v>
      </c>
    </row>
    <row r="15" ht="12.75" customHeight="1">
      <c r="A15" s="2" t="s">
        <v>23</v>
      </c>
      <c r="B15" s="2" t="s">
        <v>12440</v>
      </c>
      <c r="C15" s="2" t="s">
        <v>12129</v>
      </c>
      <c r="D15" s="2" t="s">
        <v>12129</v>
      </c>
      <c r="E15" s="2" t="s">
        <v>12129</v>
      </c>
      <c r="F15" s="2" t="s">
        <v>12441</v>
      </c>
      <c r="G15" s="2" t="s">
        <v>12129</v>
      </c>
      <c r="H15" s="2" t="s">
        <v>12129</v>
      </c>
      <c r="I15" s="2" t="s">
        <v>12442</v>
      </c>
      <c r="J15" s="2" t="s">
        <v>946</v>
      </c>
      <c r="K15" s="2" t="s">
        <v>12129</v>
      </c>
      <c r="L15" s="2" t="s">
        <v>12129</v>
      </c>
      <c r="M15" s="2" t="s">
        <v>3263</v>
      </c>
      <c r="N15" s="2" t="s">
        <v>35</v>
      </c>
      <c r="O15" s="2" t="s">
        <v>12129</v>
      </c>
      <c r="P15" s="2" t="s">
        <v>12129</v>
      </c>
      <c r="Q15" s="2" t="s">
        <v>12129</v>
      </c>
      <c r="R15" s="2" t="s">
        <v>12129</v>
      </c>
      <c r="S15" s="2" t="s">
        <v>12129</v>
      </c>
      <c r="T15" s="2" t="s">
        <v>12443</v>
      </c>
      <c r="U15" s="2" t="s">
        <v>12444</v>
      </c>
      <c r="V15" s="2" t="s">
        <v>12445</v>
      </c>
      <c r="W15" s="2" t="s">
        <v>12446</v>
      </c>
      <c r="X15" s="2" t="s">
        <v>12447</v>
      </c>
      <c r="Y15" s="2" t="s">
        <v>12448</v>
      </c>
      <c r="Z15" s="2" t="s">
        <v>12449</v>
      </c>
      <c r="AA15" s="2" t="s">
        <v>12450</v>
      </c>
      <c r="AB15" s="2" t="s">
        <v>12451</v>
      </c>
      <c r="AC15" s="2" t="s">
        <v>12452</v>
      </c>
      <c r="AD15" s="2" t="s">
        <v>12452</v>
      </c>
      <c r="AE15" s="2" t="s">
        <v>12453</v>
      </c>
      <c r="AF15" s="2" t="s">
        <v>12129</v>
      </c>
      <c r="AG15" s="2">
        <v>62.0</v>
      </c>
      <c r="AH15" s="2">
        <v>40.0</v>
      </c>
      <c r="AI15" s="2">
        <v>44.0</v>
      </c>
      <c r="AJ15" s="2">
        <v>0.0</v>
      </c>
      <c r="AK15" s="2">
        <v>89.0</v>
      </c>
      <c r="AL15" s="2" t="s">
        <v>12321</v>
      </c>
      <c r="AM15" s="2" t="s">
        <v>12295</v>
      </c>
      <c r="AN15" s="2" t="s">
        <v>12454</v>
      </c>
      <c r="AO15" s="2" t="s">
        <v>12455</v>
      </c>
      <c r="AP15" s="2" t="s">
        <v>12456</v>
      </c>
      <c r="AQ15" s="2" t="s">
        <v>12129</v>
      </c>
      <c r="AR15" s="2" t="s">
        <v>12457</v>
      </c>
      <c r="AS15" s="2" t="s">
        <v>12458</v>
      </c>
      <c r="AT15" s="2" t="s">
        <v>12459</v>
      </c>
      <c r="AU15" s="2">
        <v>2018.0</v>
      </c>
      <c r="AV15" s="2">
        <v>94.0</v>
      </c>
      <c r="AW15" s="2" t="s">
        <v>12129</v>
      </c>
      <c r="AX15" s="2" t="s">
        <v>12129</v>
      </c>
      <c r="AY15" s="2" t="s">
        <v>12129</v>
      </c>
      <c r="AZ15" s="2" t="s">
        <v>12129</v>
      </c>
      <c r="BA15" s="2" t="s">
        <v>12129</v>
      </c>
      <c r="BB15" s="2">
        <v>71.0</v>
      </c>
      <c r="BC15" s="2">
        <v>83.0</v>
      </c>
      <c r="BD15" s="2" t="s">
        <v>12129</v>
      </c>
      <c r="BE15" s="2" t="s">
        <v>12460</v>
      </c>
      <c r="BF15" s="15" t="str">
        <f>HYPERLINK("http://dx.doi.org/10.1016/j.apgeog.2018.03.006","http://dx.doi.org/10.1016/j.apgeog.2018.03.006")</f>
        <v>http://dx.doi.org/10.1016/j.apgeog.2018.03.006</v>
      </c>
      <c r="BG15" s="2" t="s">
        <v>12129</v>
      </c>
      <c r="BH15" s="2" t="s">
        <v>12129</v>
      </c>
      <c r="BI15" s="2">
        <v>13.0</v>
      </c>
      <c r="BJ15" s="2" t="s">
        <v>950</v>
      </c>
      <c r="BK15" s="2" t="s">
        <v>12461</v>
      </c>
      <c r="BL15" s="2" t="s">
        <v>950</v>
      </c>
      <c r="BM15" s="2" t="s">
        <v>12462</v>
      </c>
      <c r="BN15" s="2" t="s">
        <v>12129</v>
      </c>
      <c r="BO15" s="2" t="s">
        <v>12253</v>
      </c>
      <c r="BP15" s="2" t="s">
        <v>12129</v>
      </c>
      <c r="BQ15" s="2" t="s">
        <v>12129</v>
      </c>
      <c r="BR15" s="2" t="s">
        <v>12152</v>
      </c>
      <c r="BS15" s="2" t="s">
        <v>12463</v>
      </c>
      <c r="BT15" s="2" t="str">
        <f>HYPERLINK("https%3A%2F%2Fwww.webofscience.com%2Fwos%2Fwoscc%2Ffull-record%2FWOS:000432233800006","View Full Record in Web of Science")</f>
        <v>View Full Record in Web of Science</v>
      </c>
    </row>
    <row r="16" ht="12.75" customHeight="1">
      <c r="A16" s="2" t="s">
        <v>23</v>
      </c>
      <c r="B16" s="2" t="s">
        <v>12464</v>
      </c>
      <c r="C16" s="2" t="s">
        <v>12129</v>
      </c>
      <c r="D16" s="2" t="s">
        <v>12129</v>
      </c>
      <c r="E16" s="2" t="s">
        <v>12129</v>
      </c>
      <c r="F16" s="2" t="s">
        <v>12465</v>
      </c>
      <c r="G16" s="2" t="s">
        <v>12129</v>
      </c>
      <c r="H16" s="2" t="s">
        <v>12129</v>
      </c>
      <c r="I16" s="2" t="s">
        <v>12466</v>
      </c>
      <c r="J16" s="2" t="s">
        <v>12467</v>
      </c>
      <c r="K16" s="2" t="s">
        <v>12129</v>
      </c>
      <c r="L16" s="2" t="s">
        <v>12129</v>
      </c>
      <c r="M16" s="2" t="s">
        <v>3263</v>
      </c>
      <c r="N16" s="2" t="s">
        <v>35</v>
      </c>
      <c r="O16" s="2" t="s">
        <v>12129</v>
      </c>
      <c r="P16" s="2" t="s">
        <v>12129</v>
      </c>
      <c r="Q16" s="2" t="s">
        <v>12129</v>
      </c>
      <c r="R16" s="2" t="s">
        <v>12129</v>
      </c>
      <c r="S16" s="2" t="s">
        <v>12129</v>
      </c>
      <c r="T16" s="2" t="s">
        <v>12468</v>
      </c>
      <c r="U16" s="2" t="s">
        <v>12469</v>
      </c>
      <c r="V16" s="2" t="s">
        <v>12470</v>
      </c>
      <c r="W16" s="2" t="s">
        <v>12471</v>
      </c>
      <c r="X16" s="2" t="s">
        <v>12472</v>
      </c>
      <c r="Y16" s="2" t="s">
        <v>12473</v>
      </c>
      <c r="Z16" s="2" t="s">
        <v>12474</v>
      </c>
      <c r="AA16" s="2" t="s">
        <v>12475</v>
      </c>
      <c r="AB16" s="2" t="s">
        <v>12476</v>
      </c>
      <c r="AC16" s="2" t="s">
        <v>12477</v>
      </c>
      <c r="AD16" s="2" t="s">
        <v>12478</v>
      </c>
      <c r="AE16" s="2" t="s">
        <v>12479</v>
      </c>
      <c r="AF16" s="2" t="s">
        <v>12129</v>
      </c>
      <c r="AG16" s="2">
        <v>66.0</v>
      </c>
      <c r="AH16" s="2">
        <v>34.0</v>
      </c>
      <c r="AI16" s="2">
        <v>34.0</v>
      </c>
      <c r="AJ16" s="2">
        <v>1.0</v>
      </c>
      <c r="AK16" s="2">
        <v>45.0</v>
      </c>
      <c r="AL16" s="2" t="s">
        <v>12243</v>
      </c>
      <c r="AM16" s="2" t="s">
        <v>12244</v>
      </c>
      <c r="AN16" s="2" t="s">
        <v>12245</v>
      </c>
      <c r="AO16" s="2" t="s">
        <v>12480</v>
      </c>
      <c r="AP16" s="2" t="s">
        <v>12481</v>
      </c>
      <c r="AQ16" s="2" t="s">
        <v>12129</v>
      </c>
      <c r="AR16" s="2" t="s">
        <v>12482</v>
      </c>
      <c r="AS16" s="2" t="s">
        <v>12483</v>
      </c>
      <c r="AT16" s="2" t="s">
        <v>12459</v>
      </c>
      <c r="AU16" s="2">
        <v>2018.0</v>
      </c>
      <c r="AV16" s="2">
        <v>27.0</v>
      </c>
      <c r="AW16" s="2">
        <v>3.0</v>
      </c>
      <c r="AX16" s="2" t="s">
        <v>12129</v>
      </c>
      <c r="AY16" s="2" t="s">
        <v>12129</v>
      </c>
      <c r="AZ16" s="2" t="s">
        <v>12129</v>
      </c>
      <c r="BA16" s="2" t="s">
        <v>12129</v>
      </c>
      <c r="BB16" s="2">
        <v>212.0</v>
      </c>
      <c r="BC16" s="2">
        <v>221.0</v>
      </c>
      <c r="BD16" s="2" t="s">
        <v>12129</v>
      </c>
      <c r="BE16" s="2" t="s">
        <v>12484</v>
      </c>
      <c r="BF16" s="15" t="str">
        <f>HYPERLINK("http://dx.doi.org/10.1111/fog.12246","http://dx.doi.org/10.1111/fog.12246")</f>
        <v>http://dx.doi.org/10.1111/fog.12246</v>
      </c>
      <c r="BG16" s="2" t="s">
        <v>12129</v>
      </c>
      <c r="BH16" s="2" t="s">
        <v>12129</v>
      </c>
      <c r="BI16" s="2">
        <v>10.0</v>
      </c>
      <c r="BJ16" s="2" t="s">
        <v>12485</v>
      </c>
      <c r="BK16" s="2" t="s">
        <v>12176</v>
      </c>
      <c r="BL16" s="2" t="s">
        <v>12485</v>
      </c>
      <c r="BM16" s="2" t="s">
        <v>12486</v>
      </c>
      <c r="BN16" s="2" t="s">
        <v>12129</v>
      </c>
      <c r="BO16" s="2" t="s">
        <v>12129</v>
      </c>
      <c r="BP16" s="2" t="s">
        <v>12129</v>
      </c>
      <c r="BQ16" s="2" t="s">
        <v>12129</v>
      </c>
      <c r="BR16" s="2" t="s">
        <v>12152</v>
      </c>
      <c r="BS16" s="2" t="s">
        <v>12487</v>
      </c>
      <c r="BT16" s="2" t="str">
        <f>HYPERLINK("https%3A%2F%2Fwww.webofscience.com%2Fwos%2Fwoscc%2Ffull-record%2FWOS:000428400500003","View Full Record in Web of Science")</f>
        <v>View Full Record in Web of Science</v>
      </c>
    </row>
    <row r="17" ht="12.75" customHeight="1">
      <c r="A17" s="2" t="s">
        <v>23</v>
      </c>
      <c r="B17" s="2" t="s">
        <v>12488</v>
      </c>
      <c r="C17" s="2" t="s">
        <v>12129</v>
      </c>
      <c r="D17" s="2" t="s">
        <v>12129</v>
      </c>
      <c r="E17" s="2" t="s">
        <v>12129</v>
      </c>
      <c r="F17" s="2" t="s">
        <v>12489</v>
      </c>
      <c r="G17" s="2" t="s">
        <v>12129</v>
      </c>
      <c r="H17" s="2" t="s">
        <v>12129</v>
      </c>
      <c r="I17" s="2" t="s">
        <v>12490</v>
      </c>
      <c r="J17" s="2" t="s">
        <v>12491</v>
      </c>
      <c r="K17" s="2" t="s">
        <v>12129</v>
      </c>
      <c r="L17" s="2" t="s">
        <v>12129</v>
      </c>
      <c r="M17" s="2" t="s">
        <v>3263</v>
      </c>
      <c r="N17" s="2" t="s">
        <v>27</v>
      </c>
      <c r="O17" s="2" t="s">
        <v>12129</v>
      </c>
      <c r="P17" s="2" t="s">
        <v>12129</v>
      </c>
      <c r="Q17" s="2" t="s">
        <v>12129</v>
      </c>
      <c r="R17" s="2" t="s">
        <v>12129</v>
      </c>
      <c r="S17" s="2" t="s">
        <v>12129</v>
      </c>
      <c r="T17" s="2" t="s">
        <v>12492</v>
      </c>
      <c r="U17" s="2" t="s">
        <v>12493</v>
      </c>
      <c r="V17" s="2" t="s">
        <v>12494</v>
      </c>
      <c r="W17" s="2" t="s">
        <v>12495</v>
      </c>
      <c r="X17" s="2" t="s">
        <v>12496</v>
      </c>
      <c r="Y17" s="2" t="s">
        <v>12497</v>
      </c>
      <c r="Z17" s="2" t="s">
        <v>12498</v>
      </c>
      <c r="AA17" s="2" t="s">
        <v>12499</v>
      </c>
      <c r="AB17" s="2" t="s">
        <v>12500</v>
      </c>
      <c r="AC17" s="2" t="s">
        <v>12501</v>
      </c>
      <c r="AD17" s="2" t="s">
        <v>12502</v>
      </c>
      <c r="AE17" s="2" t="s">
        <v>12503</v>
      </c>
      <c r="AF17" s="2" t="s">
        <v>12129</v>
      </c>
      <c r="AG17" s="2">
        <v>69.0</v>
      </c>
      <c r="AH17" s="2">
        <v>87.0</v>
      </c>
      <c r="AI17" s="2">
        <v>119.0</v>
      </c>
      <c r="AJ17" s="2">
        <v>5.0</v>
      </c>
      <c r="AK17" s="2">
        <v>97.0</v>
      </c>
      <c r="AL17" s="2" t="s">
        <v>12169</v>
      </c>
      <c r="AM17" s="2" t="s">
        <v>12170</v>
      </c>
      <c r="AN17" s="2" t="s">
        <v>12171</v>
      </c>
      <c r="AO17" s="2" t="s">
        <v>12504</v>
      </c>
      <c r="AP17" s="2" t="s">
        <v>12129</v>
      </c>
      <c r="AQ17" s="2" t="s">
        <v>12129</v>
      </c>
      <c r="AR17" s="2" t="s">
        <v>12505</v>
      </c>
      <c r="AS17" s="2" t="s">
        <v>12506</v>
      </c>
      <c r="AT17" s="2" t="s">
        <v>12507</v>
      </c>
      <c r="AU17" s="2">
        <v>2018.0</v>
      </c>
      <c r="AV17" s="2">
        <v>9.0</v>
      </c>
      <c r="AW17" s="2" t="s">
        <v>12129</v>
      </c>
      <c r="AX17" s="2" t="s">
        <v>12129</v>
      </c>
      <c r="AY17" s="2" t="s">
        <v>12129</v>
      </c>
      <c r="AZ17" s="2" t="s">
        <v>12129</v>
      </c>
      <c r="BA17" s="2" t="s">
        <v>12129</v>
      </c>
      <c r="BB17" s="2" t="s">
        <v>12129</v>
      </c>
      <c r="BC17" s="2" t="s">
        <v>12129</v>
      </c>
      <c r="BD17" s="2">
        <v>14.0</v>
      </c>
      <c r="BE17" s="2" t="s">
        <v>12508</v>
      </c>
      <c r="BF17" s="15" t="str">
        <f>HYPERLINK("http://dx.doi.org/10.1186/s40657-018-0106-9","http://dx.doi.org/10.1186/s40657-018-0106-9")</f>
        <v>http://dx.doi.org/10.1186/s40657-018-0106-9</v>
      </c>
      <c r="BG17" s="2" t="s">
        <v>12129</v>
      </c>
      <c r="BH17" s="2" t="s">
        <v>12129</v>
      </c>
      <c r="BI17" s="2">
        <v>13.0</v>
      </c>
      <c r="BJ17" s="2" t="s">
        <v>270</v>
      </c>
      <c r="BK17" s="2" t="s">
        <v>12176</v>
      </c>
      <c r="BL17" s="2" t="s">
        <v>12509</v>
      </c>
      <c r="BM17" s="2" t="s">
        <v>12510</v>
      </c>
      <c r="BN17" s="2" t="s">
        <v>12129</v>
      </c>
      <c r="BO17" s="2" t="s">
        <v>12399</v>
      </c>
      <c r="BP17" s="2" t="s">
        <v>12129</v>
      </c>
      <c r="BQ17" s="2" t="s">
        <v>12129</v>
      </c>
      <c r="BR17" s="2" t="s">
        <v>12152</v>
      </c>
      <c r="BS17" s="2" t="s">
        <v>12511</v>
      </c>
      <c r="BT17" s="2" t="str">
        <f>HYPERLINK("https%3A%2F%2Fwww.webofscience.com%2Fwos%2Fwoscc%2Ffull-record%2FWOS:000431108200001","View Full Record in Web of Science")</f>
        <v>View Full Record in Web of Science</v>
      </c>
    </row>
    <row r="18" ht="12.75" customHeight="1">
      <c r="A18" s="2" t="s">
        <v>23</v>
      </c>
      <c r="B18" s="2" t="s">
        <v>12512</v>
      </c>
      <c r="C18" s="2" t="s">
        <v>12129</v>
      </c>
      <c r="D18" s="2" t="s">
        <v>12129</v>
      </c>
      <c r="E18" s="2" t="s">
        <v>12129</v>
      </c>
      <c r="F18" s="2" t="s">
        <v>12513</v>
      </c>
      <c r="G18" s="2" t="s">
        <v>12129</v>
      </c>
      <c r="H18" s="2" t="s">
        <v>12129</v>
      </c>
      <c r="I18" s="2" t="s">
        <v>12514</v>
      </c>
      <c r="J18" s="2" t="s">
        <v>12515</v>
      </c>
      <c r="K18" s="2" t="s">
        <v>12129</v>
      </c>
      <c r="L18" s="2" t="s">
        <v>12129</v>
      </c>
      <c r="M18" s="2" t="s">
        <v>3263</v>
      </c>
      <c r="N18" s="2" t="s">
        <v>35</v>
      </c>
      <c r="O18" s="2" t="s">
        <v>12129</v>
      </c>
      <c r="P18" s="2" t="s">
        <v>12129</v>
      </c>
      <c r="Q18" s="2" t="s">
        <v>12129</v>
      </c>
      <c r="R18" s="2" t="s">
        <v>12129</v>
      </c>
      <c r="S18" s="2" t="s">
        <v>12129</v>
      </c>
      <c r="T18" s="2" t="s">
        <v>12516</v>
      </c>
      <c r="U18" s="2" t="s">
        <v>12517</v>
      </c>
      <c r="V18" s="2" t="s">
        <v>12518</v>
      </c>
      <c r="W18" s="2" t="s">
        <v>12519</v>
      </c>
      <c r="X18" s="2" t="s">
        <v>12520</v>
      </c>
      <c r="Y18" s="2" t="s">
        <v>12521</v>
      </c>
      <c r="Z18" s="2" t="s">
        <v>12522</v>
      </c>
      <c r="AA18" s="2" t="s">
        <v>12523</v>
      </c>
      <c r="AB18" s="2" t="s">
        <v>12129</v>
      </c>
      <c r="AC18" s="2" t="s">
        <v>12524</v>
      </c>
      <c r="AD18" s="2" t="s">
        <v>12525</v>
      </c>
      <c r="AE18" s="2" t="s">
        <v>12526</v>
      </c>
      <c r="AF18" s="2" t="s">
        <v>12129</v>
      </c>
      <c r="AG18" s="2">
        <v>33.0</v>
      </c>
      <c r="AH18" s="2">
        <v>6.0</v>
      </c>
      <c r="AI18" s="2">
        <v>7.0</v>
      </c>
      <c r="AJ18" s="2">
        <v>1.0</v>
      </c>
      <c r="AK18" s="2">
        <v>28.0</v>
      </c>
      <c r="AL18" s="2" t="s">
        <v>12527</v>
      </c>
      <c r="AM18" s="2" t="s">
        <v>12528</v>
      </c>
      <c r="AN18" s="2" t="s">
        <v>12529</v>
      </c>
      <c r="AO18" s="2" t="s">
        <v>12530</v>
      </c>
      <c r="AP18" s="2" t="s">
        <v>12129</v>
      </c>
      <c r="AQ18" s="2" t="s">
        <v>12129</v>
      </c>
      <c r="AR18" s="2" t="s">
        <v>12531</v>
      </c>
      <c r="AS18" s="2" t="s">
        <v>12532</v>
      </c>
      <c r="AT18" s="2" t="s">
        <v>12533</v>
      </c>
      <c r="AU18" s="2">
        <v>2018.0</v>
      </c>
      <c r="AV18" s="2">
        <v>11.0</v>
      </c>
      <c r="AW18" s="2" t="s">
        <v>12129</v>
      </c>
      <c r="AX18" s="2" t="s">
        <v>12129</v>
      </c>
      <c r="AY18" s="2" t="s">
        <v>12129</v>
      </c>
      <c r="AZ18" s="2" t="s">
        <v>12129</v>
      </c>
      <c r="BA18" s="2" t="s">
        <v>12129</v>
      </c>
      <c r="BB18" s="2" t="s">
        <v>12129</v>
      </c>
      <c r="BC18" s="2" t="s">
        <v>12129</v>
      </c>
      <c r="BD18" s="2" t="s">
        <v>12129</v>
      </c>
      <c r="BE18" s="2" t="s">
        <v>12534</v>
      </c>
      <c r="BF18" s="15" t="str">
        <f>HYPERLINK("http://dx.doi.org/10.1177/1940082918769460","http://dx.doi.org/10.1177/1940082918769460")</f>
        <v>http://dx.doi.org/10.1177/1940082918769460</v>
      </c>
      <c r="BG18" s="2" t="s">
        <v>12129</v>
      </c>
      <c r="BH18" s="2" t="s">
        <v>12129</v>
      </c>
      <c r="BI18" s="2">
        <v>8.0</v>
      </c>
      <c r="BJ18" s="2" t="s">
        <v>12535</v>
      </c>
      <c r="BK18" s="2" t="s">
        <v>12176</v>
      </c>
      <c r="BL18" s="2" t="s">
        <v>12536</v>
      </c>
      <c r="BM18" s="2" t="s">
        <v>12537</v>
      </c>
      <c r="BN18" s="2" t="s">
        <v>12129</v>
      </c>
      <c r="BO18" s="2" t="s">
        <v>12538</v>
      </c>
      <c r="BP18" s="2" t="s">
        <v>12129</v>
      </c>
      <c r="BQ18" s="2" t="s">
        <v>12129</v>
      </c>
      <c r="BR18" s="2" t="s">
        <v>12152</v>
      </c>
      <c r="BS18" s="2" t="s">
        <v>12539</v>
      </c>
      <c r="BT18" s="2" t="str">
        <f>HYPERLINK("https%3A%2F%2Fwww.webofscience.com%2Fwos%2Fwoscc%2Ffull-record%2FWOS:000437507600001","View Full Record in Web of Science")</f>
        <v>View Full Record in Web of Science</v>
      </c>
    </row>
    <row r="19" ht="12.75" customHeight="1">
      <c r="A19" s="2" t="s">
        <v>23</v>
      </c>
      <c r="B19" s="2" t="s">
        <v>12540</v>
      </c>
      <c r="C19" s="2" t="s">
        <v>12129</v>
      </c>
      <c r="D19" s="2" t="s">
        <v>12129</v>
      </c>
      <c r="E19" s="2" t="s">
        <v>12129</v>
      </c>
      <c r="F19" s="2" t="s">
        <v>12541</v>
      </c>
      <c r="G19" s="2" t="s">
        <v>12129</v>
      </c>
      <c r="H19" s="2" t="s">
        <v>12129</v>
      </c>
      <c r="I19" s="2" t="s">
        <v>12542</v>
      </c>
      <c r="J19" s="2" t="s">
        <v>12543</v>
      </c>
      <c r="K19" s="2" t="s">
        <v>12129</v>
      </c>
      <c r="L19" s="2" t="s">
        <v>12129</v>
      </c>
      <c r="M19" s="2" t="s">
        <v>3263</v>
      </c>
      <c r="N19" s="2" t="s">
        <v>35</v>
      </c>
      <c r="O19" s="2" t="s">
        <v>12129</v>
      </c>
      <c r="P19" s="2" t="s">
        <v>12129</v>
      </c>
      <c r="Q19" s="2" t="s">
        <v>12129</v>
      </c>
      <c r="R19" s="2" t="s">
        <v>12129</v>
      </c>
      <c r="S19" s="2" t="s">
        <v>12129</v>
      </c>
      <c r="T19" s="2" t="s">
        <v>12129</v>
      </c>
      <c r="U19" s="2" t="s">
        <v>12544</v>
      </c>
      <c r="V19" s="2" t="s">
        <v>12545</v>
      </c>
      <c r="W19" s="2" t="s">
        <v>12546</v>
      </c>
      <c r="X19" s="2" t="s">
        <v>12547</v>
      </c>
      <c r="Y19" s="2" t="s">
        <v>12548</v>
      </c>
      <c r="Z19" s="2" t="s">
        <v>12549</v>
      </c>
      <c r="AA19" s="2" t="s">
        <v>12550</v>
      </c>
      <c r="AB19" s="2" t="s">
        <v>12551</v>
      </c>
      <c r="AC19" s="2" t="s">
        <v>12552</v>
      </c>
      <c r="AD19" s="2" t="s">
        <v>12552</v>
      </c>
      <c r="AE19" s="2" t="s">
        <v>12553</v>
      </c>
      <c r="AF19" s="2" t="s">
        <v>12129</v>
      </c>
      <c r="AG19" s="2">
        <v>65.0</v>
      </c>
      <c r="AH19" s="2">
        <v>29.0</v>
      </c>
      <c r="AI19" s="2">
        <v>34.0</v>
      </c>
      <c r="AJ19" s="2">
        <v>0.0</v>
      </c>
      <c r="AK19" s="2">
        <v>96.0</v>
      </c>
      <c r="AL19" s="2" t="s">
        <v>12554</v>
      </c>
      <c r="AM19" s="2" t="s">
        <v>12555</v>
      </c>
      <c r="AN19" s="2" t="s">
        <v>12556</v>
      </c>
      <c r="AO19" s="2" t="s">
        <v>12557</v>
      </c>
      <c r="AP19" s="2" t="s">
        <v>12558</v>
      </c>
      <c r="AQ19" s="2" t="s">
        <v>12129</v>
      </c>
      <c r="AR19" s="2" t="s">
        <v>12559</v>
      </c>
      <c r="AS19" s="2" t="s">
        <v>12560</v>
      </c>
      <c r="AT19" s="2" t="s">
        <v>12561</v>
      </c>
      <c r="AU19" s="2">
        <v>2018.0</v>
      </c>
      <c r="AV19" s="2">
        <v>94.0</v>
      </c>
      <c r="AW19" s="2">
        <v>2.0</v>
      </c>
      <c r="AX19" s="2" t="s">
        <v>12129</v>
      </c>
      <c r="AY19" s="2" t="s">
        <v>12129</v>
      </c>
      <c r="AZ19" s="2" t="s">
        <v>12129</v>
      </c>
      <c r="BA19" s="2" t="s">
        <v>12129</v>
      </c>
      <c r="BB19" s="2">
        <v>213.0</v>
      </c>
      <c r="BC19" s="2">
        <v>228.0</v>
      </c>
      <c r="BD19" s="2" t="s">
        <v>12129</v>
      </c>
      <c r="BE19" s="2" t="s">
        <v>12562</v>
      </c>
      <c r="BF19" s="15" t="str">
        <f>HYPERLINK("http://dx.doi.org/10.5343/bms.2017.1061","http://dx.doi.org/10.5343/bms.2017.1061")</f>
        <v>http://dx.doi.org/10.5343/bms.2017.1061</v>
      </c>
      <c r="BG19" s="2" t="s">
        <v>12129</v>
      </c>
      <c r="BH19" s="2" t="s">
        <v>12129</v>
      </c>
      <c r="BI19" s="2">
        <v>16.0</v>
      </c>
      <c r="BJ19" s="2" t="s">
        <v>228</v>
      </c>
      <c r="BK19" s="2" t="s">
        <v>12176</v>
      </c>
      <c r="BL19" s="2" t="s">
        <v>228</v>
      </c>
      <c r="BM19" s="2" t="s">
        <v>12563</v>
      </c>
      <c r="BN19" s="2" t="s">
        <v>12129</v>
      </c>
      <c r="BO19" s="2" t="s">
        <v>12564</v>
      </c>
      <c r="BP19" s="2" t="s">
        <v>12129</v>
      </c>
      <c r="BQ19" s="2" t="s">
        <v>12129</v>
      </c>
      <c r="BR19" s="2" t="s">
        <v>12152</v>
      </c>
      <c r="BS19" s="2" t="s">
        <v>12565</v>
      </c>
      <c r="BT19" s="2" t="str">
        <f>HYPERLINK("https%3A%2F%2Fwww.webofscience.com%2Fwos%2Fwoscc%2Ffull-record%2FWOS:000439017000005","View Full Record in Web of Science")</f>
        <v>View Full Record in Web of Science</v>
      </c>
    </row>
    <row r="20" ht="12.75" customHeight="1">
      <c r="A20" s="2" t="s">
        <v>23</v>
      </c>
      <c r="B20" s="2" t="s">
        <v>12566</v>
      </c>
      <c r="C20" s="2" t="s">
        <v>12129</v>
      </c>
      <c r="D20" s="2" t="s">
        <v>12129</v>
      </c>
      <c r="E20" s="2" t="s">
        <v>12129</v>
      </c>
      <c r="F20" s="2" t="s">
        <v>12567</v>
      </c>
      <c r="G20" s="2" t="s">
        <v>12129</v>
      </c>
      <c r="H20" s="2" t="s">
        <v>12129</v>
      </c>
      <c r="I20" s="2" t="s">
        <v>12568</v>
      </c>
      <c r="J20" s="2" t="s">
        <v>12569</v>
      </c>
      <c r="K20" s="2" t="s">
        <v>12129</v>
      </c>
      <c r="L20" s="2" t="s">
        <v>12129</v>
      </c>
      <c r="M20" s="2" t="s">
        <v>3263</v>
      </c>
      <c r="N20" s="2" t="s">
        <v>35</v>
      </c>
      <c r="O20" s="2" t="s">
        <v>12129</v>
      </c>
      <c r="P20" s="2" t="s">
        <v>12129</v>
      </c>
      <c r="Q20" s="2" t="s">
        <v>12129</v>
      </c>
      <c r="R20" s="2" t="s">
        <v>12129</v>
      </c>
      <c r="S20" s="2" t="s">
        <v>12129</v>
      </c>
      <c r="T20" s="2" t="s">
        <v>12570</v>
      </c>
      <c r="U20" s="2" t="s">
        <v>12571</v>
      </c>
      <c r="V20" s="2" t="s">
        <v>12572</v>
      </c>
      <c r="W20" s="2" t="s">
        <v>12573</v>
      </c>
      <c r="X20" s="2" t="s">
        <v>12574</v>
      </c>
      <c r="Y20" s="2" t="s">
        <v>12575</v>
      </c>
      <c r="Z20" s="2" t="s">
        <v>12576</v>
      </c>
      <c r="AA20" s="2" t="s">
        <v>12577</v>
      </c>
      <c r="AB20" s="2" t="s">
        <v>12578</v>
      </c>
      <c r="AC20" s="2" t="s">
        <v>12579</v>
      </c>
      <c r="AD20" s="2" t="s">
        <v>12580</v>
      </c>
      <c r="AE20" s="2" t="s">
        <v>12581</v>
      </c>
      <c r="AF20" s="2" t="s">
        <v>12129</v>
      </c>
      <c r="AG20" s="2">
        <v>86.0</v>
      </c>
      <c r="AH20" s="2">
        <v>28.0</v>
      </c>
      <c r="AI20" s="2">
        <v>42.0</v>
      </c>
      <c r="AJ20" s="2">
        <v>0.0</v>
      </c>
      <c r="AK20" s="2">
        <v>180.0</v>
      </c>
      <c r="AL20" s="2" t="s">
        <v>12243</v>
      </c>
      <c r="AM20" s="2" t="s">
        <v>12244</v>
      </c>
      <c r="AN20" s="2" t="s">
        <v>12245</v>
      </c>
      <c r="AO20" s="2" t="s">
        <v>12582</v>
      </c>
      <c r="AP20" s="2" t="s">
        <v>12583</v>
      </c>
      <c r="AQ20" s="2" t="s">
        <v>12129</v>
      </c>
      <c r="AR20" s="2" t="s">
        <v>12584</v>
      </c>
      <c r="AS20" s="2" t="s">
        <v>12585</v>
      </c>
      <c r="AT20" s="2" t="s">
        <v>12561</v>
      </c>
      <c r="AU20" s="2">
        <v>2018.0</v>
      </c>
      <c r="AV20" s="2">
        <v>24.0</v>
      </c>
      <c r="AW20" s="2">
        <v>4.0</v>
      </c>
      <c r="AX20" s="2" t="s">
        <v>12129</v>
      </c>
      <c r="AY20" s="2" t="s">
        <v>12129</v>
      </c>
      <c r="AZ20" s="2" t="s">
        <v>12129</v>
      </c>
      <c r="BA20" s="2" t="s">
        <v>12129</v>
      </c>
      <c r="BB20" s="2">
        <v>497.0</v>
      </c>
      <c r="BC20" s="2">
        <v>508.0</v>
      </c>
      <c r="BD20" s="2" t="s">
        <v>12129</v>
      </c>
      <c r="BE20" s="2" t="s">
        <v>12586</v>
      </c>
      <c r="BF20" s="15" t="str">
        <f>HYPERLINK("http://dx.doi.org/10.1111/ddi.12693","http://dx.doi.org/10.1111/ddi.12693")</f>
        <v>http://dx.doi.org/10.1111/ddi.12693</v>
      </c>
      <c r="BG20" s="2" t="s">
        <v>12129</v>
      </c>
      <c r="BH20" s="2" t="s">
        <v>12129</v>
      </c>
      <c r="BI20" s="2">
        <v>12.0</v>
      </c>
      <c r="BJ20" s="2" t="s">
        <v>1121</v>
      </c>
      <c r="BK20" s="2" t="s">
        <v>12176</v>
      </c>
      <c r="BL20" s="2" t="s">
        <v>12376</v>
      </c>
      <c r="BM20" s="2" t="s">
        <v>12587</v>
      </c>
      <c r="BN20" s="2" t="s">
        <v>12129</v>
      </c>
      <c r="BO20" s="2" t="s">
        <v>12564</v>
      </c>
      <c r="BP20" s="2" t="s">
        <v>12129</v>
      </c>
      <c r="BQ20" s="2" t="s">
        <v>12129</v>
      </c>
      <c r="BR20" s="2" t="s">
        <v>12152</v>
      </c>
      <c r="BS20" s="2" t="s">
        <v>12588</v>
      </c>
      <c r="BT20" s="2" t="str">
        <f>HYPERLINK("https%3A%2F%2Fwww.webofscience.com%2Fwos%2Fwoscc%2Ffull-record%2FWOS:000427246300007","View Full Record in Web of Science")</f>
        <v>View Full Record in Web of Science</v>
      </c>
    </row>
    <row r="21" ht="12.75" customHeight="1">
      <c r="A21" s="2" t="s">
        <v>23</v>
      </c>
      <c r="B21" s="2" t="s">
        <v>12589</v>
      </c>
      <c r="C21" s="2" t="s">
        <v>12129</v>
      </c>
      <c r="D21" s="2" t="s">
        <v>12129</v>
      </c>
      <c r="E21" s="2" t="s">
        <v>12129</v>
      </c>
      <c r="F21" s="2" t="s">
        <v>12590</v>
      </c>
      <c r="G21" s="2" t="s">
        <v>12129</v>
      </c>
      <c r="H21" s="2" t="s">
        <v>12129</v>
      </c>
      <c r="I21" s="2" t="s">
        <v>12591</v>
      </c>
      <c r="J21" s="2" t="s">
        <v>12592</v>
      </c>
      <c r="K21" s="2" t="s">
        <v>12129</v>
      </c>
      <c r="L21" s="2" t="s">
        <v>12129</v>
      </c>
      <c r="M21" s="2" t="s">
        <v>3263</v>
      </c>
      <c r="N21" s="2" t="s">
        <v>35</v>
      </c>
      <c r="O21" s="2" t="s">
        <v>12129</v>
      </c>
      <c r="P21" s="2" t="s">
        <v>12129</v>
      </c>
      <c r="Q21" s="2" t="s">
        <v>12129</v>
      </c>
      <c r="R21" s="2" t="s">
        <v>12129</v>
      </c>
      <c r="S21" s="2" t="s">
        <v>12129</v>
      </c>
      <c r="T21" s="2" t="s">
        <v>12593</v>
      </c>
      <c r="U21" s="2" t="s">
        <v>12594</v>
      </c>
      <c r="V21" s="2" t="s">
        <v>12595</v>
      </c>
      <c r="W21" s="2" t="s">
        <v>12596</v>
      </c>
      <c r="X21" s="2" t="s">
        <v>12597</v>
      </c>
      <c r="Y21" s="2" t="s">
        <v>12598</v>
      </c>
      <c r="Z21" s="2" t="s">
        <v>12599</v>
      </c>
      <c r="AA21" s="2" t="s">
        <v>12600</v>
      </c>
      <c r="AB21" s="2" t="s">
        <v>12601</v>
      </c>
      <c r="AC21" s="2" t="s">
        <v>12602</v>
      </c>
      <c r="AD21" s="2" t="s">
        <v>12603</v>
      </c>
      <c r="AE21" s="2" t="s">
        <v>12604</v>
      </c>
      <c r="AF21" s="2" t="s">
        <v>12129</v>
      </c>
      <c r="AG21" s="2">
        <v>64.0</v>
      </c>
      <c r="AH21" s="2">
        <v>17.0</v>
      </c>
      <c r="AI21" s="2">
        <v>20.0</v>
      </c>
      <c r="AJ21" s="2">
        <v>1.0</v>
      </c>
      <c r="AK21" s="2">
        <v>55.0</v>
      </c>
      <c r="AL21" s="2" t="s">
        <v>12605</v>
      </c>
      <c r="AM21" s="2" t="s">
        <v>12606</v>
      </c>
      <c r="AN21" s="2" t="s">
        <v>12607</v>
      </c>
      <c r="AO21" s="2" t="s">
        <v>12608</v>
      </c>
      <c r="AP21" s="2" t="s">
        <v>12609</v>
      </c>
      <c r="AQ21" s="2" t="s">
        <v>12129</v>
      </c>
      <c r="AR21" s="2" t="s">
        <v>12610</v>
      </c>
      <c r="AS21" s="2" t="s">
        <v>12611</v>
      </c>
      <c r="AT21" s="2" t="s">
        <v>12612</v>
      </c>
      <c r="AU21" s="2">
        <v>2018.0</v>
      </c>
      <c r="AV21" s="2">
        <v>590.0</v>
      </c>
      <c r="AW21" s="2" t="s">
        <v>12129</v>
      </c>
      <c r="AX21" s="2" t="s">
        <v>12129</v>
      </c>
      <c r="AY21" s="2" t="s">
        <v>12129</v>
      </c>
      <c r="AZ21" s="2" t="s">
        <v>12129</v>
      </c>
      <c r="BA21" s="2" t="s">
        <v>12129</v>
      </c>
      <c r="BB21" s="2">
        <v>201.0</v>
      </c>
      <c r="BC21" s="2">
        <v>209.0</v>
      </c>
      <c r="BD21" s="2" t="s">
        <v>12129</v>
      </c>
      <c r="BE21" s="2" t="s">
        <v>12613</v>
      </c>
      <c r="BF21" s="15" t="str">
        <f>HYPERLINK("http://dx.doi.org/10.3354/meps12462","http://dx.doi.org/10.3354/meps12462")</f>
        <v>http://dx.doi.org/10.3354/meps12462</v>
      </c>
      <c r="BG21" s="2" t="s">
        <v>12129</v>
      </c>
      <c r="BH21" s="2" t="s">
        <v>12129</v>
      </c>
      <c r="BI21" s="2">
        <v>9.0</v>
      </c>
      <c r="BJ21" s="2" t="s">
        <v>12222</v>
      </c>
      <c r="BK21" s="2" t="s">
        <v>12176</v>
      </c>
      <c r="BL21" s="2" t="s">
        <v>12224</v>
      </c>
      <c r="BM21" s="2" t="s">
        <v>12614</v>
      </c>
      <c r="BN21" s="2" t="s">
        <v>12129</v>
      </c>
      <c r="BO21" s="2" t="s">
        <v>12129</v>
      </c>
      <c r="BP21" s="2" t="s">
        <v>12129</v>
      </c>
      <c r="BQ21" s="2" t="s">
        <v>12129</v>
      </c>
      <c r="BR21" s="2" t="s">
        <v>12152</v>
      </c>
      <c r="BS21" s="2" t="s">
        <v>12615</v>
      </c>
      <c r="BT21" s="2" t="str">
        <f>HYPERLINK("https%3A%2F%2Fwww.webofscience.com%2Fwos%2Fwoscc%2Ffull-record%2FWOS:000428817200014","View Full Record in Web of Science")</f>
        <v>View Full Record in Web of Science</v>
      </c>
    </row>
    <row r="22" ht="12.75" customHeight="1">
      <c r="A22" s="2" t="s">
        <v>23</v>
      </c>
      <c r="B22" s="2" t="s">
        <v>12616</v>
      </c>
      <c r="C22" s="2" t="s">
        <v>12129</v>
      </c>
      <c r="D22" s="2" t="s">
        <v>12129</v>
      </c>
      <c r="E22" s="2" t="s">
        <v>12129</v>
      </c>
      <c r="F22" s="2" t="s">
        <v>12617</v>
      </c>
      <c r="G22" s="2" t="s">
        <v>12129</v>
      </c>
      <c r="H22" s="2" t="s">
        <v>12129</v>
      </c>
      <c r="I22" s="2" t="s">
        <v>12618</v>
      </c>
      <c r="J22" s="2" t="s">
        <v>34</v>
      </c>
      <c r="K22" s="2" t="s">
        <v>12129</v>
      </c>
      <c r="L22" s="2" t="s">
        <v>12129</v>
      </c>
      <c r="M22" s="2" t="s">
        <v>3263</v>
      </c>
      <c r="N22" s="2" t="s">
        <v>35</v>
      </c>
      <c r="O22" s="2" t="s">
        <v>12129</v>
      </c>
      <c r="P22" s="2" t="s">
        <v>12129</v>
      </c>
      <c r="Q22" s="2" t="s">
        <v>12129</v>
      </c>
      <c r="R22" s="2" t="s">
        <v>12129</v>
      </c>
      <c r="S22" s="2" t="s">
        <v>12129</v>
      </c>
      <c r="T22" s="2" t="s">
        <v>12619</v>
      </c>
      <c r="U22" s="2" t="s">
        <v>12620</v>
      </c>
      <c r="V22" s="2" t="s">
        <v>12621</v>
      </c>
      <c r="W22" s="2" t="s">
        <v>12622</v>
      </c>
      <c r="X22" s="2" t="s">
        <v>12623</v>
      </c>
      <c r="Y22" s="2" t="s">
        <v>12624</v>
      </c>
      <c r="Z22" s="2" t="s">
        <v>12625</v>
      </c>
      <c r="AA22" s="2" t="s">
        <v>12626</v>
      </c>
      <c r="AB22" s="2" t="s">
        <v>12627</v>
      </c>
      <c r="AC22" s="2" t="s">
        <v>12628</v>
      </c>
      <c r="AD22" s="2" t="s">
        <v>12629</v>
      </c>
      <c r="AE22" s="2" t="s">
        <v>12630</v>
      </c>
      <c r="AF22" s="2" t="s">
        <v>12129</v>
      </c>
      <c r="AG22" s="2">
        <v>45.0</v>
      </c>
      <c r="AH22" s="2">
        <v>162.0</v>
      </c>
      <c r="AI22" s="2">
        <v>183.0</v>
      </c>
      <c r="AJ22" s="2">
        <v>4.0</v>
      </c>
      <c r="AK22" s="2">
        <v>141.0</v>
      </c>
      <c r="AL22" s="2" t="s">
        <v>12631</v>
      </c>
      <c r="AM22" s="2" t="s">
        <v>12632</v>
      </c>
      <c r="AN22" s="2" t="s">
        <v>12633</v>
      </c>
      <c r="AO22" s="2" t="s">
        <v>1689</v>
      </c>
      <c r="AP22" s="2" t="s">
        <v>3248</v>
      </c>
      <c r="AQ22" s="2" t="s">
        <v>12129</v>
      </c>
      <c r="AR22" s="2" t="s">
        <v>12634</v>
      </c>
      <c r="AS22" s="2" t="s">
        <v>12635</v>
      </c>
      <c r="AT22" s="2" t="s">
        <v>12636</v>
      </c>
      <c r="AU22" s="2">
        <v>2018.0</v>
      </c>
      <c r="AV22" s="2">
        <v>115.0</v>
      </c>
      <c r="AW22" s="2">
        <v>8.0</v>
      </c>
      <c r="AX22" s="2" t="s">
        <v>12129</v>
      </c>
      <c r="AY22" s="2" t="s">
        <v>12129</v>
      </c>
      <c r="AZ22" s="2" t="s">
        <v>12129</v>
      </c>
      <c r="BA22" s="2" t="s">
        <v>12129</v>
      </c>
      <c r="BB22" s="2">
        <v>1831.0</v>
      </c>
      <c r="BC22" s="2">
        <v>1836.0</v>
      </c>
      <c r="BD22" s="2" t="s">
        <v>12129</v>
      </c>
      <c r="BE22" s="2" t="s">
        <v>12637</v>
      </c>
      <c r="BF22" s="15" t="str">
        <f>HYPERLINK("http://dx.doi.org/10.1073/pnas.1711122115","http://dx.doi.org/10.1073/pnas.1711122115")</f>
        <v>http://dx.doi.org/10.1073/pnas.1711122115</v>
      </c>
      <c r="BG22" s="2" t="s">
        <v>12129</v>
      </c>
      <c r="BH22" s="2" t="s">
        <v>12129</v>
      </c>
      <c r="BI22" s="2">
        <v>6.0</v>
      </c>
      <c r="BJ22" s="2" t="s">
        <v>39</v>
      </c>
      <c r="BK22" s="2" t="s">
        <v>12176</v>
      </c>
      <c r="BL22" s="2" t="s">
        <v>12202</v>
      </c>
      <c r="BM22" s="2" t="s">
        <v>12638</v>
      </c>
      <c r="BN22" s="2">
        <v>2.9358389E7</v>
      </c>
      <c r="BO22" s="2" t="s">
        <v>12538</v>
      </c>
      <c r="BP22" s="2" t="s">
        <v>12129</v>
      </c>
      <c r="BQ22" s="2" t="s">
        <v>12129</v>
      </c>
      <c r="BR22" s="2" t="s">
        <v>12152</v>
      </c>
      <c r="BS22" s="2" t="s">
        <v>12639</v>
      </c>
      <c r="BT22" s="2" t="str">
        <f>HYPERLINK("https%3A%2F%2Fwww.webofscience.com%2Fwos%2Fwoscc%2Ffull-record%2FWOS:000425495000061","View Full Record in Web of Science")</f>
        <v>View Full Record in Web of Science</v>
      </c>
    </row>
    <row r="23" ht="12.75" customHeight="1">
      <c r="A23" s="2" t="s">
        <v>23</v>
      </c>
      <c r="B23" s="2" t="s">
        <v>12640</v>
      </c>
      <c r="C23" s="2" t="s">
        <v>12129</v>
      </c>
      <c r="D23" s="2" t="s">
        <v>12129</v>
      </c>
      <c r="E23" s="2" t="s">
        <v>12129</v>
      </c>
      <c r="F23" s="2" t="s">
        <v>12641</v>
      </c>
      <c r="G23" s="2" t="s">
        <v>12129</v>
      </c>
      <c r="H23" s="2" t="s">
        <v>12129</v>
      </c>
      <c r="I23" s="2" t="s">
        <v>12642</v>
      </c>
      <c r="J23" s="2" t="s">
        <v>12643</v>
      </c>
      <c r="K23" s="2" t="s">
        <v>12129</v>
      </c>
      <c r="L23" s="2" t="s">
        <v>12129</v>
      </c>
      <c r="M23" s="2" t="s">
        <v>3263</v>
      </c>
      <c r="N23" s="2" t="s">
        <v>35</v>
      </c>
      <c r="O23" s="2" t="s">
        <v>12129</v>
      </c>
      <c r="P23" s="2" t="s">
        <v>12129</v>
      </c>
      <c r="Q23" s="2" t="s">
        <v>12129</v>
      </c>
      <c r="R23" s="2" t="s">
        <v>12129</v>
      </c>
      <c r="S23" s="2" t="s">
        <v>12129</v>
      </c>
      <c r="T23" s="2" t="s">
        <v>12644</v>
      </c>
      <c r="U23" s="2" t="s">
        <v>12645</v>
      </c>
      <c r="V23" s="2" t="s">
        <v>12646</v>
      </c>
      <c r="W23" s="2" t="s">
        <v>12647</v>
      </c>
      <c r="X23" s="2" t="s">
        <v>12648</v>
      </c>
      <c r="Y23" s="2" t="s">
        <v>12649</v>
      </c>
      <c r="Z23" s="2" t="s">
        <v>12650</v>
      </c>
      <c r="AA23" s="2" t="s">
        <v>12651</v>
      </c>
      <c r="AB23" s="2" t="s">
        <v>12652</v>
      </c>
      <c r="AC23" s="2" t="s">
        <v>12653</v>
      </c>
      <c r="AD23" s="2" t="s">
        <v>12654</v>
      </c>
      <c r="AE23" s="2" t="s">
        <v>12655</v>
      </c>
      <c r="AF23" s="2" t="s">
        <v>12129</v>
      </c>
      <c r="AG23" s="2">
        <v>76.0</v>
      </c>
      <c r="AH23" s="2">
        <v>11.0</v>
      </c>
      <c r="AI23" s="2">
        <v>11.0</v>
      </c>
      <c r="AJ23" s="2">
        <v>0.0</v>
      </c>
      <c r="AK23" s="2">
        <v>16.0</v>
      </c>
      <c r="AL23" s="2" t="s">
        <v>12243</v>
      </c>
      <c r="AM23" s="2" t="s">
        <v>12244</v>
      </c>
      <c r="AN23" s="2" t="s">
        <v>12245</v>
      </c>
      <c r="AO23" s="2" t="s">
        <v>12656</v>
      </c>
      <c r="AP23" s="2" t="s">
        <v>12657</v>
      </c>
      <c r="AQ23" s="2" t="s">
        <v>12129</v>
      </c>
      <c r="AR23" s="2" t="s">
        <v>12658</v>
      </c>
      <c r="AS23" s="2" t="s">
        <v>12659</v>
      </c>
      <c r="AT23" s="2" t="s">
        <v>12660</v>
      </c>
      <c r="AU23" s="2">
        <v>2018.0</v>
      </c>
      <c r="AV23" s="2">
        <v>28.0</v>
      </c>
      <c r="AW23" s="2">
        <v>1.0</v>
      </c>
      <c r="AX23" s="2" t="s">
        <v>12129</v>
      </c>
      <c r="AY23" s="2" t="s">
        <v>12129</v>
      </c>
      <c r="AZ23" s="2" t="s">
        <v>12129</v>
      </c>
      <c r="BA23" s="2" t="s">
        <v>12129</v>
      </c>
      <c r="BB23" s="2">
        <v>55.0</v>
      </c>
      <c r="BC23" s="2">
        <v>67.0</v>
      </c>
      <c r="BD23" s="2" t="s">
        <v>12129</v>
      </c>
      <c r="BE23" s="2" t="s">
        <v>12661</v>
      </c>
      <c r="BF23" s="15" t="str">
        <f>HYPERLINK("http://dx.doi.org/10.1002/aqc.2850","http://dx.doi.org/10.1002/aqc.2850")</f>
        <v>http://dx.doi.org/10.1002/aqc.2850</v>
      </c>
      <c r="BG23" s="2" t="s">
        <v>12129</v>
      </c>
      <c r="BH23" s="2" t="s">
        <v>12129</v>
      </c>
      <c r="BI23" s="2">
        <v>13.0</v>
      </c>
      <c r="BJ23" s="2" t="s">
        <v>12662</v>
      </c>
      <c r="BK23" s="2" t="s">
        <v>12176</v>
      </c>
      <c r="BL23" s="2" t="s">
        <v>12663</v>
      </c>
      <c r="BM23" s="2" t="s">
        <v>12664</v>
      </c>
      <c r="BN23" s="2" t="s">
        <v>12129</v>
      </c>
      <c r="BO23" s="2" t="s">
        <v>12129</v>
      </c>
      <c r="BP23" s="2" t="s">
        <v>12129</v>
      </c>
      <c r="BQ23" s="2" t="s">
        <v>12129</v>
      </c>
      <c r="BR23" s="2" t="s">
        <v>12152</v>
      </c>
      <c r="BS23" s="2" t="s">
        <v>12665</v>
      </c>
      <c r="BT23" s="2" t="str">
        <f>HYPERLINK("https%3A%2F%2Fwww.webofscience.com%2Fwos%2Fwoscc%2Ffull-record%2FWOS:000425121900007","View Full Record in Web of Science")</f>
        <v>View Full Record in Web of Science</v>
      </c>
    </row>
    <row r="24" ht="12.75" customHeight="1">
      <c r="A24" s="2" t="s">
        <v>23</v>
      </c>
      <c r="B24" s="2" t="s">
        <v>12666</v>
      </c>
      <c r="C24" s="2" t="s">
        <v>12129</v>
      </c>
      <c r="D24" s="2" t="s">
        <v>12129</v>
      </c>
      <c r="E24" s="2" t="s">
        <v>12129</v>
      </c>
      <c r="F24" s="2" t="s">
        <v>12667</v>
      </c>
      <c r="G24" s="2" t="s">
        <v>12129</v>
      </c>
      <c r="H24" s="2" t="s">
        <v>12129</v>
      </c>
      <c r="I24" s="2" t="s">
        <v>12668</v>
      </c>
      <c r="J24" s="2" t="s">
        <v>1250</v>
      </c>
      <c r="K24" s="2" t="s">
        <v>12129</v>
      </c>
      <c r="L24" s="2" t="s">
        <v>12129</v>
      </c>
      <c r="M24" s="2" t="s">
        <v>3263</v>
      </c>
      <c r="N24" s="2" t="s">
        <v>35</v>
      </c>
      <c r="O24" s="2" t="s">
        <v>12129</v>
      </c>
      <c r="P24" s="2" t="s">
        <v>12129</v>
      </c>
      <c r="Q24" s="2" t="s">
        <v>12129</v>
      </c>
      <c r="R24" s="2" t="s">
        <v>12129</v>
      </c>
      <c r="S24" s="2" t="s">
        <v>12129</v>
      </c>
      <c r="T24" s="2" t="s">
        <v>12669</v>
      </c>
      <c r="U24" s="2" t="s">
        <v>12670</v>
      </c>
      <c r="V24" s="2" t="s">
        <v>12671</v>
      </c>
      <c r="W24" s="2" t="s">
        <v>12672</v>
      </c>
      <c r="X24" s="2" t="s">
        <v>12673</v>
      </c>
      <c r="Y24" s="2" t="s">
        <v>12674</v>
      </c>
      <c r="Z24" s="2" t="s">
        <v>12675</v>
      </c>
      <c r="AA24" s="2" t="s">
        <v>12676</v>
      </c>
      <c r="AB24" s="2" t="s">
        <v>12677</v>
      </c>
      <c r="AC24" s="2" t="s">
        <v>12678</v>
      </c>
      <c r="AD24" s="2" t="s">
        <v>12679</v>
      </c>
      <c r="AE24" s="2" t="s">
        <v>12680</v>
      </c>
      <c r="AF24" s="2" t="s">
        <v>12129</v>
      </c>
      <c r="AG24" s="2">
        <v>58.0</v>
      </c>
      <c r="AH24" s="2">
        <v>63.0</v>
      </c>
      <c r="AI24" s="2">
        <v>70.0</v>
      </c>
      <c r="AJ24" s="2">
        <v>2.0</v>
      </c>
      <c r="AK24" s="2">
        <v>96.0</v>
      </c>
      <c r="AL24" s="2" t="s">
        <v>12243</v>
      </c>
      <c r="AM24" s="2" t="s">
        <v>12244</v>
      </c>
      <c r="AN24" s="2" t="s">
        <v>12245</v>
      </c>
      <c r="AO24" s="2" t="s">
        <v>12681</v>
      </c>
      <c r="AP24" s="2" t="s">
        <v>12682</v>
      </c>
      <c r="AQ24" s="2" t="s">
        <v>12129</v>
      </c>
      <c r="AR24" s="2" t="s">
        <v>12683</v>
      </c>
      <c r="AS24" s="2" t="s">
        <v>12684</v>
      </c>
      <c r="AT24" s="2" t="s">
        <v>12660</v>
      </c>
      <c r="AU24" s="2">
        <v>2018.0</v>
      </c>
      <c r="AV24" s="2">
        <v>27.0</v>
      </c>
      <c r="AW24" s="2">
        <v>2.0</v>
      </c>
      <c r="AX24" s="2" t="s">
        <v>12129</v>
      </c>
      <c r="AY24" s="2" t="s">
        <v>12129</v>
      </c>
      <c r="AZ24" s="2" t="s">
        <v>12129</v>
      </c>
      <c r="BA24" s="2" t="s">
        <v>12129</v>
      </c>
      <c r="BB24" s="2">
        <v>213.0</v>
      </c>
      <c r="BC24" s="2">
        <v>222.0</v>
      </c>
      <c r="BD24" s="2" t="s">
        <v>12129</v>
      </c>
      <c r="BE24" s="2" t="s">
        <v>12685</v>
      </c>
      <c r="BF24" s="15" t="str">
        <f>HYPERLINK("http://dx.doi.org/10.1111/geb.12690","http://dx.doi.org/10.1111/geb.12690")</f>
        <v>http://dx.doi.org/10.1111/geb.12690</v>
      </c>
      <c r="BG24" s="2" t="s">
        <v>12129</v>
      </c>
      <c r="BH24" s="2" t="s">
        <v>12129</v>
      </c>
      <c r="BI24" s="2">
        <v>10.0</v>
      </c>
      <c r="BJ24" s="2" t="s">
        <v>1254</v>
      </c>
      <c r="BK24" s="2" t="s">
        <v>12176</v>
      </c>
      <c r="BL24" s="2" t="s">
        <v>12686</v>
      </c>
      <c r="BM24" s="2" t="s">
        <v>12687</v>
      </c>
      <c r="BN24" s="2" t="s">
        <v>12129</v>
      </c>
      <c r="BO24" s="2" t="s">
        <v>12129</v>
      </c>
      <c r="BP24" s="2" t="s">
        <v>12129</v>
      </c>
      <c r="BQ24" s="2" t="s">
        <v>12129</v>
      </c>
      <c r="BR24" s="2" t="s">
        <v>12152</v>
      </c>
      <c r="BS24" s="2" t="s">
        <v>12688</v>
      </c>
      <c r="BT24" s="2" t="str">
        <f>HYPERLINK("https%3A%2F%2Fwww.webofscience.com%2Fwos%2Fwoscc%2Ffull-record%2FWOS:000422750700005","View Full Record in Web of Science")</f>
        <v>View Full Record in Web of Science</v>
      </c>
    </row>
    <row r="25" ht="12.75" customHeight="1">
      <c r="A25" s="2" t="s">
        <v>23</v>
      </c>
      <c r="B25" s="2" t="s">
        <v>12689</v>
      </c>
      <c r="C25" s="2" t="s">
        <v>12129</v>
      </c>
      <c r="D25" s="2" t="s">
        <v>12129</v>
      </c>
      <c r="E25" s="2" t="s">
        <v>12129</v>
      </c>
      <c r="F25" s="2" t="s">
        <v>12690</v>
      </c>
      <c r="G25" s="2" t="s">
        <v>12129</v>
      </c>
      <c r="H25" s="2" t="s">
        <v>12129</v>
      </c>
      <c r="I25" s="2" t="s">
        <v>12691</v>
      </c>
      <c r="J25" s="2" t="s">
        <v>12692</v>
      </c>
      <c r="K25" s="2" t="s">
        <v>12129</v>
      </c>
      <c r="L25" s="2" t="s">
        <v>12129</v>
      </c>
      <c r="M25" s="2" t="s">
        <v>3263</v>
      </c>
      <c r="N25" s="2" t="s">
        <v>35</v>
      </c>
      <c r="O25" s="2" t="s">
        <v>12129</v>
      </c>
      <c r="P25" s="2" t="s">
        <v>12129</v>
      </c>
      <c r="Q25" s="2" t="s">
        <v>12129</v>
      </c>
      <c r="R25" s="2" t="s">
        <v>12129</v>
      </c>
      <c r="S25" s="2" t="s">
        <v>12129</v>
      </c>
      <c r="T25" s="2" t="s">
        <v>12693</v>
      </c>
      <c r="U25" s="2" t="s">
        <v>12694</v>
      </c>
      <c r="V25" s="2" t="s">
        <v>12695</v>
      </c>
      <c r="W25" s="2" t="s">
        <v>12696</v>
      </c>
      <c r="X25" s="2" t="s">
        <v>12697</v>
      </c>
      <c r="Y25" s="2" t="s">
        <v>12698</v>
      </c>
      <c r="Z25" s="2" t="s">
        <v>12699</v>
      </c>
      <c r="AA25" s="2" t="s">
        <v>12700</v>
      </c>
      <c r="AB25" s="2" t="s">
        <v>12701</v>
      </c>
      <c r="AC25" s="2" t="s">
        <v>12702</v>
      </c>
      <c r="AD25" s="2" t="s">
        <v>12703</v>
      </c>
      <c r="AE25" s="2" t="s">
        <v>12704</v>
      </c>
      <c r="AF25" s="2" t="s">
        <v>12129</v>
      </c>
      <c r="AG25" s="2">
        <v>87.0</v>
      </c>
      <c r="AH25" s="2">
        <v>58.0</v>
      </c>
      <c r="AI25" s="2">
        <v>67.0</v>
      </c>
      <c r="AJ25" s="2">
        <v>3.0</v>
      </c>
      <c r="AK25" s="2">
        <v>131.0</v>
      </c>
      <c r="AL25" s="2" t="s">
        <v>12269</v>
      </c>
      <c r="AM25" s="2" t="s">
        <v>12270</v>
      </c>
      <c r="AN25" s="2" t="s">
        <v>12271</v>
      </c>
      <c r="AO25" s="2" t="s">
        <v>12705</v>
      </c>
      <c r="AP25" s="2" t="s">
        <v>12706</v>
      </c>
      <c r="AQ25" s="2" t="s">
        <v>12129</v>
      </c>
      <c r="AR25" s="2" t="s">
        <v>12707</v>
      </c>
      <c r="AS25" s="2" t="s">
        <v>12708</v>
      </c>
      <c r="AT25" s="2" t="s">
        <v>12660</v>
      </c>
      <c r="AU25" s="2">
        <v>2018.0</v>
      </c>
      <c r="AV25" s="2">
        <v>198.0</v>
      </c>
      <c r="AW25" s="2" t="s">
        <v>12129</v>
      </c>
      <c r="AX25" s="2" t="s">
        <v>12129</v>
      </c>
      <c r="AY25" s="2" t="s">
        <v>12129</v>
      </c>
      <c r="AZ25" s="2" t="s">
        <v>12129</v>
      </c>
      <c r="BA25" s="2" t="s">
        <v>12129</v>
      </c>
      <c r="BB25" s="2">
        <v>78.0</v>
      </c>
      <c r="BC25" s="2">
        <v>85.0</v>
      </c>
      <c r="BD25" s="2" t="s">
        <v>12129</v>
      </c>
      <c r="BE25" s="2" t="s">
        <v>12709</v>
      </c>
      <c r="BF25" s="15" t="str">
        <f>HYPERLINK("http://dx.doi.org/10.1016/j.fishres.2017.10.012","http://dx.doi.org/10.1016/j.fishres.2017.10.012")</f>
        <v>http://dx.doi.org/10.1016/j.fishres.2017.10.012</v>
      </c>
      <c r="BG25" s="2" t="s">
        <v>12129</v>
      </c>
      <c r="BH25" s="2" t="s">
        <v>12129</v>
      </c>
      <c r="BI25" s="2">
        <v>8.0</v>
      </c>
      <c r="BJ25" s="2" t="s">
        <v>3801</v>
      </c>
      <c r="BK25" s="2" t="s">
        <v>12176</v>
      </c>
      <c r="BL25" s="2" t="s">
        <v>3801</v>
      </c>
      <c r="BM25" s="2" t="s">
        <v>12710</v>
      </c>
      <c r="BN25" s="2" t="s">
        <v>12129</v>
      </c>
      <c r="BO25" s="2" t="s">
        <v>12129</v>
      </c>
      <c r="BP25" s="2" t="s">
        <v>12129</v>
      </c>
      <c r="BQ25" s="2" t="s">
        <v>12129</v>
      </c>
      <c r="BR25" s="2" t="s">
        <v>12152</v>
      </c>
      <c r="BS25" s="2" t="s">
        <v>12711</v>
      </c>
      <c r="BT25" s="2" t="str">
        <f>HYPERLINK("https%3A%2F%2Fwww.webofscience.com%2Fwos%2Fwoscc%2Ffull-record%2FWOS:000416194200009","View Full Record in Web of Science")</f>
        <v>View Full Record in Web of Science</v>
      </c>
    </row>
    <row r="26" ht="12.75" customHeight="1">
      <c r="A26" s="2" t="s">
        <v>23</v>
      </c>
      <c r="B26" s="2" t="s">
        <v>12712</v>
      </c>
      <c r="C26" s="2" t="s">
        <v>12129</v>
      </c>
      <c r="D26" s="2" t="s">
        <v>12129</v>
      </c>
      <c r="E26" s="2" t="s">
        <v>12129</v>
      </c>
      <c r="F26" s="2" t="s">
        <v>12713</v>
      </c>
      <c r="G26" s="2" t="s">
        <v>12129</v>
      </c>
      <c r="H26" s="2" t="s">
        <v>12129</v>
      </c>
      <c r="I26" s="2" t="s">
        <v>12714</v>
      </c>
      <c r="J26" s="2" t="s">
        <v>275</v>
      </c>
      <c r="K26" s="2" t="s">
        <v>12129</v>
      </c>
      <c r="L26" s="2" t="s">
        <v>12129</v>
      </c>
      <c r="M26" s="2" t="s">
        <v>3263</v>
      </c>
      <c r="N26" s="2" t="s">
        <v>35</v>
      </c>
      <c r="O26" s="2" t="s">
        <v>12129</v>
      </c>
      <c r="P26" s="2" t="s">
        <v>12129</v>
      </c>
      <c r="Q26" s="2" t="s">
        <v>12129</v>
      </c>
      <c r="R26" s="2" t="s">
        <v>12129</v>
      </c>
      <c r="S26" s="2" t="s">
        <v>12129</v>
      </c>
      <c r="T26" s="2" t="s">
        <v>12129</v>
      </c>
      <c r="U26" s="2" t="s">
        <v>12715</v>
      </c>
      <c r="V26" s="2" t="s">
        <v>12716</v>
      </c>
      <c r="W26" s="2" t="s">
        <v>12717</v>
      </c>
      <c r="X26" s="2" t="s">
        <v>12718</v>
      </c>
      <c r="Y26" s="2" t="s">
        <v>12719</v>
      </c>
      <c r="Z26" s="2" t="s">
        <v>12720</v>
      </c>
      <c r="AA26" s="2" t="s">
        <v>12721</v>
      </c>
      <c r="AB26" s="2" t="s">
        <v>12722</v>
      </c>
      <c r="AC26" s="2" t="s">
        <v>12129</v>
      </c>
      <c r="AD26" s="2" t="s">
        <v>12129</v>
      </c>
      <c r="AE26" s="2" t="s">
        <v>12129</v>
      </c>
      <c r="AF26" s="2" t="s">
        <v>12129</v>
      </c>
      <c r="AG26" s="2">
        <v>69.0</v>
      </c>
      <c r="AH26" s="2">
        <v>188.0</v>
      </c>
      <c r="AI26" s="2">
        <v>218.0</v>
      </c>
      <c r="AJ26" s="2">
        <v>13.0</v>
      </c>
      <c r="AK26" s="2">
        <v>224.0</v>
      </c>
      <c r="AL26" s="2" t="s">
        <v>12723</v>
      </c>
      <c r="AM26" s="2" t="s">
        <v>12724</v>
      </c>
      <c r="AN26" s="2" t="s">
        <v>12725</v>
      </c>
      <c r="AO26" s="2" t="s">
        <v>1381</v>
      </c>
      <c r="AP26" s="2" t="s">
        <v>7916</v>
      </c>
      <c r="AQ26" s="2" t="s">
        <v>12129</v>
      </c>
      <c r="AR26" s="2" t="s">
        <v>275</v>
      </c>
      <c r="AS26" s="2" t="s">
        <v>1380</v>
      </c>
      <c r="AT26" s="2" t="s">
        <v>12726</v>
      </c>
      <c r="AU26" s="2">
        <v>2018.0</v>
      </c>
      <c r="AV26" s="2">
        <v>553.0</v>
      </c>
      <c r="AW26" s="2">
        <v>7687.0</v>
      </c>
      <c r="AX26" s="2" t="s">
        <v>12129</v>
      </c>
      <c r="AY26" s="2" t="s">
        <v>12129</v>
      </c>
      <c r="AZ26" s="2" t="s">
        <v>12129</v>
      </c>
      <c r="BA26" s="2" t="s">
        <v>12129</v>
      </c>
      <c r="BB26" s="2">
        <v>199.0</v>
      </c>
      <c r="BC26" s="2" t="s">
        <v>12727</v>
      </c>
      <c r="BD26" s="2" t="s">
        <v>12129</v>
      </c>
      <c r="BE26" s="2" t="s">
        <v>12728</v>
      </c>
      <c r="BF26" s="15" t="str">
        <f>HYPERLINK("http://dx.doi.org/10.1038/nature25139","http://dx.doi.org/10.1038/nature25139")</f>
        <v>http://dx.doi.org/10.1038/nature25139</v>
      </c>
      <c r="BG26" s="2" t="s">
        <v>12129</v>
      </c>
      <c r="BH26" s="2" t="s">
        <v>12129</v>
      </c>
      <c r="BI26" s="2">
        <v>18.0</v>
      </c>
      <c r="BJ26" s="2" t="s">
        <v>39</v>
      </c>
      <c r="BK26" s="2" t="s">
        <v>12729</v>
      </c>
      <c r="BL26" s="2" t="s">
        <v>12202</v>
      </c>
      <c r="BM26" s="2" t="s">
        <v>12730</v>
      </c>
      <c r="BN26" s="2">
        <v>2.9258291E7</v>
      </c>
      <c r="BO26" s="2" t="s">
        <v>12129</v>
      </c>
      <c r="BP26" s="2" t="s">
        <v>12129</v>
      </c>
      <c r="BQ26" s="2" t="s">
        <v>12129</v>
      </c>
      <c r="BR26" s="2" t="s">
        <v>12152</v>
      </c>
      <c r="BS26" s="2" t="s">
        <v>12731</v>
      </c>
      <c r="BT26" s="2" t="str">
        <f>HYPERLINK("https%3A%2F%2Fwww.webofscience.com%2Fwos%2Fwoscc%2Ffull-record%2FWOS:000419794800035","View Full Record in Web of Science")</f>
        <v>View Full Record in Web of Science</v>
      </c>
    </row>
    <row r="27" ht="12.75" customHeight="1">
      <c r="A27" s="2" t="s">
        <v>23</v>
      </c>
      <c r="B27" s="2" t="s">
        <v>12732</v>
      </c>
      <c r="C27" s="2" t="s">
        <v>12129</v>
      </c>
      <c r="D27" s="2" t="s">
        <v>12129</v>
      </c>
      <c r="E27" s="2" t="s">
        <v>12129</v>
      </c>
      <c r="F27" s="2" t="s">
        <v>12733</v>
      </c>
      <c r="G27" s="2" t="s">
        <v>12129</v>
      </c>
      <c r="H27" s="2" t="s">
        <v>12129</v>
      </c>
      <c r="I27" s="2" t="s">
        <v>12734</v>
      </c>
      <c r="J27" s="2" t="s">
        <v>101</v>
      </c>
      <c r="K27" s="2" t="s">
        <v>12129</v>
      </c>
      <c r="L27" s="2" t="s">
        <v>12129</v>
      </c>
      <c r="M27" s="2" t="s">
        <v>3263</v>
      </c>
      <c r="N27" s="2" t="s">
        <v>35</v>
      </c>
      <c r="O27" s="2" t="s">
        <v>12129</v>
      </c>
      <c r="P27" s="2" t="s">
        <v>12129</v>
      </c>
      <c r="Q27" s="2" t="s">
        <v>12129</v>
      </c>
      <c r="R27" s="2" t="s">
        <v>12129</v>
      </c>
      <c r="S27" s="2" t="s">
        <v>12129</v>
      </c>
      <c r="T27" s="2" t="s">
        <v>12129</v>
      </c>
      <c r="U27" s="2" t="s">
        <v>12735</v>
      </c>
      <c r="V27" s="2" t="s">
        <v>12736</v>
      </c>
      <c r="W27" s="2" t="s">
        <v>12737</v>
      </c>
      <c r="X27" s="2" t="s">
        <v>12738</v>
      </c>
      <c r="Y27" s="2" t="s">
        <v>12739</v>
      </c>
      <c r="Z27" s="2" t="s">
        <v>12740</v>
      </c>
      <c r="AA27" s="2" t="s">
        <v>12741</v>
      </c>
      <c r="AB27" s="2" t="s">
        <v>12742</v>
      </c>
      <c r="AC27" s="2" t="s">
        <v>12743</v>
      </c>
      <c r="AD27" s="2" t="s">
        <v>12744</v>
      </c>
      <c r="AE27" s="2" t="s">
        <v>12745</v>
      </c>
      <c r="AF27" s="2" t="s">
        <v>12129</v>
      </c>
      <c r="AG27" s="2">
        <v>82.0</v>
      </c>
      <c r="AH27" s="2">
        <v>138.0</v>
      </c>
      <c r="AI27" s="2">
        <v>155.0</v>
      </c>
      <c r="AJ27" s="2">
        <v>6.0</v>
      </c>
      <c r="AK27" s="2">
        <v>121.0</v>
      </c>
      <c r="AL27" s="2" t="s">
        <v>12723</v>
      </c>
      <c r="AM27" s="2" t="s">
        <v>12724</v>
      </c>
      <c r="AN27" s="2" t="s">
        <v>12725</v>
      </c>
      <c r="AO27" s="2" t="s">
        <v>12129</v>
      </c>
      <c r="AP27" s="2" t="s">
        <v>2151</v>
      </c>
      <c r="AQ27" s="2" t="s">
        <v>12129</v>
      </c>
      <c r="AR27" s="2" t="s">
        <v>12746</v>
      </c>
      <c r="AS27" s="2" t="s">
        <v>12747</v>
      </c>
      <c r="AT27" s="2" t="s">
        <v>12748</v>
      </c>
      <c r="AU27" s="2">
        <v>2017.0</v>
      </c>
      <c r="AV27" s="2">
        <v>8.0</v>
      </c>
      <c r="AW27" s="2" t="s">
        <v>12129</v>
      </c>
      <c r="AX27" s="2" t="s">
        <v>12129</v>
      </c>
      <c r="AY27" s="2" t="s">
        <v>12129</v>
      </c>
      <c r="AZ27" s="2" t="s">
        <v>12129</v>
      </c>
      <c r="BA27" s="2" t="s">
        <v>12129</v>
      </c>
      <c r="BB27" s="2" t="s">
        <v>12129</v>
      </c>
      <c r="BC27" s="2" t="s">
        <v>12129</v>
      </c>
      <c r="BD27" s="2">
        <v>1966.0</v>
      </c>
      <c r="BE27" s="2" t="s">
        <v>12749</v>
      </c>
      <c r="BF27" s="15" t="str">
        <f>HYPERLINK("http://dx.doi.org/10.1038/s41467-017-01997-0","http://dx.doi.org/10.1038/s41467-017-01997-0")</f>
        <v>http://dx.doi.org/10.1038/s41467-017-01997-0</v>
      </c>
      <c r="BG27" s="2" t="s">
        <v>12129</v>
      </c>
      <c r="BH27" s="2" t="s">
        <v>12129</v>
      </c>
      <c r="BI27" s="2">
        <v>11.0</v>
      </c>
      <c r="BJ27" s="2" t="s">
        <v>39</v>
      </c>
      <c r="BK27" s="2" t="s">
        <v>12176</v>
      </c>
      <c r="BL27" s="2" t="s">
        <v>12202</v>
      </c>
      <c r="BM27" s="2" t="s">
        <v>12750</v>
      </c>
      <c r="BN27" s="2">
        <v>2.9259276E7</v>
      </c>
      <c r="BO27" s="2" t="s">
        <v>12751</v>
      </c>
      <c r="BP27" s="2" t="s">
        <v>12129</v>
      </c>
      <c r="BQ27" s="2" t="s">
        <v>12129</v>
      </c>
      <c r="BR27" s="2" t="s">
        <v>12152</v>
      </c>
      <c r="BS27" s="2" t="s">
        <v>12752</v>
      </c>
      <c r="BT27" s="2" t="str">
        <f>HYPERLINK("https%3A%2F%2Fwww.webofscience.com%2Fwos%2Fwoscc%2Ffull-record%2FWOS:000418334200001","View Full Record in Web of Science")</f>
        <v>View Full Record in Web of Science</v>
      </c>
    </row>
    <row r="28" ht="12.75" customHeight="1">
      <c r="A28" s="2" t="s">
        <v>23</v>
      </c>
      <c r="B28" s="2" t="s">
        <v>12753</v>
      </c>
      <c r="C28" s="2" t="s">
        <v>12129</v>
      </c>
      <c r="D28" s="2" t="s">
        <v>12129</v>
      </c>
      <c r="E28" s="2" t="s">
        <v>12129</v>
      </c>
      <c r="F28" s="2" t="s">
        <v>12754</v>
      </c>
      <c r="G28" s="2" t="s">
        <v>12129</v>
      </c>
      <c r="H28" s="2" t="s">
        <v>12129</v>
      </c>
      <c r="I28" s="2" t="s">
        <v>12755</v>
      </c>
      <c r="J28" s="2" t="s">
        <v>165</v>
      </c>
      <c r="K28" s="2" t="s">
        <v>12129</v>
      </c>
      <c r="L28" s="2" t="s">
        <v>12129</v>
      </c>
      <c r="M28" s="2" t="s">
        <v>3263</v>
      </c>
      <c r="N28" s="2" t="s">
        <v>35</v>
      </c>
      <c r="O28" s="2" t="s">
        <v>12129</v>
      </c>
      <c r="P28" s="2" t="s">
        <v>12129</v>
      </c>
      <c r="Q28" s="2" t="s">
        <v>12129</v>
      </c>
      <c r="R28" s="2" t="s">
        <v>12129</v>
      </c>
      <c r="S28" s="2" t="s">
        <v>12129</v>
      </c>
      <c r="T28" s="2" t="s">
        <v>12756</v>
      </c>
      <c r="U28" s="2" t="s">
        <v>12757</v>
      </c>
      <c r="V28" s="2" t="s">
        <v>12758</v>
      </c>
      <c r="W28" s="2" t="s">
        <v>12759</v>
      </c>
      <c r="X28" s="2" t="s">
        <v>12129</v>
      </c>
      <c r="Y28" s="2" t="s">
        <v>12760</v>
      </c>
      <c r="Z28" s="2" t="s">
        <v>12761</v>
      </c>
      <c r="AA28" s="2" t="s">
        <v>12129</v>
      </c>
      <c r="AB28" s="2" t="s">
        <v>12129</v>
      </c>
      <c r="AC28" s="2" t="s">
        <v>12129</v>
      </c>
      <c r="AD28" s="2" t="s">
        <v>12129</v>
      </c>
      <c r="AE28" s="2" t="s">
        <v>12129</v>
      </c>
      <c r="AF28" s="2" t="s">
        <v>12129</v>
      </c>
      <c r="AG28" s="2">
        <v>47.0</v>
      </c>
      <c r="AH28" s="2">
        <v>24.0</v>
      </c>
      <c r="AI28" s="2">
        <v>27.0</v>
      </c>
      <c r="AJ28" s="2">
        <v>0.0</v>
      </c>
      <c r="AK28" s="2">
        <v>62.0</v>
      </c>
      <c r="AL28" s="2" t="s">
        <v>12321</v>
      </c>
      <c r="AM28" s="2" t="s">
        <v>12295</v>
      </c>
      <c r="AN28" s="2" t="s">
        <v>12454</v>
      </c>
      <c r="AO28" s="2" t="s">
        <v>2346</v>
      </c>
      <c r="AP28" s="2" t="s">
        <v>12762</v>
      </c>
      <c r="AQ28" s="2" t="s">
        <v>12129</v>
      </c>
      <c r="AR28" s="2" t="s">
        <v>165</v>
      </c>
      <c r="AS28" s="2" t="s">
        <v>12763</v>
      </c>
      <c r="AT28" s="2" t="s">
        <v>12764</v>
      </c>
      <c r="AU28" s="2">
        <v>2017.0</v>
      </c>
      <c r="AV28" s="2">
        <v>69.0</v>
      </c>
      <c r="AW28" s="2" t="s">
        <v>12129</v>
      </c>
      <c r="AX28" s="2" t="s">
        <v>12129</v>
      </c>
      <c r="AY28" s="2" t="s">
        <v>12129</v>
      </c>
      <c r="AZ28" s="2" t="s">
        <v>12129</v>
      </c>
      <c r="BA28" s="2" t="s">
        <v>12129</v>
      </c>
      <c r="BB28" s="2">
        <v>408.0</v>
      </c>
      <c r="BC28" s="2">
        <v>416.0</v>
      </c>
      <c r="BD28" s="2" t="s">
        <v>12129</v>
      </c>
      <c r="BE28" s="2" t="s">
        <v>12765</v>
      </c>
      <c r="BF28" s="15" t="str">
        <f>HYPERLINK("http://dx.doi.org/10.1016/j.landusepol.2017.09.045","http://dx.doi.org/10.1016/j.landusepol.2017.09.045")</f>
        <v>http://dx.doi.org/10.1016/j.landusepol.2017.09.045</v>
      </c>
      <c r="BG28" s="2" t="s">
        <v>12129</v>
      </c>
      <c r="BH28" s="2" t="s">
        <v>12129</v>
      </c>
      <c r="BI28" s="2">
        <v>9.0</v>
      </c>
      <c r="BJ28" s="2" t="s">
        <v>169</v>
      </c>
      <c r="BK28" s="2" t="s">
        <v>12461</v>
      </c>
      <c r="BL28" s="2" t="s">
        <v>12251</v>
      </c>
      <c r="BM28" s="2" t="s">
        <v>12766</v>
      </c>
      <c r="BN28" s="2" t="s">
        <v>12129</v>
      </c>
      <c r="BO28" s="2" t="s">
        <v>12129</v>
      </c>
      <c r="BP28" s="2" t="s">
        <v>12129</v>
      </c>
      <c r="BQ28" s="2" t="s">
        <v>12129</v>
      </c>
      <c r="BR28" s="2" t="s">
        <v>12152</v>
      </c>
      <c r="BS28" s="2" t="s">
        <v>12767</v>
      </c>
      <c r="BT28" s="2" t="str">
        <f>HYPERLINK("https%3A%2F%2Fwww.webofscience.com%2Fwos%2Fwoscc%2Ffull-record%2FWOS:000414881200040","View Full Record in Web of Science")</f>
        <v>View Full Record in Web of Science</v>
      </c>
    </row>
    <row r="29" ht="12.75" customHeight="1">
      <c r="A29" s="2" t="s">
        <v>23</v>
      </c>
      <c r="B29" s="2" t="s">
        <v>12768</v>
      </c>
      <c r="C29" s="2" t="s">
        <v>12129</v>
      </c>
      <c r="D29" s="2" t="s">
        <v>12129</v>
      </c>
      <c r="E29" s="2" t="s">
        <v>12129</v>
      </c>
      <c r="F29" s="2" t="s">
        <v>12769</v>
      </c>
      <c r="G29" s="2" t="s">
        <v>12129</v>
      </c>
      <c r="H29" s="2" t="s">
        <v>12129</v>
      </c>
      <c r="I29" s="2" t="s">
        <v>12770</v>
      </c>
      <c r="J29" s="2" t="s">
        <v>771</v>
      </c>
      <c r="K29" s="2" t="s">
        <v>12129</v>
      </c>
      <c r="L29" s="2" t="s">
        <v>12129</v>
      </c>
      <c r="M29" s="2" t="s">
        <v>3263</v>
      </c>
      <c r="N29" s="2" t="s">
        <v>35</v>
      </c>
      <c r="O29" s="2" t="s">
        <v>12129</v>
      </c>
      <c r="P29" s="2" t="s">
        <v>12129</v>
      </c>
      <c r="Q29" s="2" t="s">
        <v>12129</v>
      </c>
      <c r="R29" s="2" t="s">
        <v>12129</v>
      </c>
      <c r="S29" s="2" t="s">
        <v>12129</v>
      </c>
      <c r="T29" s="2" t="s">
        <v>12771</v>
      </c>
      <c r="U29" s="2" t="s">
        <v>12772</v>
      </c>
      <c r="V29" s="2" t="s">
        <v>12773</v>
      </c>
      <c r="W29" s="2" t="s">
        <v>12774</v>
      </c>
      <c r="X29" s="2" t="s">
        <v>12775</v>
      </c>
      <c r="Y29" s="2" t="s">
        <v>12776</v>
      </c>
      <c r="Z29" s="2" t="s">
        <v>12777</v>
      </c>
      <c r="AA29" s="2" t="s">
        <v>12778</v>
      </c>
      <c r="AB29" s="2" t="s">
        <v>12779</v>
      </c>
      <c r="AC29" s="2" t="s">
        <v>12780</v>
      </c>
      <c r="AD29" s="2" t="s">
        <v>12781</v>
      </c>
      <c r="AE29" s="2" t="s">
        <v>12782</v>
      </c>
      <c r="AF29" s="2" t="s">
        <v>12129</v>
      </c>
      <c r="AG29" s="2">
        <v>73.0</v>
      </c>
      <c r="AH29" s="2">
        <v>293.0</v>
      </c>
      <c r="AI29" s="2">
        <v>326.0</v>
      </c>
      <c r="AJ29" s="2">
        <v>17.0</v>
      </c>
      <c r="AK29" s="2">
        <v>344.0</v>
      </c>
      <c r="AL29" s="2" t="s">
        <v>12243</v>
      </c>
      <c r="AM29" s="2" t="s">
        <v>12244</v>
      </c>
      <c r="AN29" s="2" t="s">
        <v>12245</v>
      </c>
      <c r="AO29" s="2" t="s">
        <v>12783</v>
      </c>
      <c r="AP29" s="2" t="s">
        <v>12784</v>
      </c>
      <c r="AQ29" s="2" t="s">
        <v>12129</v>
      </c>
      <c r="AR29" s="2" t="s">
        <v>12785</v>
      </c>
      <c r="AS29" s="2" t="s">
        <v>12786</v>
      </c>
      <c r="AT29" s="2" t="s">
        <v>12787</v>
      </c>
      <c r="AU29" s="2">
        <v>2017.0</v>
      </c>
      <c r="AV29" s="2">
        <v>23.0</v>
      </c>
      <c r="AW29" s="2">
        <v>11.0</v>
      </c>
      <c r="AX29" s="2" t="s">
        <v>12129</v>
      </c>
      <c r="AY29" s="2" t="s">
        <v>12129</v>
      </c>
      <c r="AZ29" s="2" t="s">
        <v>12129</v>
      </c>
      <c r="BA29" s="2" t="s">
        <v>12129</v>
      </c>
      <c r="BB29" s="2">
        <v>4946.0</v>
      </c>
      <c r="BC29" s="2">
        <v>4957.0</v>
      </c>
      <c r="BD29" s="2" t="s">
        <v>12129</v>
      </c>
      <c r="BE29" s="2" t="s">
        <v>12788</v>
      </c>
      <c r="BF29" s="15" t="str">
        <f>HYPERLINK("http://dx.doi.org/10.1111/gcb.13714","http://dx.doi.org/10.1111/gcb.13714")</f>
        <v>http://dx.doi.org/10.1111/gcb.13714</v>
      </c>
      <c r="BG29" s="2" t="s">
        <v>12129</v>
      </c>
      <c r="BH29" s="2" t="s">
        <v>12129</v>
      </c>
      <c r="BI29" s="2">
        <v>12.0</v>
      </c>
      <c r="BJ29" s="2" t="s">
        <v>252</v>
      </c>
      <c r="BK29" s="2" t="s">
        <v>12176</v>
      </c>
      <c r="BL29" s="2" t="s">
        <v>12376</v>
      </c>
      <c r="BM29" s="2" t="s">
        <v>12789</v>
      </c>
      <c r="BN29" s="2">
        <v>2.8488295E7</v>
      </c>
      <c r="BO29" s="2" t="s">
        <v>12179</v>
      </c>
      <c r="BP29" s="2" t="s">
        <v>12129</v>
      </c>
      <c r="BQ29" s="2" t="s">
        <v>12129</v>
      </c>
      <c r="BR29" s="2" t="s">
        <v>12152</v>
      </c>
      <c r="BS29" s="2" t="s">
        <v>12790</v>
      </c>
      <c r="BT29" s="2" t="str">
        <f>HYPERLINK("https%3A%2F%2Fwww.webofscience.com%2Fwos%2Fwoscc%2Ffull-record%2FWOS:000412322700041","View Full Record in Web of Science")</f>
        <v>View Full Record in Web of Science</v>
      </c>
    </row>
    <row r="30" ht="12.75" customHeight="1">
      <c r="A30" s="2" t="s">
        <v>23</v>
      </c>
      <c r="B30" s="2" t="s">
        <v>12791</v>
      </c>
      <c r="C30" s="2" t="s">
        <v>12129</v>
      </c>
      <c r="D30" s="2" t="s">
        <v>12129</v>
      </c>
      <c r="E30" s="2" t="s">
        <v>12129</v>
      </c>
      <c r="F30" s="2" t="s">
        <v>12792</v>
      </c>
      <c r="G30" s="2" t="s">
        <v>12129</v>
      </c>
      <c r="H30" s="2" t="s">
        <v>12129</v>
      </c>
      <c r="I30" s="2" t="s">
        <v>12793</v>
      </c>
      <c r="J30" s="2" t="s">
        <v>248</v>
      </c>
      <c r="K30" s="2" t="s">
        <v>12129</v>
      </c>
      <c r="L30" s="2" t="s">
        <v>12129</v>
      </c>
      <c r="M30" s="2" t="s">
        <v>3263</v>
      </c>
      <c r="N30" s="2" t="s">
        <v>35</v>
      </c>
      <c r="O30" s="2" t="s">
        <v>12129</v>
      </c>
      <c r="P30" s="2" t="s">
        <v>12129</v>
      </c>
      <c r="Q30" s="2" t="s">
        <v>12129</v>
      </c>
      <c r="R30" s="2" t="s">
        <v>12129</v>
      </c>
      <c r="S30" s="2" t="s">
        <v>12129</v>
      </c>
      <c r="T30" s="2" t="s">
        <v>12794</v>
      </c>
      <c r="U30" s="2" t="s">
        <v>12795</v>
      </c>
      <c r="V30" s="2" t="s">
        <v>12796</v>
      </c>
      <c r="W30" s="2" t="s">
        <v>12797</v>
      </c>
      <c r="X30" s="2" t="s">
        <v>12798</v>
      </c>
      <c r="Y30" s="2" t="s">
        <v>12799</v>
      </c>
      <c r="Z30" s="2" t="s">
        <v>12800</v>
      </c>
      <c r="AA30" s="2" t="s">
        <v>12801</v>
      </c>
      <c r="AB30" s="2" t="s">
        <v>12802</v>
      </c>
      <c r="AC30" s="2" t="s">
        <v>12129</v>
      </c>
      <c r="AD30" s="2" t="s">
        <v>12129</v>
      </c>
      <c r="AE30" s="2" t="s">
        <v>12129</v>
      </c>
      <c r="AF30" s="2" t="s">
        <v>12129</v>
      </c>
      <c r="AG30" s="2">
        <v>64.0</v>
      </c>
      <c r="AH30" s="2">
        <v>11.0</v>
      </c>
      <c r="AI30" s="2">
        <v>11.0</v>
      </c>
      <c r="AJ30" s="2">
        <v>0.0</v>
      </c>
      <c r="AK30" s="2">
        <v>48.0</v>
      </c>
      <c r="AL30" s="2" t="s">
        <v>12321</v>
      </c>
      <c r="AM30" s="2" t="s">
        <v>12295</v>
      </c>
      <c r="AN30" s="2" t="s">
        <v>12454</v>
      </c>
      <c r="AO30" s="2" t="s">
        <v>6122</v>
      </c>
      <c r="AP30" s="2" t="s">
        <v>12803</v>
      </c>
      <c r="AQ30" s="2" t="s">
        <v>12129</v>
      </c>
      <c r="AR30" s="2" t="s">
        <v>12804</v>
      </c>
      <c r="AS30" s="2" t="s">
        <v>12805</v>
      </c>
      <c r="AT30" s="2" t="s">
        <v>12787</v>
      </c>
      <c r="AU30" s="2">
        <v>2017.0</v>
      </c>
      <c r="AV30" s="2">
        <v>215.0</v>
      </c>
      <c r="AW30" s="2" t="s">
        <v>12129</v>
      </c>
      <c r="AX30" s="2" t="s">
        <v>12129</v>
      </c>
      <c r="AY30" s="2" t="s">
        <v>12129</v>
      </c>
      <c r="AZ30" s="2" t="s">
        <v>12129</v>
      </c>
      <c r="BA30" s="2" t="s">
        <v>12129</v>
      </c>
      <c r="BB30" s="2">
        <v>19.0</v>
      </c>
      <c r="BC30" s="2">
        <v>29.0</v>
      </c>
      <c r="BD30" s="2" t="s">
        <v>12129</v>
      </c>
      <c r="BE30" s="2" t="s">
        <v>12806</v>
      </c>
      <c r="BF30" s="15" t="str">
        <f>HYPERLINK("http://dx.doi.org/10.1016/j.biocon.2017.08.032","http://dx.doi.org/10.1016/j.biocon.2017.08.032")</f>
        <v>http://dx.doi.org/10.1016/j.biocon.2017.08.032</v>
      </c>
      <c r="BG30" s="2" t="s">
        <v>12129</v>
      </c>
      <c r="BH30" s="2" t="s">
        <v>12129</v>
      </c>
      <c r="BI30" s="2">
        <v>11.0</v>
      </c>
      <c r="BJ30" s="2" t="s">
        <v>252</v>
      </c>
      <c r="BK30" s="2" t="s">
        <v>12176</v>
      </c>
      <c r="BL30" s="2" t="s">
        <v>12376</v>
      </c>
      <c r="BM30" s="2" t="s">
        <v>12807</v>
      </c>
      <c r="BN30" s="2" t="s">
        <v>12129</v>
      </c>
      <c r="BO30" s="2" t="s">
        <v>12808</v>
      </c>
      <c r="BP30" s="2" t="s">
        <v>12129</v>
      </c>
      <c r="BQ30" s="2" t="s">
        <v>12129</v>
      </c>
      <c r="BR30" s="2" t="s">
        <v>12152</v>
      </c>
      <c r="BS30" s="2" t="s">
        <v>12809</v>
      </c>
      <c r="BT30" s="2" t="str">
        <f>HYPERLINK("https%3A%2F%2Fwww.webofscience.com%2Fwos%2Fwoscc%2Ffull-record%2FWOS:000414883000003","View Full Record in Web of Science")</f>
        <v>View Full Record in Web of Science</v>
      </c>
    </row>
    <row r="31" ht="12.75" customHeight="1">
      <c r="A31" s="2" t="s">
        <v>23</v>
      </c>
      <c r="B31" s="2" t="s">
        <v>12810</v>
      </c>
      <c r="C31" s="2" t="s">
        <v>12129</v>
      </c>
      <c r="D31" s="2" t="s">
        <v>12129</v>
      </c>
      <c r="E31" s="2" t="s">
        <v>12129</v>
      </c>
      <c r="F31" s="2" t="s">
        <v>12811</v>
      </c>
      <c r="G31" s="2" t="s">
        <v>12129</v>
      </c>
      <c r="H31" s="2" t="s">
        <v>12129</v>
      </c>
      <c r="I31" s="2" t="s">
        <v>12812</v>
      </c>
      <c r="J31" s="2" t="s">
        <v>12813</v>
      </c>
      <c r="K31" s="2" t="s">
        <v>12129</v>
      </c>
      <c r="L31" s="2" t="s">
        <v>12129</v>
      </c>
      <c r="M31" s="2" t="s">
        <v>3263</v>
      </c>
      <c r="N31" s="2" t="s">
        <v>35</v>
      </c>
      <c r="O31" s="2" t="s">
        <v>12129</v>
      </c>
      <c r="P31" s="2" t="s">
        <v>12129</v>
      </c>
      <c r="Q31" s="2" t="s">
        <v>12129</v>
      </c>
      <c r="R31" s="2" t="s">
        <v>12129</v>
      </c>
      <c r="S31" s="2" t="s">
        <v>12129</v>
      </c>
      <c r="T31" s="2" t="s">
        <v>12814</v>
      </c>
      <c r="U31" s="2" t="s">
        <v>12815</v>
      </c>
      <c r="V31" s="2" t="s">
        <v>12816</v>
      </c>
      <c r="W31" s="2" t="s">
        <v>12817</v>
      </c>
      <c r="X31" s="2" t="s">
        <v>12818</v>
      </c>
      <c r="Y31" s="2" t="s">
        <v>12819</v>
      </c>
      <c r="Z31" s="2" t="s">
        <v>12820</v>
      </c>
      <c r="AA31" s="2" t="s">
        <v>12821</v>
      </c>
      <c r="AB31" s="2" t="s">
        <v>12822</v>
      </c>
      <c r="AC31" s="2" t="s">
        <v>12823</v>
      </c>
      <c r="AD31" s="2" t="s">
        <v>12824</v>
      </c>
      <c r="AE31" s="2" t="s">
        <v>12825</v>
      </c>
      <c r="AF31" s="2" t="s">
        <v>12129</v>
      </c>
      <c r="AG31" s="2">
        <v>72.0</v>
      </c>
      <c r="AH31" s="2">
        <v>45.0</v>
      </c>
      <c r="AI31" s="2">
        <v>48.0</v>
      </c>
      <c r="AJ31" s="2">
        <v>5.0</v>
      </c>
      <c r="AK31" s="2">
        <v>113.0</v>
      </c>
      <c r="AL31" s="2" t="s">
        <v>12243</v>
      </c>
      <c r="AM31" s="2" t="s">
        <v>12244</v>
      </c>
      <c r="AN31" s="2" t="s">
        <v>12245</v>
      </c>
      <c r="AO31" s="2" t="s">
        <v>12826</v>
      </c>
      <c r="AP31" s="2" t="s">
        <v>12827</v>
      </c>
      <c r="AQ31" s="2" t="s">
        <v>12129</v>
      </c>
      <c r="AR31" s="2" t="s">
        <v>12828</v>
      </c>
      <c r="AS31" s="2" t="s">
        <v>12829</v>
      </c>
      <c r="AT31" s="2" t="s">
        <v>12787</v>
      </c>
      <c r="AU31" s="2">
        <v>2017.0</v>
      </c>
      <c r="AV31" s="2">
        <v>28.0</v>
      </c>
      <c r="AW31" s="2">
        <v>6.0</v>
      </c>
      <c r="AX31" s="2" t="s">
        <v>12129</v>
      </c>
      <c r="AY31" s="2" t="s">
        <v>12129</v>
      </c>
      <c r="AZ31" s="2" t="s">
        <v>12129</v>
      </c>
      <c r="BA31" s="2" t="s">
        <v>12129</v>
      </c>
      <c r="BB31" s="2">
        <v>1220.0</v>
      </c>
      <c r="BC31" s="2">
        <v>1229.0</v>
      </c>
      <c r="BD31" s="2" t="s">
        <v>12129</v>
      </c>
      <c r="BE31" s="2" t="s">
        <v>12830</v>
      </c>
      <c r="BF31" s="15" t="str">
        <f>HYPERLINK("http://dx.doi.org/10.1111/jvs.12579","http://dx.doi.org/10.1111/jvs.12579")</f>
        <v>http://dx.doi.org/10.1111/jvs.12579</v>
      </c>
      <c r="BG31" s="2" t="s">
        <v>12129</v>
      </c>
      <c r="BH31" s="2" t="s">
        <v>12129</v>
      </c>
      <c r="BI31" s="2">
        <v>10.0</v>
      </c>
      <c r="BJ31" s="2" t="s">
        <v>12831</v>
      </c>
      <c r="BK31" s="2" t="s">
        <v>12176</v>
      </c>
      <c r="BL31" s="2" t="s">
        <v>12832</v>
      </c>
      <c r="BM31" s="2" t="s">
        <v>12833</v>
      </c>
      <c r="BN31" s="2" t="s">
        <v>12129</v>
      </c>
      <c r="BO31" s="2" t="s">
        <v>12129</v>
      </c>
      <c r="BP31" s="2" t="s">
        <v>12129</v>
      </c>
      <c r="BQ31" s="2" t="s">
        <v>12129</v>
      </c>
      <c r="BR31" s="2" t="s">
        <v>12152</v>
      </c>
      <c r="BS31" s="2" t="s">
        <v>12834</v>
      </c>
      <c r="BT31" s="2" t="str">
        <f>HYPERLINK("https%3A%2F%2Fwww.webofscience.com%2Fwos%2Fwoscc%2Ffull-record%2FWOS:000423189400012","View Full Record in Web of Science")</f>
        <v>View Full Record in Web of Science</v>
      </c>
    </row>
    <row r="32" ht="12.75" customHeight="1">
      <c r="A32" s="2" t="s">
        <v>23</v>
      </c>
      <c r="B32" s="2" t="s">
        <v>12835</v>
      </c>
      <c r="C32" s="2" t="s">
        <v>12129</v>
      </c>
      <c r="D32" s="2" t="s">
        <v>12129</v>
      </c>
      <c r="E32" s="2" t="s">
        <v>12129</v>
      </c>
      <c r="F32" s="2" t="s">
        <v>12836</v>
      </c>
      <c r="G32" s="2" t="s">
        <v>12129</v>
      </c>
      <c r="H32" s="2" t="s">
        <v>12129</v>
      </c>
      <c r="I32" s="2" t="s">
        <v>12837</v>
      </c>
      <c r="J32" s="2" t="s">
        <v>257</v>
      </c>
      <c r="K32" s="2" t="s">
        <v>12129</v>
      </c>
      <c r="L32" s="2" t="s">
        <v>12129</v>
      </c>
      <c r="M32" s="2" t="s">
        <v>3263</v>
      </c>
      <c r="N32" s="2" t="s">
        <v>35</v>
      </c>
      <c r="O32" s="2" t="s">
        <v>12129</v>
      </c>
      <c r="P32" s="2" t="s">
        <v>12129</v>
      </c>
      <c r="Q32" s="2" t="s">
        <v>12129</v>
      </c>
      <c r="R32" s="2" t="s">
        <v>12129</v>
      </c>
      <c r="S32" s="2" t="s">
        <v>12129</v>
      </c>
      <c r="T32" s="2" t="s">
        <v>12838</v>
      </c>
      <c r="U32" s="2" t="s">
        <v>12839</v>
      </c>
      <c r="V32" s="2" t="s">
        <v>12840</v>
      </c>
      <c r="W32" s="2" t="s">
        <v>12841</v>
      </c>
      <c r="X32" s="2" t="s">
        <v>12842</v>
      </c>
      <c r="Y32" s="2" t="s">
        <v>12843</v>
      </c>
      <c r="Z32" s="2" t="s">
        <v>12844</v>
      </c>
      <c r="AA32" s="2" t="s">
        <v>12845</v>
      </c>
      <c r="AB32" s="2" t="s">
        <v>12846</v>
      </c>
      <c r="AC32" s="2" t="s">
        <v>12847</v>
      </c>
      <c r="AD32" s="2" t="s">
        <v>12848</v>
      </c>
      <c r="AE32" s="2" t="s">
        <v>12849</v>
      </c>
      <c r="AF32" s="2" t="s">
        <v>12129</v>
      </c>
      <c r="AG32" s="2">
        <v>40.0</v>
      </c>
      <c r="AH32" s="2">
        <v>10.0</v>
      </c>
      <c r="AI32" s="2">
        <v>12.0</v>
      </c>
      <c r="AJ32" s="2">
        <v>0.0</v>
      </c>
      <c r="AK32" s="2">
        <v>36.0</v>
      </c>
      <c r="AL32" s="2" t="s">
        <v>12294</v>
      </c>
      <c r="AM32" s="2" t="s">
        <v>12295</v>
      </c>
      <c r="AN32" s="2" t="s">
        <v>12296</v>
      </c>
      <c r="AO32" s="2" t="s">
        <v>12297</v>
      </c>
      <c r="AP32" s="2" t="s">
        <v>12298</v>
      </c>
      <c r="AQ32" s="2" t="s">
        <v>12129</v>
      </c>
      <c r="AR32" s="2" t="s">
        <v>12299</v>
      </c>
      <c r="AS32" s="2" t="s">
        <v>12300</v>
      </c>
      <c r="AT32" s="2" t="s">
        <v>12850</v>
      </c>
      <c r="AU32" s="2">
        <v>2017.0</v>
      </c>
      <c r="AV32" s="2">
        <v>122.0</v>
      </c>
      <c r="AW32" s="2" t="s">
        <v>5423</v>
      </c>
      <c r="AX32" s="2" t="s">
        <v>12129</v>
      </c>
      <c r="AY32" s="2" t="s">
        <v>12129</v>
      </c>
      <c r="AZ32" s="2" t="s">
        <v>12129</v>
      </c>
      <c r="BA32" s="2" t="s">
        <v>12129</v>
      </c>
      <c r="BB32" s="2">
        <v>259.0</v>
      </c>
      <c r="BC32" s="2">
        <v>262.0</v>
      </c>
      <c r="BD32" s="2" t="s">
        <v>12129</v>
      </c>
      <c r="BE32" s="2" t="s">
        <v>12851</v>
      </c>
      <c r="BF32" s="15" t="str">
        <f>HYPERLINK("http://dx.doi.org/10.1016/j.marpolbul.2017.06.054","http://dx.doi.org/10.1016/j.marpolbul.2017.06.054")</f>
        <v>http://dx.doi.org/10.1016/j.marpolbul.2017.06.054</v>
      </c>
      <c r="BG32" s="2" t="s">
        <v>12129</v>
      </c>
      <c r="BH32" s="2" t="s">
        <v>12129</v>
      </c>
      <c r="BI32" s="2">
        <v>4.0</v>
      </c>
      <c r="BJ32" s="2" t="s">
        <v>145</v>
      </c>
      <c r="BK32" s="2" t="s">
        <v>12176</v>
      </c>
      <c r="BL32" s="2" t="s">
        <v>12303</v>
      </c>
      <c r="BM32" s="2" t="s">
        <v>12852</v>
      </c>
      <c r="BN32" s="2">
        <v>2.8662981E7</v>
      </c>
      <c r="BO32" s="2" t="s">
        <v>12129</v>
      </c>
      <c r="BP32" s="2" t="s">
        <v>12129</v>
      </c>
      <c r="BQ32" s="2" t="s">
        <v>12129</v>
      </c>
      <c r="BR32" s="2" t="s">
        <v>12152</v>
      </c>
      <c r="BS32" s="2" t="s">
        <v>12853</v>
      </c>
      <c r="BT32" s="2" t="str">
        <f>HYPERLINK("https%3A%2F%2Fwww.webofscience.com%2Fwos%2Fwoscc%2Ffull-record%2FWOS:000408076900039","View Full Record in Web of Science")</f>
        <v>View Full Record in Web of Science</v>
      </c>
    </row>
    <row r="33" ht="12.75" customHeight="1">
      <c r="A33" s="2" t="s">
        <v>23</v>
      </c>
      <c r="B33" s="2" t="s">
        <v>12854</v>
      </c>
      <c r="C33" s="2" t="s">
        <v>12129</v>
      </c>
      <c r="D33" s="2" t="s">
        <v>12129</v>
      </c>
      <c r="E33" s="2" t="s">
        <v>12129</v>
      </c>
      <c r="F33" s="2" t="s">
        <v>12855</v>
      </c>
      <c r="G33" s="2" t="s">
        <v>12129</v>
      </c>
      <c r="H33" s="2" t="s">
        <v>12129</v>
      </c>
      <c r="I33" s="2" t="s">
        <v>12856</v>
      </c>
      <c r="J33" s="2" t="s">
        <v>12857</v>
      </c>
      <c r="K33" s="2" t="s">
        <v>12129</v>
      </c>
      <c r="L33" s="2" t="s">
        <v>12129</v>
      </c>
      <c r="M33" s="2" t="s">
        <v>3263</v>
      </c>
      <c r="N33" s="2" t="s">
        <v>35</v>
      </c>
      <c r="O33" s="2" t="s">
        <v>12129</v>
      </c>
      <c r="P33" s="2" t="s">
        <v>12129</v>
      </c>
      <c r="Q33" s="2" t="s">
        <v>12129</v>
      </c>
      <c r="R33" s="2" t="s">
        <v>12129</v>
      </c>
      <c r="S33" s="2" t="s">
        <v>12129</v>
      </c>
      <c r="T33" s="2" t="s">
        <v>12858</v>
      </c>
      <c r="U33" s="2" t="s">
        <v>12859</v>
      </c>
      <c r="V33" s="2" t="s">
        <v>12860</v>
      </c>
      <c r="W33" s="2" t="s">
        <v>12861</v>
      </c>
      <c r="X33" s="2" t="s">
        <v>12862</v>
      </c>
      <c r="Y33" s="2" t="s">
        <v>12863</v>
      </c>
      <c r="Z33" s="2" t="s">
        <v>12864</v>
      </c>
      <c r="AA33" s="2" t="s">
        <v>12129</v>
      </c>
      <c r="AB33" s="2" t="s">
        <v>12129</v>
      </c>
      <c r="AC33" s="2" t="s">
        <v>12865</v>
      </c>
      <c r="AD33" s="2" t="s">
        <v>12865</v>
      </c>
      <c r="AE33" s="2" t="s">
        <v>12866</v>
      </c>
      <c r="AF33" s="2" t="s">
        <v>12129</v>
      </c>
      <c r="AG33" s="2">
        <v>44.0</v>
      </c>
      <c r="AH33" s="2">
        <v>9.0</v>
      </c>
      <c r="AI33" s="2">
        <v>13.0</v>
      </c>
      <c r="AJ33" s="2">
        <v>2.0</v>
      </c>
      <c r="AK33" s="2">
        <v>44.0</v>
      </c>
      <c r="AL33" s="2" t="s">
        <v>12243</v>
      </c>
      <c r="AM33" s="2" t="s">
        <v>12244</v>
      </c>
      <c r="AN33" s="2" t="s">
        <v>12245</v>
      </c>
      <c r="AO33" s="2" t="s">
        <v>12867</v>
      </c>
      <c r="AP33" s="2" t="s">
        <v>12868</v>
      </c>
      <c r="AQ33" s="2" t="s">
        <v>12129</v>
      </c>
      <c r="AR33" s="2" t="s">
        <v>12869</v>
      </c>
      <c r="AS33" s="2" t="s">
        <v>12870</v>
      </c>
      <c r="AT33" s="2" t="s">
        <v>12249</v>
      </c>
      <c r="AU33" s="2">
        <v>2017.0</v>
      </c>
      <c r="AV33" s="2">
        <v>88.0</v>
      </c>
      <c r="AW33" s="2">
        <v>3.0</v>
      </c>
      <c r="AX33" s="2" t="s">
        <v>12129</v>
      </c>
      <c r="AY33" s="2" t="s">
        <v>12129</v>
      </c>
      <c r="AZ33" s="2" t="s">
        <v>12129</v>
      </c>
      <c r="BA33" s="2" t="s">
        <v>12129</v>
      </c>
      <c r="BB33" s="2">
        <v>211.0</v>
      </c>
      <c r="BC33" s="2">
        <v>228.0</v>
      </c>
      <c r="BD33" s="2" t="s">
        <v>12129</v>
      </c>
      <c r="BE33" s="2" t="s">
        <v>12871</v>
      </c>
      <c r="BF33" s="15" t="str">
        <f>HYPERLINK("http://dx.doi.org/10.1111/jofo.12204","http://dx.doi.org/10.1111/jofo.12204")</f>
        <v>http://dx.doi.org/10.1111/jofo.12204</v>
      </c>
      <c r="BG33" s="2" t="s">
        <v>12129</v>
      </c>
      <c r="BH33" s="2" t="s">
        <v>12129</v>
      </c>
      <c r="BI33" s="2">
        <v>18.0</v>
      </c>
      <c r="BJ33" s="2" t="s">
        <v>270</v>
      </c>
      <c r="BK33" s="2" t="s">
        <v>12176</v>
      </c>
      <c r="BL33" s="2" t="s">
        <v>12509</v>
      </c>
      <c r="BM33" s="2" t="s">
        <v>12872</v>
      </c>
      <c r="BN33" s="2" t="s">
        <v>12129</v>
      </c>
      <c r="BO33" s="2" t="s">
        <v>12129</v>
      </c>
      <c r="BP33" s="2" t="s">
        <v>12129</v>
      </c>
      <c r="BQ33" s="2" t="s">
        <v>12129</v>
      </c>
      <c r="BR33" s="2" t="s">
        <v>12152</v>
      </c>
      <c r="BS33" s="2" t="s">
        <v>12873</v>
      </c>
      <c r="BT33" s="2" t="str">
        <f>HYPERLINK("https%3A%2F%2Fwww.webofscience.com%2Fwos%2Fwoscc%2Ffull-record%2FWOS:000411343300001","View Full Record in Web of Science")</f>
        <v>View Full Record in Web of Science</v>
      </c>
    </row>
    <row r="34" ht="12.75" customHeight="1">
      <c r="A34" s="2" t="s">
        <v>23</v>
      </c>
      <c r="B34" s="2" t="s">
        <v>12874</v>
      </c>
      <c r="C34" s="2" t="s">
        <v>12129</v>
      </c>
      <c r="D34" s="2" t="s">
        <v>12129</v>
      </c>
      <c r="E34" s="2" t="s">
        <v>12129</v>
      </c>
      <c r="F34" s="2" t="s">
        <v>12875</v>
      </c>
      <c r="G34" s="2" t="s">
        <v>12129</v>
      </c>
      <c r="H34" s="2" t="s">
        <v>12129</v>
      </c>
      <c r="I34" s="2" t="s">
        <v>12876</v>
      </c>
      <c r="J34" s="2" t="s">
        <v>12592</v>
      </c>
      <c r="K34" s="2" t="s">
        <v>12129</v>
      </c>
      <c r="L34" s="2" t="s">
        <v>12129</v>
      </c>
      <c r="M34" s="2" t="s">
        <v>3263</v>
      </c>
      <c r="N34" s="2" t="s">
        <v>35</v>
      </c>
      <c r="O34" s="2" t="s">
        <v>12129</v>
      </c>
      <c r="P34" s="2" t="s">
        <v>12129</v>
      </c>
      <c r="Q34" s="2" t="s">
        <v>12129</v>
      </c>
      <c r="R34" s="2" t="s">
        <v>12129</v>
      </c>
      <c r="S34" s="2" t="s">
        <v>12129</v>
      </c>
      <c r="T34" s="2" t="s">
        <v>12877</v>
      </c>
      <c r="U34" s="2" t="s">
        <v>12878</v>
      </c>
      <c r="V34" s="2" t="s">
        <v>12879</v>
      </c>
      <c r="W34" s="2" t="s">
        <v>12880</v>
      </c>
      <c r="X34" s="2" t="s">
        <v>12881</v>
      </c>
      <c r="Y34" s="2" t="s">
        <v>12882</v>
      </c>
      <c r="Z34" s="2" t="s">
        <v>12883</v>
      </c>
      <c r="AA34" s="2" t="s">
        <v>12884</v>
      </c>
      <c r="AB34" s="2" t="s">
        <v>12885</v>
      </c>
      <c r="AC34" s="2" t="s">
        <v>12886</v>
      </c>
      <c r="AD34" s="2" t="s">
        <v>12887</v>
      </c>
      <c r="AE34" s="2" t="s">
        <v>12888</v>
      </c>
      <c r="AF34" s="2" t="s">
        <v>12129</v>
      </c>
      <c r="AG34" s="2">
        <v>77.0</v>
      </c>
      <c r="AH34" s="2">
        <v>30.0</v>
      </c>
      <c r="AI34" s="2">
        <v>32.0</v>
      </c>
      <c r="AJ34" s="2">
        <v>0.0</v>
      </c>
      <c r="AK34" s="2">
        <v>64.0</v>
      </c>
      <c r="AL34" s="2" t="s">
        <v>12605</v>
      </c>
      <c r="AM34" s="2" t="s">
        <v>12606</v>
      </c>
      <c r="AN34" s="2" t="s">
        <v>12607</v>
      </c>
      <c r="AO34" s="2" t="s">
        <v>12608</v>
      </c>
      <c r="AP34" s="2" t="s">
        <v>12609</v>
      </c>
      <c r="AQ34" s="2" t="s">
        <v>12129</v>
      </c>
      <c r="AR34" s="2" t="s">
        <v>12610</v>
      </c>
      <c r="AS34" s="2" t="s">
        <v>12611</v>
      </c>
      <c r="AT34" s="2" t="s">
        <v>12889</v>
      </c>
      <c r="AU34" s="2">
        <v>2017.0</v>
      </c>
      <c r="AV34" s="2">
        <v>576.0</v>
      </c>
      <c r="AW34" s="2" t="s">
        <v>12129</v>
      </c>
      <c r="AX34" s="2" t="s">
        <v>12129</v>
      </c>
      <c r="AY34" s="2" t="s">
        <v>12129</v>
      </c>
      <c r="AZ34" s="2" t="s">
        <v>12129</v>
      </c>
      <c r="BA34" s="2" t="s">
        <v>12129</v>
      </c>
      <c r="BB34" s="2">
        <v>55.0</v>
      </c>
      <c r="BC34" s="2">
        <v>68.0</v>
      </c>
      <c r="BD34" s="2" t="s">
        <v>12129</v>
      </c>
      <c r="BE34" s="2" t="s">
        <v>12890</v>
      </c>
      <c r="BF34" s="15" t="str">
        <f>HYPERLINK("http://dx.doi.org/10.3354/meps12221","http://dx.doi.org/10.3354/meps12221")</f>
        <v>http://dx.doi.org/10.3354/meps12221</v>
      </c>
      <c r="BG34" s="2" t="s">
        <v>12129</v>
      </c>
      <c r="BH34" s="2" t="s">
        <v>12129</v>
      </c>
      <c r="BI34" s="2">
        <v>14.0</v>
      </c>
      <c r="BJ34" s="2" t="s">
        <v>12222</v>
      </c>
      <c r="BK34" s="2" t="s">
        <v>12729</v>
      </c>
      <c r="BL34" s="2" t="s">
        <v>12224</v>
      </c>
      <c r="BM34" s="2" t="s">
        <v>12891</v>
      </c>
      <c r="BN34" s="2" t="s">
        <v>12129</v>
      </c>
      <c r="BO34" s="2" t="s">
        <v>12129</v>
      </c>
      <c r="BP34" s="2" t="s">
        <v>12129</v>
      </c>
      <c r="BQ34" s="2" t="s">
        <v>12129</v>
      </c>
      <c r="BR34" s="2" t="s">
        <v>12152</v>
      </c>
      <c r="BS34" s="2" t="s">
        <v>12892</v>
      </c>
      <c r="BT34" s="2" t="str">
        <f>HYPERLINK("https%3A%2F%2Fwww.webofscience.com%2Fwos%2Fwoscc%2Ffull-record%2FWOS:000407443900005","View Full Record in Web of Science")</f>
        <v>View Full Record in Web of Science</v>
      </c>
    </row>
    <row r="35" ht="12.75" customHeight="1">
      <c r="A35" s="2" t="s">
        <v>23</v>
      </c>
      <c r="B35" s="2" t="s">
        <v>12893</v>
      </c>
      <c r="C35" s="2" t="s">
        <v>12129</v>
      </c>
      <c r="D35" s="2" t="s">
        <v>12129</v>
      </c>
      <c r="E35" s="2" t="s">
        <v>12129</v>
      </c>
      <c r="F35" s="2" t="s">
        <v>12894</v>
      </c>
      <c r="G35" s="2" t="s">
        <v>12129</v>
      </c>
      <c r="H35" s="2" t="s">
        <v>12129</v>
      </c>
      <c r="I35" s="2" t="s">
        <v>12895</v>
      </c>
      <c r="J35" s="2" t="s">
        <v>123</v>
      </c>
      <c r="K35" s="2" t="s">
        <v>12129</v>
      </c>
      <c r="L35" s="2" t="s">
        <v>12129</v>
      </c>
      <c r="M35" s="2" t="s">
        <v>3263</v>
      </c>
      <c r="N35" s="2" t="s">
        <v>35</v>
      </c>
      <c r="O35" s="2" t="s">
        <v>12129</v>
      </c>
      <c r="P35" s="2" t="s">
        <v>12129</v>
      </c>
      <c r="Q35" s="2" t="s">
        <v>12129</v>
      </c>
      <c r="R35" s="2" t="s">
        <v>12129</v>
      </c>
      <c r="S35" s="2" t="s">
        <v>12129</v>
      </c>
      <c r="T35" s="2" t="s">
        <v>12896</v>
      </c>
      <c r="U35" s="2" t="s">
        <v>12897</v>
      </c>
      <c r="V35" s="2" t="s">
        <v>12898</v>
      </c>
      <c r="W35" s="2" t="s">
        <v>12899</v>
      </c>
      <c r="X35" s="2" t="s">
        <v>12900</v>
      </c>
      <c r="Y35" s="2" t="s">
        <v>12901</v>
      </c>
      <c r="Z35" s="2" t="s">
        <v>12902</v>
      </c>
      <c r="AA35" s="2" t="s">
        <v>12903</v>
      </c>
      <c r="AB35" s="2" t="s">
        <v>12904</v>
      </c>
      <c r="AC35" s="2" t="s">
        <v>12905</v>
      </c>
      <c r="AD35" s="2" t="s">
        <v>12906</v>
      </c>
      <c r="AE35" s="2" t="s">
        <v>12907</v>
      </c>
      <c r="AF35" s="2" t="s">
        <v>12129</v>
      </c>
      <c r="AG35" s="2">
        <v>56.0</v>
      </c>
      <c r="AH35" s="2">
        <v>21.0</v>
      </c>
      <c r="AI35" s="2">
        <v>21.0</v>
      </c>
      <c r="AJ35" s="2">
        <v>0.0</v>
      </c>
      <c r="AK35" s="2">
        <v>26.0</v>
      </c>
      <c r="AL35" s="2" t="s">
        <v>12243</v>
      </c>
      <c r="AM35" s="2" t="s">
        <v>12244</v>
      </c>
      <c r="AN35" s="2" t="s">
        <v>12245</v>
      </c>
      <c r="AO35" s="2" t="s">
        <v>12908</v>
      </c>
      <c r="AP35" s="2" t="s">
        <v>12909</v>
      </c>
      <c r="AQ35" s="2" t="s">
        <v>12129</v>
      </c>
      <c r="AR35" s="2" t="s">
        <v>12910</v>
      </c>
      <c r="AS35" s="2" t="s">
        <v>12911</v>
      </c>
      <c r="AT35" s="2" t="s">
        <v>12352</v>
      </c>
      <c r="AU35" s="2">
        <v>2017.0</v>
      </c>
      <c r="AV35" s="2">
        <v>62.0</v>
      </c>
      <c r="AW35" s="2">
        <v>7.0</v>
      </c>
      <c r="AX35" s="2" t="s">
        <v>12129</v>
      </c>
      <c r="AY35" s="2" t="s">
        <v>12129</v>
      </c>
      <c r="AZ35" s="2" t="s">
        <v>12129</v>
      </c>
      <c r="BA35" s="2" t="s">
        <v>12129</v>
      </c>
      <c r="BB35" s="2">
        <v>1117.0</v>
      </c>
      <c r="BC35" s="2">
        <v>1129.0</v>
      </c>
      <c r="BD35" s="2" t="s">
        <v>12129</v>
      </c>
      <c r="BE35" s="2" t="s">
        <v>12912</v>
      </c>
      <c r="BF35" s="15" t="str">
        <f>HYPERLINK("http://dx.doi.org/10.1111/fwb.12929","http://dx.doi.org/10.1111/fwb.12929")</f>
        <v>http://dx.doi.org/10.1111/fwb.12929</v>
      </c>
      <c r="BG35" s="2" t="s">
        <v>12129</v>
      </c>
      <c r="BH35" s="2" t="s">
        <v>12129</v>
      </c>
      <c r="BI35" s="2">
        <v>13.0</v>
      </c>
      <c r="BJ35" s="2" t="s">
        <v>127</v>
      </c>
      <c r="BK35" s="2" t="s">
        <v>12176</v>
      </c>
      <c r="BL35" s="2" t="s">
        <v>12303</v>
      </c>
      <c r="BM35" s="2" t="s">
        <v>12913</v>
      </c>
      <c r="BN35" s="2" t="s">
        <v>12129</v>
      </c>
      <c r="BO35" s="2" t="s">
        <v>12129</v>
      </c>
      <c r="BP35" s="2" t="s">
        <v>12129</v>
      </c>
      <c r="BQ35" s="2" t="s">
        <v>12129</v>
      </c>
      <c r="BR35" s="2" t="s">
        <v>12152</v>
      </c>
      <c r="BS35" s="2" t="s">
        <v>12914</v>
      </c>
      <c r="BT35" s="2" t="str">
        <f>HYPERLINK("https%3A%2F%2Fwww.webofscience.com%2Fwos%2Fwoscc%2Ffull-record%2FWOS:000403021500001","View Full Record in Web of Science")</f>
        <v>View Full Record in Web of Science</v>
      </c>
    </row>
    <row r="36" ht="12.75" customHeight="1">
      <c r="A36" s="2" t="s">
        <v>23</v>
      </c>
      <c r="B36" s="2" t="s">
        <v>12915</v>
      </c>
      <c r="C36" s="2" t="s">
        <v>12129</v>
      </c>
      <c r="D36" s="2" t="s">
        <v>12129</v>
      </c>
      <c r="E36" s="2" t="s">
        <v>12129</v>
      </c>
      <c r="F36" s="2" t="s">
        <v>12916</v>
      </c>
      <c r="G36" s="2" t="s">
        <v>12129</v>
      </c>
      <c r="H36" s="2" t="s">
        <v>12129</v>
      </c>
      <c r="I36" s="2" t="s">
        <v>12917</v>
      </c>
      <c r="J36" s="2" t="s">
        <v>61</v>
      </c>
      <c r="K36" s="2" t="s">
        <v>12129</v>
      </c>
      <c r="L36" s="2" t="s">
        <v>12129</v>
      </c>
      <c r="M36" s="2" t="s">
        <v>3263</v>
      </c>
      <c r="N36" s="2" t="s">
        <v>35</v>
      </c>
      <c r="O36" s="2" t="s">
        <v>12129</v>
      </c>
      <c r="P36" s="2" t="s">
        <v>12129</v>
      </c>
      <c r="Q36" s="2" t="s">
        <v>12129</v>
      </c>
      <c r="R36" s="2" t="s">
        <v>12129</v>
      </c>
      <c r="S36" s="2" t="s">
        <v>12129</v>
      </c>
      <c r="T36" s="2" t="s">
        <v>12918</v>
      </c>
      <c r="U36" s="2" t="s">
        <v>12919</v>
      </c>
      <c r="V36" s="2" t="s">
        <v>12920</v>
      </c>
      <c r="W36" s="2" t="s">
        <v>12921</v>
      </c>
      <c r="X36" s="2" t="s">
        <v>12922</v>
      </c>
      <c r="Y36" s="2" t="s">
        <v>12923</v>
      </c>
      <c r="Z36" s="2" t="s">
        <v>12924</v>
      </c>
      <c r="AA36" s="2" t="s">
        <v>12925</v>
      </c>
      <c r="AB36" s="2" t="s">
        <v>12926</v>
      </c>
      <c r="AC36" s="2" t="s">
        <v>12927</v>
      </c>
      <c r="AD36" s="2" t="s">
        <v>12928</v>
      </c>
      <c r="AE36" s="2" t="s">
        <v>12929</v>
      </c>
      <c r="AF36" s="2" t="s">
        <v>12129</v>
      </c>
      <c r="AG36" s="2">
        <v>60.0</v>
      </c>
      <c r="AH36" s="2">
        <v>34.0</v>
      </c>
      <c r="AI36" s="2">
        <v>38.0</v>
      </c>
      <c r="AJ36" s="2">
        <v>2.0</v>
      </c>
      <c r="AK36" s="2">
        <v>150.0</v>
      </c>
      <c r="AL36" s="2" t="s">
        <v>12930</v>
      </c>
      <c r="AM36" s="2" t="s">
        <v>12270</v>
      </c>
      <c r="AN36" s="2" t="s">
        <v>12931</v>
      </c>
      <c r="AO36" s="2" t="s">
        <v>6141</v>
      </c>
      <c r="AP36" s="2" t="s">
        <v>12932</v>
      </c>
      <c r="AQ36" s="2" t="s">
        <v>12129</v>
      </c>
      <c r="AR36" s="2" t="s">
        <v>12933</v>
      </c>
      <c r="AS36" s="2" t="s">
        <v>12934</v>
      </c>
      <c r="AT36" s="2" t="s">
        <v>12935</v>
      </c>
      <c r="AU36" s="2">
        <v>2017.0</v>
      </c>
      <c r="AV36" s="2">
        <v>589.0</v>
      </c>
      <c r="AW36" s="2" t="s">
        <v>12129</v>
      </c>
      <c r="AX36" s="2" t="s">
        <v>12129</v>
      </c>
      <c r="AY36" s="2" t="s">
        <v>12129</v>
      </c>
      <c r="AZ36" s="2" t="s">
        <v>12129</v>
      </c>
      <c r="BA36" s="2" t="s">
        <v>12129</v>
      </c>
      <c r="BB36" s="2">
        <v>73.0</v>
      </c>
      <c r="BC36" s="2">
        <v>88.0</v>
      </c>
      <c r="BD36" s="2" t="s">
        <v>12129</v>
      </c>
      <c r="BE36" s="2" t="s">
        <v>12936</v>
      </c>
      <c r="BF36" s="15" t="str">
        <f>HYPERLINK("http://dx.doi.org/10.1016/j.scitotenv.2017.02.210","http://dx.doi.org/10.1016/j.scitotenv.2017.02.210")</f>
        <v>http://dx.doi.org/10.1016/j.scitotenv.2017.02.210</v>
      </c>
      <c r="BG36" s="2" t="s">
        <v>12129</v>
      </c>
      <c r="BH36" s="2" t="s">
        <v>12129</v>
      </c>
      <c r="BI36" s="2">
        <v>16.0</v>
      </c>
      <c r="BJ36" s="2" t="s">
        <v>65</v>
      </c>
      <c r="BK36" s="2" t="s">
        <v>12176</v>
      </c>
      <c r="BL36" s="2" t="s">
        <v>12251</v>
      </c>
      <c r="BM36" s="2" t="s">
        <v>12937</v>
      </c>
      <c r="BN36" s="2">
        <v>2.8264774E7</v>
      </c>
      <c r="BO36" s="2" t="s">
        <v>12129</v>
      </c>
      <c r="BP36" s="2" t="s">
        <v>12129</v>
      </c>
      <c r="BQ36" s="2" t="s">
        <v>12129</v>
      </c>
      <c r="BR36" s="2" t="s">
        <v>12152</v>
      </c>
      <c r="BS36" s="2" t="s">
        <v>12938</v>
      </c>
      <c r="BT36" s="2" t="str">
        <f>HYPERLINK("https%3A%2F%2Fwww.webofscience.com%2Fwos%2Fwoscc%2Ffull-record%2FWOS:000399848100008","View Full Record in Web of Science")</f>
        <v>View Full Record in Web of Science</v>
      </c>
    </row>
    <row r="37" ht="12.75" customHeight="1">
      <c r="A37" s="2" t="s">
        <v>23</v>
      </c>
      <c r="B37" s="2" t="s">
        <v>12939</v>
      </c>
      <c r="C37" s="2" t="s">
        <v>12129</v>
      </c>
      <c r="D37" s="2" t="s">
        <v>12129</v>
      </c>
      <c r="E37" s="2" t="s">
        <v>12129</v>
      </c>
      <c r="F37" s="2" t="s">
        <v>12940</v>
      </c>
      <c r="G37" s="2" t="s">
        <v>12129</v>
      </c>
      <c r="H37" s="2" t="s">
        <v>12129</v>
      </c>
      <c r="I37" s="2" t="s">
        <v>12941</v>
      </c>
      <c r="J37" s="2" t="s">
        <v>12942</v>
      </c>
      <c r="K37" s="2" t="s">
        <v>12129</v>
      </c>
      <c r="L37" s="2" t="s">
        <v>12129</v>
      </c>
      <c r="M37" s="2" t="s">
        <v>3263</v>
      </c>
      <c r="N37" s="2" t="s">
        <v>35</v>
      </c>
      <c r="O37" s="2" t="s">
        <v>12129</v>
      </c>
      <c r="P37" s="2" t="s">
        <v>12129</v>
      </c>
      <c r="Q37" s="2" t="s">
        <v>12129</v>
      </c>
      <c r="R37" s="2" t="s">
        <v>12129</v>
      </c>
      <c r="S37" s="2" t="s">
        <v>12129</v>
      </c>
      <c r="T37" s="2" t="s">
        <v>12943</v>
      </c>
      <c r="U37" s="2" t="s">
        <v>12944</v>
      </c>
      <c r="V37" s="2" t="s">
        <v>12945</v>
      </c>
      <c r="W37" s="2" t="s">
        <v>12946</v>
      </c>
      <c r="X37" s="2" t="s">
        <v>12947</v>
      </c>
      <c r="Y37" s="2" t="s">
        <v>12948</v>
      </c>
      <c r="Z37" s="2" t="s">
        <v>12949</v>
      </c>
      <c r="AA37" s="2" t="s">
        <v>12129</v>
      </c>
      <c r="AB37" s="2" t="s">
        <v>12950</v>
      </c>
      <c r="AC37" s="2" t="s">
        <v>12951</v>
      </c>
      <c r="AD37" s="2" t="s">
        <v>12952</v>
      </c>
      <c r="AE37" s="2" t="s">
        <v>12953</v>
      </c>
      <c r="AF37" s="2" t="s">
        <v>12129</v>
      </c>
      <c r="AG37" s="2">
        <v>69.0</v>
      </c>
      <c r="AH37" s="2">
        <v>71.0</v>
      </c>
      <c r="AI37" s="2">
        <v>79.0</v>
      </c>
      <c r="AJ37" s="2">
        <v>4.0</v>
      </c>
      <c r="AK37" s="2">
        <v>34.0</v>
      </c>
      <c r="AL37" s="2" t="s">
        <v>12954</v>
      </c>
      <c r="AM37" s="2" t="s">
        <v>12955</v>
      </c>
      <c r="AN37" s="2" t="s">
        <v>12956</v>
      </c>
      <c r="AO37" s="2" t="s">
        <v>12129</v>
      </c>
      <c r="AP37" s="2" t="s">
        <v>12957</v>
      </c>
      <c r="AQ37" s="2" t="s">
        <v>12129</v>
      </c>
      <c r="AR37" s="2" t="s">
        <v>12958</v>
      </c>
      <c r="AS37" s="2" t="s">
        <v>12959</v>
      </c>
      <c r="AT37" s="2" t="s">
        <v>12436</v>
      </c>
      <c r="AU37" s="2">
        <v>2017.0</v>
      </c>
      <c r="AV37" s="2">
        <v>9.0</v>
      </c>
      <c r="AW37" s="2">
        <v>6.0</v>
      </c>
      <c r="AX37" s="2" t="s">
        <v>12129</v>
      </c>
      <c r="AY37" s="2" t="s">
        <v>12129</v>
      </c>
      <c r="AZ37" s="2" t="s">
        <v>12129</v>
      </c>
      <c r="BA37" s="2" t="s">
        <v>12129</v>
      </c>
      <c r="BB37" s="2" t="s">
        <v>12129</v>
      </c>
      <c r="BC37" s="2" t="s">
        <v>12129</v>
      </c>
      <c r="BD37" s="2">
        <v>525.0</v>
      </c>
      <c r="BE37" s="2" t="s">
        <v>12960</v>
      </c>
      <c r="BF37" s="15" t="str">
        <f>HYPERLINK("http://dx.doi.org/10.3390/rs9060525","http://dx.doi.org/10.3390/rs9060525")</f>
        <v>http://dx.doi.org/10.3390/rs9060525</v>
      </c>
      <c r="BG37" s="2" t="s">
        <v>12129</v>
      </c>
      <c r="BH37" s="2" t="s">
        <v>12129</v>
      </c>
      <c r="BI37" s="2">
        <v>20.0</v>
      </c>
      <c r="BJ37" s="2" t="s">
        <v>12961</v>
      </c>
      <c r="BK37" s="2" t="s">
        <v>12176</v>
      </c>
      <c r="BL37" s="2" t="s">
        <v>12962</v>
      </c>
      <c r="BM37" s="2" t="s">
        <v>12963</v>
      </c>
      <c r="BN37" s="2" t="s">
        <v>12129</v>
      </c>
      <c r="BO37" s="2" t="s">
        <v>12179</v>
      </c>
      <c r="BP37" s="2" t="s">
        <v>12129</v>
      </c>
      <c r="BQ37" s="2" t="s">
        <v>12129</v>
      </c>
      <c r="BR37" s="2" t="s">
        <v>12152</v>
      </c>
      <c r="BS37" s="2" t="s">
        <v>12964</v>
      </c>
      <c r="BT37" s="2" t="str">
        <f>HYPERLINK("https%3A%2F%2Fwww.webofscience.com%2Fwos%2Fwoscc%2Ffull-record%2FWOS:000404623900016","View Full Record in Web of Science")</f>
        <v>View Full Record in Web of Science</v>
      </c>
    </row>
    <row r="38" ht="12.75" customHeight="1">
      <c r="A38" s="2" t="s">
        <v>23</v>
      </c>
      <c r="B38" s="2" t="s">
        <v>12965</v>
      </c>
      <c r="C38" s="2" t="s">
        <v>12129</v>
      </c>
      <c r="D38" s="2" t="s">
        <v>12129</v>
      </c>
      <c r="E38" s="2" t="s">
        <v>12129</v>
      </c>
      <c r="F38" s="2" t="s">
        <v>12966</v>
      </c>
      <c r="G38" s="2" t="s">
        <v>12129</v>
      </c>
      <c r="H38" s="2" t="s">
        <v>12129</v>
      </c>
      <c r="I38" s="2" t="s">
        <v>12967</v>
      </c>
      <c r="J38" s="2" t="s">
        <v>12968</v>
      </c>
      <c r="K38" s="2" t="s">
        <v>12129</v>
      </c>
      <c r="L38" s="2" t="s">
        <v>12129</v>
      </c>
      <c r="M38" s="2" t="s">
        <v>3263</v>
      </c>
      <c r="N38" s="2" t="s">
        <v>27</v>
      </c>
      <c r="O38" s="2" t="s">
        <v>12129</v>
      </c>
      <c r="P38" s="2" t="s">
        <v>12129</v>
      </c>
      <c r="Q38" s="2" t="s">
        <v>12129</v>
      </c>
      <c r="R38" s="2" t="s">
        <v>12129</v>
      </c>
      <c r="S38" s="2" t="s">
        <v>12129</v>
      </c>
      <c r="T38" s="2" t="s">
        <v>12969</v>
      </c>
      <c r="U38" s="2" t="s">
        <v>12970</v>
      </c>
      <c r="V38" s="2" t="s">
        <v>12971</v>
      </c>
      <c r="W38" s="2" t="s">
        <v>12972</v>
      </c>
      <c r="X38" s="2" t="s">
        <v>12973</v>
      </c>
      <c r="Y38" s="2" t="s">
        <v>12974</v>
      </c>
      <c r="Z38" s="2" t="s">
        <v>12975</v>
      </c>
      <c r="AA38" s="2" t="s">
        <v>12976</v>
      </c>
      <c r="AB38" s="2" t="s">
        <v>12977</v>
      </c>
      <c r="AC38" s="2" t="s">
        <v>12978</v>
      </c>
      <c r="AD38" s="2" t="s">
        <v>12979</v>
      </c>
      <c r="AE38" s="2" t="s">
        <v>12980</v>
      </c>
      <c r="AF38" s="2" t="s">
        <v>12129</v>
      </c>
      <c r="AG38" s="2">
        <v>65.0</v>
      </c>
      <c r="AH38" s="2">
        <v>23.0</v>
      </c>
      <c r="AI38" s="2">
        <v>26.0</v>
      </c>
      <c r="AJ38" s="2">
        <v>1.0</v>
      </c>
      <c r="AK38" s="2">
        <v>89.0</v>
      </c>
      <c r="AL38" s="2" t="s">
        <v>12981</v>
      </c>
      <c r="AM38" s="2" t="s">
        <v>12982</v>
      </c>
      <c r="AN38" s="2" t="s">
        <v>12983</v>
      </c>
      <c r="AO38" s="2" t="s">
        <v>12984</v>
      </c>
      <c r="AP38" s="2" t="s">
        <v>9361</v>
      </c>
      <c r="AQ38" s="2" t="s">
        <v>12129</v>
      </c>
      <c r="AR38" s="2" t="s">
        <v>12985</v>
      </c>
      <c r="AS38" s="2" t="s">
        <v>12986</v>
      </c>
      <c r="AT38" s="2" t="s">
        <v>12436</v>
      </c>
      <c r="AU38" s="2">
        <v>2017.0</v>
      </c>
      <c r="AV38" s="2">
        <v>25.0</v>
      </c>
      <c r="AW38" s="2">
        <v>2.0</v>
      </c>
      <c r="AX38" s="2" t="s">
        <v>12129</v>
      </c>
      <c r="AY38" s="2" t="s">
        <v>12129</v>
      </c>
      <c r="AZ38" s="2" t="s">
        <v>12129</v>
      </c>
      <c r="BA38" s="2" t="s">
        <v>12129</v>
      </c>
      <c r="BB38" s="2">
        <v>184.0</v>
      </c>
      <c r="BC38" s="2">
        <v>192.0</v>
      </c>
      <c r="BD38" s="2" t="s">
        <v>12129</v>
      </c>
      <c r="BE38" s="2" t="s">
        <v>12987</v>
      </c>
      <c r="BF38" s="15" t="str">
        <f>HYPERLINK("http://dx.doi.org/10.1139/er-2016-0085","http://dx.doi.org/10.1139/er-2016-0085")</f>
        <v>http://dx.doi.org/10.1139/er-2016-0085</v>
      </c>
      <c r="BG38" s="2" t="s">
        <v>12129</v>
      </c>
      <c r="BH38" s="2" t="s">
        <v>12129</v>
      </c>
      <c r="BI38" s="2">
        <v>9.0</v>
      </c>
      <c r="BJ38" s="2" t="s">
        <v>65</v>
      </c>
      <c r="BK38" s="2" t="s">
        <v>12176</v>
      </c>
      <c r="BL38" s="2" t="s">
        <v>12251</v>
      </c>
      <c r="BM38" s="2" t="s">
        <v>12988</v>
      </c>
      <c r="BN38" s="2" t="s">
        <v>12129</v>
      </c>
      <c r="BO38" s="2" t="s">
        <v>12129</v>
      </c>
      <c r="BP38" s="2" t="s">
        <v>12129</v>
      </c>
      <c r="BQ38" s="2" t="s">
        <v>12129</v>
      </c>
      <c r="BR38" s="2" t="s">
        <v>12152</v>
      </c>
      <c r="BS38" s="2" t="s">
        <v>12989</v>
      </c>
      <c r="BT38" s="2" t="str">
        <f>HYPERLINK("https%3A%2F%2Fwww.webofscience.com%2Fwos%2Fwoscc%2Ffull-record%2FWOS:000402318000004","View Full Record in Web of Science")</f>
        <v>View Full Record in Web of Science</v>
      </c>
    </row>
    <row r="39" ht="12.75" customHeight="1">
      <c r="A39" s="2" t="s">
        <v>23</v>
      </c>
      <c r="B39" s="2" t="s">
        <v>12990</v>
      </c>
      <c r="C39" s="2" t="s">
        <v>12129</v>
      </c>
      <c r="D39" s="2" t="s">
        <v>12129</v>
      </c>
      <c r="E39" s="2" t="s">
        <v>12129</v>
      </c>
      <c r="F39" s="2" t="s">
        <v>12991</v>
      </c>
      <c r="G39" s="2" t="s">
        <v>12129</v>
      </c>
      <c r="H39" s="2" t="s">
        <v>12129</v>
      </c>
      <c r="I39" s="2" t="s">
        <v>12992</v>
      </c>
      <c r="J39" s="2" t="s">
        <v>12993</v>
      </c>
      <c r="K39" s="2" t="s">
        <v>12129</v>
      </c>
      <c r="L39" s="2" t="s">
        <v>12129</v>
      </c>
      <c r="M39" s="2" t="s">
        <v>3263</v>
      </c>
      <c r="N39" s="2" t="s">
        <v>35</v>
      </c>
      <c r="O39" s="2" t="s">
        <v>12129</v>
      </c>
      <c r="P39" s="2" t="s">
        <v>12129</v>
      </c>
      <c r="Q39" s="2" t="s">
        <v>12129</v>
      </c>
      <c r="R39" s="2" t="s">
        <v>12129</v>
      </c>
      <c r="S39" s="2" t="s">
        <v>12129</v>
      </c>
      <c r="T39" s="2" t="s">
        <v>12129</v>
      </c>
      <c r="U39" s="2" t="s">
        <v>12994</v>
      </c>
      <c r="V39" s="2" t="s">
        <v>12995</v>
      </c>
      <c r="W39" s="2" t="s">
        <v>12996</v>
      </c>
      <c r="X39" s="2" t="s">
        <v>12997</v>
      </c>
      <c r="Y39" s="2" t="s">
        <v>12998</v>
      </c>
      <c r="Z39" s="2" t="s">
        <v>12999</v>
      </c>
      <c r="AA39" s="2" t="s">
        <v>13000</v>
      </c>
      <c r="AB39" s="2" t="s">
        <v>13001</v>
      </c>
      <c r="AC39" s="2" t="s">
        <v>13002</v>
      </c>
      <c r="AD39" s="2" t="s">
        <v>13003</v>
      </c>
      <c r="AE39" s="2" t="s">
        <v>13004</v>
      </c>
      <c r="AF39" s="2" t="s">
        <v>12129</v>
      </c>
      <c r="AG39" s="2">
        <v>59.0</v>
      </c>
      <c r="AH39" s="2">
        <v>48.0</v>
      </c>
      <c r="AI39" s="2">
        <v>52.0</v>
      </c>
      <c r="AJ39" s="2">
        <v>1.0</v>
      </c>
      <c r="AK39" s="2">
        <v>62.0</v>
      </c>
      <c r="AL39" s="2" t="s">
        <v>13005</v>
      </c>
      <c r="AM39" s="2" t="s">
        <v>13006</v>
      </c>
      <c r="AN39" s="2" t="s">
        <v>13007</v>
      </c>
      <c r="AO39" s="2" t="s">
        <v>13008</v>
      </c>
      <c r="AP39" s="2" t="s">
        <v>13009</v>
      </c>
      <c r="AQ39" s="2" t="s">
        <v>12129</v>
      </c>
      <c r="AR39" s="2" t="s">
        <v>12993</v>
      </c>
      <c r="AS39" s="2" t="s">
        <v>13010</v>
      </c>
      <c r="AT39" s="2" t="s">
        <v>13011</v>
      </c>
      <c r="AU39" s="2">
        <v>2017.0</v>
      </c>
      <c r="AV39" s="2">
        <v>14.0</v>
      </c>
      <c r="AW39" s="2">
        <v>9.0</v>
      </c>
      <c r="AX39" s="2" t="s">
        <v>12129</v>
      </c>
      <c r="AY39" s="2" t="s">
        <v>12129</v>
      </c>
      <c r="AZ39" s="2" t="s">
        <v>12129</v>
      </c>
      <c r="BA39" s="2" t="s">
        <v>12129</v>
      </c>
      <c r="BB39" s="2">
        <v>2387.0</v>
      </c>
      <c r="BC39" s="2">
        <v>2405.0</v>
      </c>
      <c r="BD39" s="2" t="s">
        <v>12129</v>
      </c>
      <c r="BE39" s="2" t="s">
        <v>13012</v>
      </c>
      <c r="BF39" s="15" t="str">
        <f>HYPERLINK("http://dx.doi.org/10.5194/bg-14-2387-2017","http://dx.doi.org/10.5194/bg-14-2387-2017")</f>
        <v>http://dx.doi.org/10.5194/bg-14-2387-2017</v>
      </c>
      <c r="BG39" s="2" t="s">
        <v>12129</v>
      </c>
      <c r="BH39" s="2" t="s">
        <v>12129</v>
      </c>
      <c r="BI39" s="2">
        <v>19.0</v>
      </c>
      <c r="BJ39" s="2" t="s">
        <v>13013</v>
      </c>
      <c r="BK39" s="2" t="s">
        <v>12176</v>
      </c>
      <c r="BL39" s="2" t="s">
        <v>13014</v>
      </c>
      <c r="BM39" s="2" t="s">
        <v>13015</v>
      </c>
      <c r="BN39" s="2" t="s">
        <v>12129</v>
      </c>
      <c r="BO39" s="2" t="s">
        <v>12399</v>
      </c>
      <c r="BP39" s="2" t="s">
        <v>12129</v>
      </c>
      <c r="BQ39" s="2" t="s">
        <v>12129</v>
      </c>
      <c r="BR39" s="2" t="s">
        <v>12152</v>
      </c>
      <c r="BS39" s="2" t="s">
        <v>13016</v>
      </c>
      <c r="BT39" s="2" t="str">
        <f>HYPERLINK("https%3A%2F%2Fwww.webofscience.com%2Fwos%2Fwoscc%2Ffull-record%2FWOS:000401104900001","View Full Record in Web of Science")</f>
        <v>View Full Record in Web of Science</v>
      </c>
    </row>
    <row r="40" ht="12.75" customHeight="1">
      <c r="A40" s="2" t="s">
        <v>23</v>
      </c>
      <c r="B40" s="2" t="s">
        <v>13017</v>
      </c>
      <c r="C40" s="2" t="s">
        <v>12129</v>
      </c>
      <c r="D40" s="2" t="s">
        <v>12129</v>
      </c>
      <c r="E40" s="2" t="s">
        <v>12129</v>
      </c>
      <c r="F40" s="2" t="s">
        <v>13018</v>
      </c>
      <c r="G40" s="2" t="s">
        <v>12129</v>
      </c>
      <c r="H40" s="2" t="s">
        <v>12129</v>
      </c>
      <c r="I40" s="2" t="s">
        <v>13019</v>
      </c>
      <c r="J40" s="2" t="s">
        <v>504</v>
      </c>
      <c r="K40" s="2" t="s">
        <v>12129</v>
      </c>
      <c r="L40" s="2" t="s">
        <v>12129</v>
      </c>
      <c r="M40" s="2" t="s">
        <v>3263</v>
      </c>
      <c r="N40" s="2" t="s">
        <v>35</v>
      </c>
      <c r="O40" s="2" t="s">
        <v>12129</v>
      </c>
      <c r="P40" s="2" t="s">
        <v>12129</v>
      </c>
      <c r="Q40" s="2" t="s">
        <v>12129</v>
      </c>
      <c r="R40" s="2" t="s">
        <v>12129</v>
      </c>
      <c r="S40" s="2" t="s">
        <v>12129</v>
      </c>
      <c r="T40" s="2" t="s">
        <v>12129</v>
      </c>
      <c r="U40" s="2" t="s">
        <v>13020</v>
      </c>
      <c r="V40" s="2" t="s">
        <v>13021</v>
      </c>
      <c r="W40" s="2" t="s">
        <v>13022</v>
      </c>
      <c r="X40" s="2" t="s">
        <v>13023</v>
      </c>
      <c r="Y40" s="2" t="s">
        <v>13024</v>
      </c>
      <c r="Z40" s="2" t="s">
        <v>13025</v>
      </c>
      <c r="AA40" s="2" t="s">
        <v>13026</v>
      </c>
      <c r="AB40" s="2" t="s">
        <v>13027</v>
      </c>
      <c r="AC40" s="2" t="s">
        <v>12129</v>
      </c>
      <c r="AD40" s="2" t="s">
        <v>12129</v>
      </c>
      <c r="AE40" s="2" t="s">
        <v>12129</v>
      </c>
      <c r="AF40" s="2" t="s">
        <v>12129</v>
      </c>
      <c r="AG40" s="2">
        <v>52.0</v>
      </c>
      <c r="AH40" s="2">
        <v>141.0</v>
      </c>
      <c r="AI40" s="2">
        <v>149.0</v>
      </c>
      <c r="AJ40" s="2">
        <v>7.0</v>
      </c>
      <c r="AK40" s="2">
        <v>196.0</v>
      </c>
      <c r="AL40" s="2" t="s">
        <v>13028</v>
      </c>
      <c r="AM40" s="2" t="s">
        <v>12632</v>
      </c>
      <c r="AN40" s="2" t="s">
        <v>13029</v>
      </c>
      <c r="AO40" s="2" t="s">
        <v>4563</v>
      </c>
      <c r="AP40" s="2" t="s">
        <v>13030</v>
      </c>
      <c r="AQ40" s="2" t="s">
        <v>12129</v>
      </c>
      <c r="AR40" s="2" t="s">
        <v>13031</v>
      </c>
      <c r="AS40" s="2" t="s">
        <v>13032</v>
      </c>
      <c r="AT40" s="2" t="s">
        <v>13033</v>
      </c>
      <c r="AU40" s="2">
        <v>2017.0</v>
      </c>
      <c r="AV40" s="2">
        <v>51.0</v>
      </c>
      <c r="AW40" s="2">
        <v>6.0</v>
      </c>
      <c r="AX40" s="2" t="s">
        <v>12129</v>
      </c>
      <c r="AY40" s="2" t="s">
        <v>12129</v>
      </c>
      <c r="AZ40" s="2" t="s">
        <v>12129</v>
      </c>
      <c r="BA40" s="2" t="s">
        <v>12129</v>
      </c>
      <c r="BB40" s="2">
        <v>3298.0</v>
      </c>
      <c r="BC40" s="2">
        <v>3306.0</v>
      </c>
      <c r="BD40" s="2" t="s">
        <v>12129</v>
      </c>
      <c r="BE40" s="2" t="s">
        <v>13034</v>
      </c>
      <c r="BF40" s="15" t="str">
        <f>HYPERLINK("http://dx.doi.org/10.1021/acs.est.6b05296","http://dx.doi.org/10.1021/acs.est.6b05296")</f>
        <v>http://dx.doi.org/10.1021/acs.est.6b05296</v>
      </c>
      <c r="BG40" s="2" t="s">
        <v>12129</v>
      </c>
      <c r="BH40" s="2" t="s">
        <v>12129</v>
      </c>
      <c r="BI40" s="2">
        <v>9.0</v>
      </c>
      <c r="BJ40" s="2" t="s">
        <v>508</v>
      </c>
      <c r="BK40" s="2" t="s">
        <v>12729</v>
      </c>
      <c r="BL40" s="2" t="s">
        <v>13035</v>
      </c>
      <c r="BM40" s="2" t="s">
        <v>13036</v>
      </c>
      <c r="BN40" s="2">
        <v>2.8072521E7</v>
      </c>
      <c r="BO40" s="2" t="s">
        <v>12129</v>
      </c>
      <c r="BP40" s="2" t="s">
        <v>12129</v>
      </c>
      <c r="BQ40" s="2" t="s">
        <v>12129</v>
      </c>
      <c r="BR40" s="2" t="s">
        <v>12152</v>
      </c>
      <c r="BS40" s="2" t="s">
        <v>13037</v>
      </c>
      <c r="BT40" s="2" t="str">
        <f>HYPERLINK("https%3A%2F%2Fwww.webofscience.com%2Fwos%2Fwoscc%2Ffull-record%2FWOS:000397477900021","View Full Record in Web of Science")</f>
        <v>View Full Record in Web of Science</v>
      </c>
    </row>
    <row r="41" ht="12.75" customHeight="1">
      <c r="A41" s="2" t="s">
        <v>23</v>
      </c>
      <c r="B41" s="2" t="s">
        <v>13038</v>
      </c>
      <c r="C41" s="2" t="s">
        <v>12129</v>
      </c>
      <c r="D41" s="2" t="s">
        <v>12129</v>
      </c>
      <c r="E41" s="2" t="s">
        <v>12129</v>
      </c>
      <c r="F41" s="2" t="s">
        <v>13039</v>
      </c>
      <c r="G41" s="2" t="s">
        <v>12129</v>
      </c>
      <c r="H41" s="2" t="s">
        <v>12129</v>
      </c>
      <c r="I41" s="2" t="s">
        <v>13040</v>
      </c>
      <c r="J41" s="2" t="s">
        <v>4168</v>
      </c>
      <c r="K41" s="2" t="s">
        <v>12129</v>
      </c>
      <c r="L41" s="2" t="s">
        <v>12129</v>
      </c>
      <c r="M41" s="2" t="s">
        <v>3263</v>
      </c>
      <c r="N41" s="2" t="s">
        <v>35</v>
      </c>
      <c r="O41" s="2" t="s">
        <v>12129</v>
      </c>
      <c r="P41" s="2" t="s">
        <v>12129</v>
      </c>
      <c r="Q41" s="2" t="s">
        <v>12129</v>
      </c>
      <c r="R41" s="2" t="s">
        <v>12129</v>
      </c>
      <c r="S41" s="2" t="s">
        <v>12129</v>
      </c>
      <c r="T41" s="2" t="s">
        <v>13041</v>
      </c>
      <c r="U41" s="2" t="s">
        <v>13042</v>
      </c>
      <c r="V41" s="2" t="s">
        <v>13043</v>
      </c>
      <c r="W41" s="2" t="s">
        <v>13044</v>
      </c>
      <c r="X41" s="2" t="s">
        <v>13045</v>
      </c>
      <c r="Y41" s="2" t="s">
        <v>13046</v>
      </c>
      <c r="Z41" s="2" t="s">
        <v>13047</v>
      </c>
      <c r="AA41" s="2" t="s">
        <v>13048</v>
      </c>
      <c r="AB41" s="2" t="s">
        <v>13049</v>
      </c>
      <c r="AC41" s="2" t="s">
        <v>13050</v>
      </c>
      <c r="AD41" s="2" t="s">
        <v>13051</v>
      </c>
      <c r="AE41" s="2" t="s">
        <v>13052</v>
      </c>
      <c r="AF41" s="2" t="s">
        <v>12129</v>
      </c>
      <c r="AG41" s="2">
        <v>25.0</v>
      </c>
      <c r="AH41" s="2">
        <v>67.0</v>
      </c>
      <c r="AI41" s="2">
        <v>79.0</v>
      </c>
      <c r="AJ41" s="2">
        <v>3.0</v>
      </c>
      <c r="AK41" s="2">
        <v>68.0</v>
      </c>
      <c r="AL41" s="2" t="s">
        <v>12243</v>
      </c>
      <c r="AM41" s="2" t="s">
        <v>12244</v>
      </c>
      <c r="AN41" s="2" t="s">
        <v>12245</v>
      </c>
      <c r="AO41" s="2" t="s">
        <v>5101</v>
      </c>
      <c r="AP41" s="2" t="s">
        <v>12129</v>
      </c>
      <c r="AQ41" s="2" t="s">
        <v>12129</v>
      </c>
      <c r="AR41" s="2" t="s">
        <v>13053</v>
      </c>
      <c r="AS41" s="2" t="s">
        <v>13054</v>
      </c>
      <c r="AT41" s="2" t="s">
        <v>13055</v>
      </c>
      <c r="AU41" s="2">
        <v>2017.0</v>
      </c>
      <c r="AV41" s="2">
        <v>10.0</v>
      </c>
      <c r="AW41" s="2">
        <v>2.0</v>
      </c>
      <c r="AX41" s="2" t="s">
        <v>12129</v>
      </c>
      <c r="AY41" s="2" t="s">
        <v>12129</v>
      </c>
      <c r="AZ41" s="2" t="s">
        <v>12129</v>
      </c>
      <c r="BA41" s="2" t="s">
        <v>12129</v>
      </c>
      <c r="BB41" s="2">
        <v>186.0</v>
      </c>
      <c r="BC41" s="2">
        <v>194.0</v>
      </c>
      <c r="BD41" s="2" t="s">
        <v>12129</v>
      </c>
      <c r="BE41" s="2" t="s">
        <v>13056</v>
      </c>
      <c r="BF41" s="15" t="str">
        <f>HYPERLINK("http://dx.doi.org/10.1111/conl.12258","http://dx.doi.org/10.1111/conl.12258")</f>
        <v>http://dx.doi.org/10.1111/conl.12258</v>
      </c>
      <c r="BG41" s="2" t="s">
        <v>12129</v>
      </c>
      <c r="BH41" s="2" t="s">
        <v>12129</v>
      </c>
      <c r="BI41" s="2">
        <v>9.0</v>
      </c>
      <c r="BJ41" s="2" t="s">
        <v>12535</v>
      </c>
      <c r="BK41" s="2" t="s">
        <v>12176</v>
      </c>
      <c r="BL41" s="2" t="s">
        <v>12536</v>
      </c>
      <c r="BM41" s="2" t="s">
        <v>13057</v>
      </c>
      <c r="BN41" s="2" t="s">
        <v>12129</v>
      </c>
      <c r="BO41" s="2" t="s">
        <v>12399</v>
      </c>
      <c r="BP41" s="2" t="s">
        <v>12129</v>
      </c>
      <c r="BQ41" s="2" t="s">
        <v>12129</v>
      </c>
      <c r="BR41" s="2" t="s">
        <v>12152</v>
      </c>
      <c r="BS41" s="2" t="s">
        <v>13058</v>
      </c>
      <c r="BT41" s="2" t="str">
        <f>HYPERLINK("https%3A%2F%2Fwww.webofscience.com%2Fwos%2Fwoscc%2Ffull-record%2FWOS:000398563500003","View Full Record in Web of Science")</f>
        <v>View Full Record in Web of Science</v>
      </c>
    </row>
    <row r="42" ht="12.75" customHeight="1">
      <c r="A42" s="2" t="s">
        <v>23</v>
      </c>
      <c r="B42" s="2" t="s">
        <v>13059</v>
      </c>
      <c r="C42" s="2" t="s">
        <v>12129</v>
      </c>
      <c r="D42" s="2" t="s">
        <v>12129</v>
      </c>
      <c r="E42" s="2" t="s">
        <v>12129</v>
      </c>
      <c r="F42" s="2" t="s">
        <v>13060</v>
      </c>
      <c r="G42" s="2" t="s">
        <v>12129</v>
      </c>
      <c r="H42" s="2" t="s">
        <v>12129</v>
      </c>
      <c r="I42" s="2" t="s">
        <v>13061</v>
      </c>
      <c r="J42" s="2" t="s">
        <v>13062</v>
      </c>
      <c r="K42" s="2" t="s">
        <v>12129</v>
      </c>
      <c r="L42" s="2" t="s">
        <v>12129</v>
      </c>
      <c r="M42" s="2" t="s">
        <v>3263</v>
      </c>
      <c r="N42" s="2" t="s">
        <v>35</v>
      </c>
      <c r="O42" s="2" t="s">
        <v>12129</v>
      </c>
      <c r="P42" s="2" t="s">
        <v>12129</v>
      </c>
      <c r="Q42" s="2" t="s">
        <v>12129</v>
      </c>
      <c r="R42" s="2" t="s">
        <v>12129</v>
      </c>
      <c r="S42" s="2" t="s">
        <v>12129</v>
      </c>
      <c r="T42" s="2" t="s">
        <v>13063</v>
      </c>
      <c r="U42" s="2" t="s">
        <v>13064</v>
      </c>
      <c r="V42" s="2" t="s">
        <v>13065</v>
      </c>
      <c r="W42" s="2" t="s">
        <v>13066</v>
      </c>
      <c r="X42" s="2" t="s">
        <v>13067</v>
      </c>
      <c r="Y42" s="2" t="s">
        <v>13068</v>
      </c>
      <c r="Z42" s="2" t="s">
        <v>13069</v>
      </c>
      <c r="AA42" s="2" t="s">
        <v>13070</v>
      </c>
      <c r="AB42" s="2" t="s">
        <v>13071</v>
      </c>
      <c r="AC42" s="2" t="s">
        <v>13072</v>
      </c>
      <c r="AD42" s="2" t="s">
        <v>13073</v>
      </c>
      <c r="AE42" s="2" t="s">
        <v>13074</v>
      </c>
      <c r="AF42" s="2" t="s">
        <v>12129</v>
      </c>
      <c r="AG42" s="2">
        <v>44.0</v>
      </c>
      <c r="AH42" s="2">
        <v>166.0</v>
      </c>
      <c r="AI42" s="2">
        <v>199.0</v>
      </c>
      <c r="AJ42" s="2">
        <v>13.0</v>
      </c>
      <c r="AK42" s="2">
        <v>337.0</v>
      </c>
      <c r="AL42" s="2" t="s">
        <v>12269</v>
      </c>
      <c r="AM42" s="2" t="s">
        <v>12270</v>
      </c>
      <c r="AN42" s="2" t="s">
        <v>12271</v>
      </c>
      <c r="AO42" s="2" t="s">
        <v>13075</v>
      </c>
      <c r="AP42" s="2" t="s">
        <v>13076</v>
      </c>
      <c r="AQ42" s="2" t="s">
        <v>12129</v>
      </c>
      <c r="AR42" s="2" t="s">
        <v>13062</v>
      </c>
      <c r="AS42" s="2" t="s">
        <v>13077</v>
      </c>
      <c r="AT42" s="2" t="s">
        <v>13078</v>
      </c>
      <c r="AU42" s="2">
        <v>2017.0</v>
      </c>
      <c r="AV42" s="2">
        <v>150.0</v>
      </c>
      <c r="AW42" s="2" t="s">
        <v>12129</v>
      </c>
      <c r="AX42" s="2" t="s">
        <v>12129</v>
      </c>
      <c r="AY42" s="2" t="s">
        <v>12129</v>
      </c>
      <c r="AZ42" s="2" t="s">
        <v>12129</v>
      </c>
      <c r="BA42" s="2" t="s">
        <v>12129</v>
      </c>
      <c r="BB42" s="2">
        <v>100.0</v>
      </c>
      <c r="BC42" s="2">
        <v>107.0</v>
      </c>
      <c r="BD42" s="2" t="s">
        <v>12129</v>
      </c>
      <c r="BE42" s="2" t="s">
        <v>13079</v>
      </c>
      <c r="BF42" s="15" t="str">
        <f>HYPERLINK("http://dx.doi.org/10.1016/j.catena.2016.11.014","http://dx.doi.org/10.1016/j.catena.2016.11.014")</f>
        <v>http://dx.doi.org/10.1016/j.catena.2016.11.014</v>
      </c>
      <c r="BG42" s="2" t="s">
        <v>12129</v>
      </c>
      <c r="BH42" s="2" t="s">
        <v>12129</v>
      </c>
      <c r="BI42" s="2">
        <v>8.0</v>
      </c>
      <c r="BJ42" s="2" t="s">
        <v>13080</v>
      </c>
      <c r="BK42" s="2" t="s">
        <v>12176</v>
      </c>
      <c r="BL42" s="2" t="s">
        <v>13081</v>
      </c>
      <c r="BM42" s="2" t="s">
        <v>13082</v>
      </c>
      <c r="BN42" s="2" t="s">
        <v>12129</v>
      </c>
      <c r="BO42" s="2" t="s">
        <v>12564</v>
      </c>
      <c r="BP42" s="2" t="s">
        <v>12129</v>
      </c>
      <c r="BQ42" s="2" t="s">
        <v>12129</v>
      </c>
      <c r="BR42" s="2" t="s">
        <v>12152</v>
      </c>
      <c r="BS42" s="2" t="s">
        <v>13083</v>
      </c>
      <c r="BT42" s="2" t="str">
        <f>HYPERLINK("https%3A%2F%2Fwww.webofscience.com%2Fwos%2Fwoscc%2Ffull-record%2FWOS:000392686000012","View Full Record in Web of Science")</f>
        <v>View Full Record in Web of Science</v>
      </c>
    </row>
    <row r="43" ht="12.75" customHeight="1">
      <c r="A43" s="2" t="s">
        <v>23</v>
      </c>
      <c r="B43" s="2" t="s">
        <v>13084</v>
      </c>
      <c r="C43" s="2" t="s">
        <v>12129</v>
      </c>
      <c r="D43" s="2" t="s">
        <v>12129</v>
      </c>
      <c r="E43" s="2" t="s">
        <v>12129</v>
      </c>
      <c r="F43" s="2" t="s">
        <v>13085</v>
      </c>
      <c r="G43" s="2" t="s">
        <v>12129</v>
      </c>
      <c r="H43" s="2" t="s">
        <v>12129</v>
      </c>
      <c r="I43" s="2" t="s">
        <v>13086</v>
      </c>
      <c r="J43" s="2" t="s">
        <v>13087</v>
      </c>
      <c r="K43" s="2" t="s">
        <v>12129</v>
      </c>
      <c r="L43" s="2" t="s">
        <v>12129</v>
      </c>
      <c r="M43" s="2" t="s">
        <v>3263</v>
      </c>
      <c r="N43" s="2" t="s">
        <v>35</v>
      </c>
      <c r="O43" s="2" t="s">
        <v>12129</v>
      </c>
      <c r="P43" s="2" t="s">
        <v>12129</v>
      </c>
      <c r="Q43" s="2" t="s">
        <v>12129</v>
      </c>
      <c r="R43" s="2" t="s">
        <v>12129</v>
      </c>
      <c r="S43" s="2" t="s">
        <v>12129</v>
      </c>
      <c r="T43" s="2" t="s">
        <v>13088</v>
      </c>
      <c r="U43" s="2" t="s">
        <v>13089</v>
      </c>
      <c r="V43" s="2" t="s">
        <v>13090</v>
      </c>
      <c r="W43" s="2" t="s">
        <v>13091</v>
      </c>
      <c r="X43" s="2" t="s">
        <v>12129</v>
      </c>
      <c r="Y43" s="2" t="s">
        <v>13092</v>
      </c>
      <c r="Z43" s="2" t="s">
        <v>13093</v>
      </c>
      <c r="AA43" s="2" t="s">
        <v>12129</v>
      </c>
      <c r="AB43" s="2" t="s">
        <v>12129</v>
      </c>
      <c r="AC43" s="2" t="s">
        <v>13094</v>
      </c>
      <c r="AD43" s="2" t="s">
        <v>13094</v>
      </c>
      <c r="AE43" s="2" t="s">
        <v>13095</v>
      </c>
      <c r="AF43" s="2" t="s">
        <v>12129</v>
      </c>
      <c r="AG43" s="2">
        <v>72.0</v>
      </c>
      <c r="AH43" s="2">
        <v>12.0</v>
      </c>
      <c r="AI43" s="2">
        <v>12.0</v>
      </c>
      <c r="AJ43" s="2">
        <v>1.0</v>
      </c>
      <c r="AK43" s="2">
        <v>34.0</v>
      </c>
      <c r="AL43" s="2" t="s">
        <v>13096</v>
      </c>
      <c r="AM43" s="2" t="s">
        <v>13097</v>
      </c>
      <c r="AN43" s="2" t="s">
        <v>13098</v>
      </c>
      <c r="AO43" s="2" t="s">
        <v>13099</v>
      </c>
      <c r="AP43" s="2" t="s">
        <v>13100</v>
      </c>
      <c r="AQ43" s="2" t="s">
        <v>12129</v>
      </c>
      <c r="AR43" s="2" t="s">
        <v>13101</v>
      </c>
      <c r="AS43" s="2" t="s">
        <v>13102</v>
      </c>
      <c r="AT43" s="2" t="s">
        <v>12129</v>
      </c>
      <c r="AU43" s="2">
        <v>2017.0</v>
      </c>
      <c r="AV43" s="2">
        <v>32.0</v>
      </c>
      <c r="AW43" s="2">
        <v>1.0</v>
      </c>
      <c r="AX43" s="2" t="s">
        <v>12129</v>
      </c>
      <c r="AY43" s="2" t="s">
        <v>12129</v>
      </c>
      <c r="AZ43" s="2" t="s">
        <v>12129</v>
      </c>
      <c r="BA43" s="2" t="s">
        <v>12129</v>
      </c>
      <c r="BB43" s="2">
        <v>433.0</v>
      </c>
      <c r="BC43" s="2">
        <v>453.0</v>
      </c>
      <c r="BD43" s="2" t="s">
        <v>12129</v>
      </c>
      <c r="BE43" s="2" t="s">
        <v>13103</v>
      </c>
      <c r="BF43" s="15" t="str">
        <f>HYPERLINK("http://dx.doi.org/10.1080/02705060.2017.1319431","http://dx.doi.org/10.1080/02705060.2017.1319431")</f>
        <v>http://dx.doi.org/10.1080/02705060.2017.1319431</v>
      </c>
      <c r="BG43" s="2" t="s">
        <v>12129</v>
      </c>
      <c r="BH43" s="2" t="s">
        <v>12129</v>
      </c>
      <c r="BI43" s="2">
        <v>21.0</v>
      </c>
      <c r="BJ43" s="2" t="s">
        <v>13104</v>
      </c>
      <c r="BK43" s="2" t="s">
        <v>12176</v>
      </c>
      <c r="BL43" s="2" t="s">
        <v>12303</v>
      </c>
      <c r="BM43" s="2" t="s">
        <v>13105</v>
      </c>
      <c r="BN43" s="2" t="s">
        <v>12129</v>
      </c>
      <c r="BO43" s="2" t="s">
        <v>12399</v>
      </c>
      <c r="BP43" s="2" t="s">
        <v>12129</v>
      </c>
      <c r="BQ43" s="2" t="s">
        <v>12129</v>
      </c>
      <c r="BR43" s="2" t="s">
        <v>12152</v>
      </c>
      <c r="BS43" s="2" t="s">
        <v>13106</v>
      </c>
      <c r="BT43" s="2" t="str">
        <f>HYPERLINK("https%3A%2F%2Fwww.webofscience.com%2Fwos%2Fwoscc%2Ffull-record%2FWOS:000401719600004","View Full Record in Web of Science")</f>
        <v>View Full Record in Web of Science</v>
      </c>
    </row>
    <row r="44" ht="12.75" customHeight="1">
      <c r="A44" s="2" t="s">
        <v>23</v>
      </c>
      <c r="B44" s="2" t="s">
        <v>13107</v>
      </c>
      <c r="C44" s="2" t="s">
        <v>12129</v>
      </c>
      <c r="D44" s="2" t="s">
        <v>12129</v>
      </c>
      <c r="E44" s="2" t="s">
        <v>12129</v>
      </c>
      <c r="F44" s="2" t="s">
        <v>13108</v>
      </c>
      <c r="G44" s="2" t="s">
        <v>12129</v>
      </c>
      <c r="H44" s="2" t="s">
        <v>12129</v>
      </c>
      <c r="I44" s="2" t="s">
        <v>13109</v>
      </c>
      <c r="J44" s="2" t="s">
        <v>13110</v>
      </c>
      <c r="K44" s="2" t="s">
        <v>12129</v>
      </c>
      <c r="L44" s="2" t="s">
        <v>12129</v>
      </c>
      <c r="M44" s="2" t="s">
        <v>3263</v>
      </c>
      <c r="N44" s="2" t="s">
        <v>35</v>
      </c>
      <c r="O44" s="2" t="s">
        <v>12129</v>
      </c>
      <c r="P44" s="2" t="s">
        <v>12129</v>
      </c>
      <c r="Q44" s="2" t="s">
        <v>12129</v>
      </c>
      <c r="R44" s="2" t="s">
        <v>12129</v>
      </c>
      <c r="S44" s="2" t="s">
        <v>12129</v>
      </c>
      <c r="T44" s="2" t="s">
        <v>13111</v>
      </c>
      <c r="U44" s="2" t="s">
        <v>13112</v>
      </c>
      <c r="V44" s="2" t="s">
        <v>13113</v>
      </c>
      <c r="W44" s="2" t="s">
        <v>13114</v>
      </c>
      <c r="X44" s="2" t="s">
        <v>13115</v>
      </c>
      <c r="Y44" s="2" t="s">
        <v>13116</v>
      </c>
      <c r="Z44" s="2" t="s">
        <v>13117</v>
      </c>
      <c r="AA44" s="2" t="s">
        <v>13118</v>
      </c>
      <c r="AB44" s="2" t="s">
        <v>13119</v>
      </c>
      <c r="AC44" s="2" t="s">
        <v>13120</v>
      </c>
      <c r="AD44" s="2" t="s">
        <v>13121</v>
      </c>
      <c r="AE44" s="2" t="s">
        <v>13122</v>
      </c>
      <c r="AF44" s="2" t="s">
        <v>12129</v>
      </c>
      <c r="AG44" s="2">
        <v>67.0</v>
      </c>
      <c r="AH44" s="2">
        <v>36.0</v>
      </c>
      <c r="AI44" s="2">
        <v>39.0</v>
      </c>
      <c r="AJ44" s="2">
        <v>1.0</v>
      </c>
      <c r="AK44" s="2">
        <v>51.0</v>
      </c>
      <c r="AL44" s="2" t="s">
        <v>12243</v>
      </c>
      <c r="AM44" s="2" t="s">
        <v>12244</v>
      </c>
      <c r="AN44" s="2" t="s">
        <v>12245</v>
      </c>
      <c r="AO44" s="2" t="s">
        <v>13123</v>
      </c>
      <c r="AP44" s="2" t="s">
        <v>13124</v>
      </c>
      <c r="AQ44" s="2" t="s">
        <v>12129</v>
      </c>
      <c r="AR44" s="2" t="s">
        <v>13125</v>
      </c>
      <c r="AS44" s="2" t="s">
        <v>13126</v>
      </c>
      <c r="AT44" s="2" t="s">
        <v>13127</v>
      </c>
      <c r="AU44" s="2">
        <v>2017.0</v>
      </c>
      <c r="AV44" s="2">
        <v>44.0</v>
      </c>
      <c r="AW44" s="2">
        <v>1.0</v>
      </c>
      <c r="AX44" s="2" t="s">
        <v>12129</v>
      </c>
      <c r="AY44" s="2" t="s">
        <v>12129</v>
      </c>
      <c r="AZ44" s="2" t="s">
        <v>12129</v>
      </c>
      <c r="BA44" s="2" t="s">
        <v>12129</v>
      </c>
      <c r="BB44" s="2">
        <v>111.0</v>
      </c>
      <c r="BC44" s="2">
        <v>121.0</v>
      </c>
      <c r="BD44" s="2" t="s">
        <v>12129</v>
      </c>
      <c r="BE44" s="2" t="s">
        <v>13128</v>
      </c>
      <c r="BF44" s="15" t="str">
        <f>HYPERLINK("http://dx.doi.org/10.1111/jbi.12808","http://dx.doi.org/10.1111/jbi.12808")</f>
        <v>http://dx.doi.org/10.1111/jbi.12808</v>
      </c>
      <c r="BG44" s="2" t="s">
        <v>12129</v>
      </c>
      <c r="BH44" s="2" t="s">
        <v>12129</v>
      </c>
      <c r="BI44" s="2">
        <v>11.0</v>
      </c>
      <c r="BJ44" s="2" t="s">
        <v>1254</v>
      </c>
      <c r="BK44" s="2" t="s">
        <v>12176</v>
      </c>
      <c r="BL44" s="2" t="s">
        <v>12686</v>
      </c>
      <c r="BM44" s="2" t="s">
        <v>13129</v>
      </c>
      <c r="BN44" s="2" t="s">
        <v>12129</v>
      </c>
      <c r="BO44" s="2" t="s">
        <v>12129</v>
      </c>
      <c r="BP44" s="2" t="s">
        <v>12129</v>
      </c>
      <c r="BQ44" s="2" t="s">
        <v>12129</v>
      </c>
      <c r="BR44" s="2" t="s">
        <v>12152</v>
      </c>
      <c r="BS44" s="2" t="s">
        <v>13130</v>
      </c>
      <c r="BT44" s="2" t="str">
        <f>HYPERLINK("https%3A%2F%2Fwww.webofscience.com%2Fwos%2Fwoscc%2Ffull-record%2FWOS:000391956900011","View Full Record in Web of Science")</f>
        <v>View Full Record in Web of Science</v>
      </c>
    </row>
    <row r="45" ht="12.75" customHeight="1">
      <c r="A45" s="2" t="s">
        <v>23</v>
      </c>
      <c r="B45" s="2" t="s">
        <v>13131</v>
      </c>
      <c r="C45" s="2" t="s">
        <v>12129</v>
      </c>
      <c r="D45" s="2" t="s">
        <v>12129</v>
      </c>
      <c r="E45" s="2" t="s">
        <v>12129</v>
      </c>
      <c r="F45" s="2" t="s">
        <v>13132</v>
      </c>
      <c r="G45" s="2" t="s">
        <v>12129</v>
      </c>
      <c r="H45" s="2" t="s">
        <v>12129</v>
      </c>
      <c r="I45" s="2" t="s">
        <v>13133</v>
      </c>
      <c r="J45" s="2" t="s">
        <v>61</v>
      </c>
      <c r="K45" s="2" t="s">
        <v>12129</v>
      </c>
      <c r="L45" s="2" t="s">
        <v>12129</v>
      </c>
      <c r="M45" s="2" t="s">
        <v>3263</v>
      </c>
      <c r="N45" s="2" t="s">
        <v>35</v>
      </c>
      <c r="O45" s="2" t="s">
        <v>12129</v>
      </c>
      <c r="P45" s="2" t="s">
        <v>12129</v>
      </c>
      <c r="Q45" s="2" t="s">
        <v>12129</v>
      </c>
      <c r="R45" s="2" t="s">
        <v>12129</v>
      </c>
      <c r="S45" s="2" t="s">
        <v>12129</v>
      </c>
      <c r="T45" s="2" t="s">
        <v>13134</v>
      </c>
      <c r="U45" s="2" t="s">
        <v>13135</v>
      </c>
      <c r="V45" s="2" t="s">
        <v>13136</v>
      </c>
      <c r="W45" s="2" t="s">
        <v>13137</v>
      </c>
      <c r="X45" s="2" t="s">
        <v>13138</v>
      </c>
      <c r="Y45" s="2" t="s">
        <v>13139</v>
      </c>
      <c r="Z45" s="2" t="s">
        <v>13140</v>
      </c>
      <c r="AA45" s="2" t="s">
        <v>13141</v>
      </c>
      <c r="AB45" s="2" t="s">
        <v>13142</v>
      </c>
      <c r="AC45" s="2" t="s">
        <v>13143</v>
      </c>
      <c r="AD45" s="2" t="s">
        <v>13144</v>
      </c>
      <c r="AE45" s="2" t="s">
        <v>13145</v>
      </c>
      <c r="AF45" s="2" t="s">
        <v>12129</v>
      </c>
      <c r="AG45" s="2">
        <v>40.0</v>
      </c>
      <c r="AH45" s="2">
        <v>13.0</v>
      </c>
      <c r="AI45" s="2">
        <v>13.0</v>
      </c>
      <c r="AJ45" s="2">
        <v>3.0</v>
      </c>
      <c r="AK45" s="2">
        <v>58.0</v>
      </c>
      <c r="AL45" s="2" t="s">
        <v>12269</v>
      </c>
      <c r="AM45" s="2" t="s">
        <v>12270</v>
      </c>
      <c r="AN45" s="2" t="s">
        <v>12271</v>
      </c>
      <c r="AO45" s="2" t="s">
        <v>6141</v>
      </c>
      <c r="AP45" s="2" t="s">
        <v>12932</v>
      </c>
      <c r="AQ45" s="2" t="s">
        <v>12129</v>
      </c>
      <c r="AR45" s="2" t="s">
        <v>12933</v>
      </c>
      <c r="AS45" s="2" t="s">
        <v>12934</v>
      </c>
      <c r="AT45" s="2" t="s">
        <v>13146</v>
      </c>
      <c r="AU45" s="2">
        <v>2016.0</v>
      </c>
      <c r="AV45" s="2">
        <v>572.0</v>
      </c>
      <c r="AW45" s="2" t="s">
        <v>12129</v>
      </c>
      <c r="AX45" s="2" t="s">
        <v>12129</v>
      </c>
      <c r="AY45" s="2" t="s">
        <v>12129</v>
      </c>
      <c r="AZ45" s="2" t="s">
        <v>12129</v>
      </c>
      <c r="BA45" s="2" t="s">
        <v>12129</v>
      </c>
      <c r="BB45" s="2">
        <v>1485.0</v>
      </c>
      <c r="BC45" s="2">
        <v>1495.0</v>
      </c>
      <c r="BD45" s="2" t="s">
        <v>12129</v>
      </c>
      <c r="BE45" s="2" t="s">
        <v>13147</v>
      </c>
      <c r="BF45" s="15" t="str">
        <f>HYPERLINK("http://dx.doi.org/10.1016/j.scitotenv.2016.03.055","http://dx.doi.org/10.1016/j.scitotenv.2016.03.055")</f>
        <v>http://dx.doi.org/10.1016/j.scitotenv.2016.03.055</v>
      </c>
      <c r="BG45" s="2" t="s">
        <v>12129</v>
      </c>
      <c r="BH45" s="2" t="s">
        <v>12129</v>
      </c>
      <c r="BI45" s="2">
        <v>11.0</v>
      </c>
      <c r="BJ45" s="2" t="s">
        <v>65</v>
      </c>
      <c r="BK45" s="2" t="s">
        <v>12176</v>
      </c>
      <c r="BL45" s="2" t="s">
        <v>12251</v>
      </c>
      <c r="BM45" s="2" t="s">
        <v>13148</v>
      </c>
      <c r="BN45" s="2">
        <v>2.7012185E7</v>
      </c>
      <c r="BO45" s="2" t="s">
        <v>13149</v>
      </c>
      <c r="BP45" s="2" t="s">
        <v>12129</v>
      </c>
      <c r="BQ45" s="2" t="s">
        <v>12129</v>
      </c>
      <c r="BR45" s="2" t="s">
        <v>12152</v>
      </c>
      <c r="BS45" s="2" t="s">
        <v>13150</v>
      </c>
      <c r="BT45" s="2" t="str">
        <f>HYPERLINK("https%3A%2F%2Fwww.webofscience.com%2Fwos%2Fwoscc%2Ffull-record%2FWOS:000387807200143","View Full Record in Web of Science")</f>
        <v>View Full Record in Web of Science</v>
      </c>
    </row>
    <row r="46" ht="12.75" customHeight="1">
      <c r="A46" s="2" t="s">
        <v>23</v>
      </c>
      <c r="B46" s="2" t="s">
        <v>13151</v>
      </c>
      <c r="C46" s="2" t="s">
        <v>12129</v>
      </c>
      <c r="D46" s="2" t="s">
        <v>12129</v>
      </c>
      <c r="E46" s="2" t="s">
        <v>12129</v>
      </c>
      <c r="F46" s="2" t="s">
        <v>13152</v>
      </c>
      <c r="G46" s="2" t="s">
        <v>12129</v>
      </c>
      <c r="H46" s="2" t="s">
        <v>12129</v>
      </c>
      <c r="I46" s="2" t="s">
        <v>13153</v>
      </c>
      <c r="J46" s="2" t="s">
        <v>13154</v>
      </c>
      <c r="K46" s="2" t="s">
        <v>12129</v>
      </c>
      <c r="L46" s="2" t="s">
        <v>12129</v>
      </c>
      <c r="M46" s="2" t="s">
        <v>3263</v>
      </c>
      <c r="N46" s="2" t="s">
        <v>35</v>
      </c>
      <c r="O46" s="2" t="s">
        <v>12129</v>
      </c>
      <c r="P46" s="2" t="s">
        <v>12129</v>
      </c>
      <c r="Q46" s="2" t="s">
        <v>12129</v>
      </c>
      <c r="R46" s="2" t="s">
        <v>12129</v>
      </c>
      <c r="S46" s="2" t="s">
        <v>12129</v>
      </c>
      <c r="T46" s="2" t="s">
        <v>13155</v>
      </c>
      <c r="U46" s="2" t="s">
        <v>13156</v>
      </c>
      <c r="V46" s="2" t="s">
        <v>13157</v>
      </c>
      <c r="W46" s="2" t="s">
        <v>13158</v>
      </c>
      <c r="X46" s="2" t="s">
        <v>13159</v>
      </c>
      <c r="Y46" s="2" t="s">
        <v>13160</v>
      </c>
      <c r="Z46" s="2" t="s">
        <v>13161</v>
      </c>
      <c r="AA46" s="2" t="s">
        <v>13162</v>
      </c>
      <c r="AB46" s="2" t="s">
        <v>13163</v>
      </c>
      <c r="AC46" s="2" t="s">
        <v>12129</v>
      </c>
      <c r="AD46" s="2" t="s">
        <v>12129</v>
      </c>
      <c r="AE46" s="2" t="s">
        <v>12129</v>
      </c>
      <c r="AF46" s="2" t="s">
        <v>12129</v>
      </c>
      <c r="AG46" s="2">
        <v>70.0</v>
      </c>
      <c r="AH46" s="2">
        <v>80.0</v>
      </c>
      <c r="AI46" s="2">
        <v>86.0</v>
      </c>
      <c r="AJ46" s="2">
        <v>4.0</v>
      </c>
      <c r="AK46" s="2">
        <v>106.0</v>
      </c>
      <c r="AL46" s="2" t="s">
        <v>12954</v>
      </c>
      <c r="AM46" s="2" t="s">
        <v>12955</v>
      </c>
      <c r="AN46" s="2" t="s">
        <v>12956</v>
      </c>
      <c r="AO46" s="2" t="s">
        <v>12129</v>
      </c>
      <c r="AP46" s="2" t="s">
        <v>13164</v>
      </c>
      <c r="AQ46" s="2" t="s">
        <v>12129</v>
      </c>
      <c r="AR46" s="2" t="s">
        <v>13154</v>
      </c>
      <c r="AS46" s="2" t="s">
        <v>2104</v>
      </c>
      <c r="AT46" s="2" t="s">
        <v>12764</v>
      </c>
      <c r="AU46" s="2">
        <v>2016.0</v>
      </c>
      <c r="AV46" s="2">
        <v>7.0</v>
      </c>
      <c r="AW46" s="2">
        <v>12.0</v>
      </c>
      <c r="AX46" s="2" t="s">
        <v>12129</v>
      </c>
      <c r="AY46" s="2" t="s">
        <v>12129</v>
      </c>
      <c r="AZ46" s="2" t="s">
        <v>12129</v>
      </c>
      <c r="BA46" s="2" t="s">
        <v>12129</v>
      </c>
      <c r="BB46" s="2" t="s">
        <v>12129</v>
      </c>
      <c r="BC46" s="2" t="s">
        <v>12129</v>
      </c>
      <c r="BD46" s="2">
        <v>305.0</v>
      </c>
      <c r="BE46" s="2" t="s">
        <v>13165</v>
      </c>
      <c r="BF46" s="15" t="str">
        <f>HYPERLINK("http://dx.doi.org/10.3390/f7120305","http://dx.doi.org/10.3390/f7120305")</f>
        <v>http://dx.doi.org/10.3390/f7120305</v>
      </c>
      <c r="BG46" s="2" t="s">
        <v>12129</v>
      </c>
      <c r="BH46" s="2" t="s">
        <v>12129</v>
      </c>
      <c r="BI46" s="2">
        <v>17.0</v>
      </c>
      <c r="BJ46" s="2" t="s">
        <v>12277</v>
      </c>
      <c r="BK46" s="2" t="s">
        <v>12176</v>
      </c>
      <c r="BL46" s="2" t="s">
        <v>12277</v>
      </c>
      <c r="BM46" s="2" t="s">
        <v>13166</v>
      </c>
      <c r="BN46" s="2" t="s">
        <v>12129</v>
      </c>
      <c r="BO46" s="2" t="s">
        <v>12179</v>
      </c>
      <c r="BP46" s="2" t="s">
        <v>12129</v>
      </c>
      <c r="BQ46" s="2" t="s">
        <v>12129</v>
      </c>
      <c r="BR46" s="2" t="s">
        <v>12152</v>
      </c>
      <c r="BS46" s="2" t="s">
        <v>13167</v>
      </c>
      <c r="BT46" s="2" t="str">
        <f>HYPERLINK("https%3A%2F%2Fwww.webofscience.com%2Fwos%2Fwoscc%2Ffull-record%2FWOS:000393327700005","View Full Record in Web of Science")</f>
        <v>View Full Record in Web of Science</v>
      </c>
    </row>
    <row r="47" ht="12.75" customHeight="1">
      <c r="A47" s="2" t="s">
        <v>23</v>
      </c>
      <c r="B47" s="2" t="s">
        <v>13168</v>
      </c>
      <c r="C47" s="2" t="s">
        <v>12129</v>
      </c>
      <c r="D47" s="2" t="s">
        <v>12129</v>
      </c>
      <c r="E47" s="2" t="s">
        <v>12129</v>
      </c>
      <c r="F47" s="2" t="s">
        <v>13169</v>
      </c>
      <c r="G47" s="2" t="s">
        <v>12129</v>
      </c>
      <c r="H47" s="2" t="s">
        <v>12129</v>
      </c>
      <c r="I47" s="2" t="s">
        <v>13170</v>
      </c>
      <c r="J47" s="2" t="s">
        <v>13171</v>
      </c>
      <c r="K47" s="2" t="s">
        <v>12129</v>
      </c>
      <c r="L47" s="2" t="s">
        <v>12129</v>
      </c>
      <c r="M47" s="2" t="s">
        <v>3263</v>
      </c>
      <c r="N47" s="2" t="s">
        <v>35</v>
      </c>
      <c r="O47" s="2" t="s">
        <v>12129</v>
      </c>
      <c r="P47" s="2" t="s">
        <v>12129</v>
      </c>
      <c r="Q47" s="2" t="s">
        <v>12129</v>
      </c>
      <c r="R47" s="2" t="s">
        <v>12129</v>
      </c>
      <c r="S47" s="2" t="s">
        <v>12129</v>
      </c>
      <c r="T47" s="2" t="s">
        <v>13172</v>
      </c>
      <c r="U47" s="2" t="s">
        <v>13173</v>
      </c>
      <c r="V47" s="2" t="s">
        <v>13174</v>
      </c>
      <c r="W47" s="2" t="s">
        <v>13175</v>
      </c>
      <c r="X47" s="2" t="s">
        <v>13176</v>
      </c>
      <c r="Y47" s="2" t="s">
        <v>13177</v>
      </c>
      <c r="Z47" s="2" t="s">
        <v>13178</v>
      </c>
      <c r="AA47" s="2" t="s">
        <v>13179</v>
      </c>
      <c r="AB47" s="2" t="s">
        <v>13180</v>
      </c>
      <c r="AC47" s="2" t="s">
        <v>12129</v>
      </c>
      <c r="AD47" s="2" t="s">
        <v>12129</v>
      </c>
      <c r="AE47" s="2" t="s">
        <v>12129</v>
      </c>
      <c r="AF47" s="2" t="s">
        <v>12129</v>
      </c>
      <c r="AG47" s="2">
        <v>118.0</v>
      </c>
      <c r="AH47" s="2">
        <v>39.0</v>
      </c>
      <c r="AI47" s="2">
        <v>54.0</v>
      </c>
      <c r="AJ47" s="2">
        <v>5.0</v>
      </c>
      <c r="AK47" s="2">
        <v>70.0</v>
      </c>
      <c r="AL47" s="2" t="s">
        <v>13181</v>
      </c>
      <c r="AM47" s="2" t="s">
        <v>13182</v>
      </c>
      <c r="AN47" s="2" t="s">
        <v>13183</v>
      </c>
      <c r="AO47" s="2" t="s">
        <v>13184</v>
      </c>
      <c r="AP47" s="2" t="s">
        <v>13185</v>
      </c>
      <c r="AQ47" s="2" t="s">
        <v>12129</v>
      </c>
      <c r="AR47" s="2" t="s">
        <v>13186</v>
      </c>
      <c r="AS47" s="2" t="s">
        <v>13187</v>
      </c>
      <c r="AT47" s="2" t="s">
        <v>12787</v>
      </c>
      <c r="AU47" s="2">
        <v>2016.0</v>
      </c>
      <c r="AV47" s="2">
        <v>25.0</v>
      </c>
      <c r="AW47" s="2">
        <v>12.0</v>
      </c>
      <c r="AX47" s="2" t="s">
        <v>12129</v>
      </c>
      <c r="AY47" s="2" t="s">
        <v>12129</v>
      </c>
      <c r="AZ47" s="2" t="s">
        <v>13188</v>
      </c>
      <c r="BA47" s="2" t="s">
        <v>12129</v>
      </c>
      <c r="BB47" s="2">
        <v>2491.0</v>
      </c>
      <c r="BC47" s="2">
        <v>2519.0</v>
      </c>
      <c r="BD47" s="2" t="s">
        <v>12129</v>
      </c>
      <c r="BE47" s="2" t="s">
        <v>13189</v>
      </c>
      <c r="BF47" s="15" t="str">
        <f>HYPERLINK("http://dx.doi.org/10.1007/s10531-016-1172-0","http://dx.doi.org/10.1007/s10531-016-1172-0")</f>
        <v>http://dx.doi.org/10.1007/s10531-016-1172-0</v>
      </c>
      <c r="BG47" s="2" t="s">
        <v>12129</v>
      </c>
      <c r="BH47" s="2" t="s">
        <v>12129</v>
      </c>
      <c r="BI47" s="2">
        <v>29.0</v>
      </c>
      <c r="BJ47" s="2" t="s">
        <v>252</v>
      </c>
      <c r="BK47" s="2" t="s">
        <v>12176</v>
      </c>
      <c r="BL47" s="2" t="s">
        <v>12376</v>
      </c>
      <c r="BM47" s="2" t="s">
        <v>13190</v>
      </c>
      <c r="BN47" s="2" t="s">
        <v>12129</v>
      </c>
      <c r="BO47" s="2" t="s">
        <v>12253</v>
      </c>
      <c r="BP47" s="2" t="s">
        <v>12129</v>
      </c>
      <c r="BQ47" s="2" t="s">
        <v>12129</v>
      </c>
      <c r="BR47" s="2" t="s">
        <v>12152</v>
      </c>
      <c r="BS47" s="2" t="s">
        <v>13191</v>
      </c>
      <c r="BT47" s="2" t="str">
        <f>HYPERLINK("https%3A%2F%2Fwww.webofscience.com%2Fwos%2Fwoscc%2Ffull-record%2FWOS:000386500700016","View Full Record in Web of Science")</f>
        <v>View Full Record in Web of Science</v>
      </c>
    </row>
    <row r="48" ht="12.75" customHeight="1">
      <c r="A48" s="2" t="s">
        <v>23</v>
      </c>
      <c r="B48" s="2" t="s">
        <v>13192</v>
      </c>
      <c r="C48" s="2" t="s">
        <v>12129</v>
      </c>
      <c r="D48" s="2" t="s">
        <v>12129</v>
      </c>
      <c r="E48" s="2" t="s">
        <v>12129</v>
      </c>
      <c r="F48" s="2" t="s">
        <v>13193</v>
      </c>
      <c r="G48" s="2" t="s">
        <v>12129</v>
      </c>
      <c r="H48" s="2" t="s">
        <v>12129</v>
      </c>
      <c r="I48" s="2" t="s">
        <v>13194</v>
      </c>
      <c r="J48" s="2" t="s">
        <v>13195</v>
      </c>
      <c r="K48" s="2" t="s">
        <v>12129</v>
      </c>
      <c r="L48" s="2" t="s">
        <v>12129</v>
      </c>
      <c r="M48" s="2" t="s">
        <v>3263</v>
      </c>
      <c r="N48" s="2" t="s">
        <v>35</v>
      </c>
      <c r="O48" s="2" t="s">
        <v>12129</v>
      </c>
      <c r="P48" s="2" t="s">
        <v>12129</v>
      </c>
      <c r="Q48" s="2" t="s">
        <v>12129</v>
      </c>
      <c r="R48" s="2" t="s">
        <v>12129</v>
      </c>
      <c r="S48" s="2" t="s">
        <v>12129</v>
      </c>
      <c r="T48" s="2" t="s">
        <v>13196</v>
      </c>
      <c r="U48" s="2" t="s">
        <v>13197</v>
      </c>
      <c r="V48" s="2" t="s">
        <v>13198</v>
      </c>
      <c r="W48" s="2" t="s">
        <v>13199</v>
      </c>
      <c r="X48" s="2" t="s">
        <v>13200</v>
      </c>
      <c r="Y48" s="2" t="s">
        <v>13201</v>
      </c>
      <c r="Z48" s="2" t="s">
        <v>13202</v>
      </c>
      <c r="AA48" s="2" t="s">
        <v>13203</v>
      </c>
      <c r="AB48" s="2" t="s">
        <v>13204</v>
      </c>
      <c r="AC48" s="2" t="s">
        <v>13205</v>
      </c>
      <c r="AD48" s="2" t="s">
        <v>13206</v>
      </c>
      <c r="AE48" s="2" t="s">
        <v>13207</v>
      </c>
      <c r="AF48" s="2" t="s">
        <v>12129</v>
      </c>
      <c r="AG48" s="2">
        <v>169.0</v>
      </c>
      <c r="AH48" s="2">
        <v>65.0</v>
      </c>
      <c r="AI48" s="2">
        <v>70.0</v>
      </c>
      <c r="AJ48" s="2">
        <v>9.0</v>
      </c>
      <c r="AK48" s="2">
        <v>90.0</v>
      </c>
      <c r="AL48" s="2" t="s">
        <v>12930</v>
      </c>
      <c r="AM48" s="2" t="s">
        <v>12270</v>
      </c>
      <c r="AN48" s="2" t="s">
        <v>12931</v>
      </c>
      <c r="AO48" s="2" t="s">
        <v>13208</v>
      </c>
      <c r="AP48" s="2" t="s">
        <v>12129</v>
      </c>
      <c r="AQ48" s="2" t="s">
        <v>12129</v>
      </c>
      <c r="AR48" s="2" t="s">
        <v>13209</v>
      </c>
      <c r="AS48" s="2" t="s">
        <v>13210</v>
      </c>
      <c r="AT48" s="2" t="s">
        <v>12787</v>
      </c>
      <c r="AU48" s="2">
        <v>2016.0</v>
      </c>
      <c r="AV48" s="2">
        <v>8.0</v>
      </c>
      <c r="AW48" s="2" t="s">
        <v>12129</v>
      </c>
      <c r="AX48" s="2">
        <v>2.0</v>
      </c>
      <c r="AY48" s="2" t="s">
        <v>12129</v>
      </c>
      <c r="AZ48" s="2" t="s">
        <v>12129</v>
      </c>
      <c r="BA48" s="2" t="s">
        <v>12129</v>
      </c>
      <c r="BB48" s="2">
        <v>259.0</v>
      </c>
      <c r="BC48" s="2">
        <v>273.0</v>
      </c>
      <c r="BD48" s="2" t="s">
        <v>12129</v>
      </c>
      <c r="BE48" s="2" t="s">
        <v>13211</v>
      </c>
      <c r="BF48" s="15" t="str">
        <f>HYPERLINK("http://dx.doi.org/10.1016/j.rsma.2016.09.001","http://dx.doi.org/10.1016/j.rsma.2016.09.001")</f>
        <v>http://dx.doi.org/10.1016/j.rsma.2016.09.001</v>
      </c>
      <c r="BG48" s="2" t="s">
        <v>12129</v>
      </c>
      <c r="BH48" s="2" t="s">
        <v>12129</v>
      </c>
      <c r="BI48" s="2">
        <v>15.0</v>
      </c>
      <c r="BJ48" s="2" t="s">
        <v>127</v>
      </c>
      <c r="BK48" s="2" t="s">
        <v>12729</v>
      </c>
      <c r="BL48" s="2" t="s">
        <v>12303</v>
      </c>
      <c r="BM48" s="2" t="s">
        <v>13212</v>
      </c>
      <c r="BN48" s="2" t="s">
        <v>12129</v>
      </c>
      <c r="BO48" s="2" t="s">
        <v>13213</v>
      </c>
      <c r="BP48" s="2" t="s">
        <v>12129</v>
      </c>
      <c r="BQ48" s="2" t="s">
        <v>12129</v>
      </c>
      <c r="BR48" s="2" t="s">
        <v>12152</v>
      </c>
      <c r="BS48" s="2" t="s">
        <v>13214</v>
      </c>
      <c r="BT48" s="2" t="str">
        <f>HYPERLINK("https%3A%2F%2Fwww.webofscience.com%2Fwos%2Fwoscc%2Ffull-record%2FWOS:000414771500005","View Full Record in Web of Science")</f>
        <v>View Full Record in Web of Science</v>
      </c>
    </row>
    <row r="49" ht="12.75" customHeight="1">
      <c r="A49" s="2" t="s">
        <v>23</v>
      </c>
      <c r="B49" s="2" t="s">
        <v>13215</v>
      </c>
      <c r="C49" s="2" t="s">
        <v>12129</v>
      </c>
      <c r="D49" s="2" t="s">
        <v>12129</v>
      </c>
      <c r="E49" s="2" t="s">
        <v>12129</v>
      </c>
      <c r="F49" s="2" t="s">
        <v>13216</v>
      </c>
      <c r="G49" s="2" t="s">
        <v>12129</v>
      </c>
      <c r="H49" s="2" t="s">
        <v>12129</v>
      </c>
      <c r="I49" s="2" t="s">
        <v>13217</v>
      </c>
      <c r="J49" s="2" t="s">
        <v>12813</v>
      </c>
      <c r="K49" s="2" t="s">
        <v>12129</v>
      </c>
      <c r="L49" s="2" t="s">
        <v>12129</v>
      </c>
      <c r="M49" s="2" t="s">
        <v>3263</v>
      </c>
      <c r="N49" s="2" t="s">
        <v>35</v>
      </c>
      <c r="O49" s="2" t="s">
        <v>12129</v>
      </c>
      <c r="P49" s="2" t="s">
        <v>12129</v>
      </c>
      <c r="Q49" s="2" t="s">
        <v>12129</v>
      </c>
      <c r="R49" s="2" t="s">
        <v>12129</v>
      </c>
      <c r="S49" s="2" t="s">
        <v>12129</v>
      </c>
      <c r="T49" s="2" t="s">
        <v>13218</v>
      </c>
      <c r="U49" s="2" t="s">
        <v>13219</v>
      </c>
      <c r="V49" s="2" t="s">
        <v>13220</v>
      </c>
      <c r="W49" s="2" t="s">
        <v>13221</v>
      </c>
      <c r="X49" s="2" t="s">
        <v>13222</v>
      </c>
      <c r="Y49" s="2" t="s">
        <v>13223</v>
      </c>
      <c r="Z49" s="2" t="s">
        <v>13224</v>
      </c>
      <c r="AA49" s="2" t="s">
        <v>13225</v>
      </c>
      <c r="AB49" s="2" t="s">
        <v>13226</v>
      </c>
      <c r="AC49" s="2" t="s">
        <v>12129</v>
      </c>
      <c r="AD49" s="2" t="s">
        <v>12129</v>
      </c>
      <c r="AE49" s="2" t="s">
        <v>12129</v>
      </c>
      <c r="AF49" s="2" t="s">
        <v>12129</v>
      </c>
      <c r="AG49" s="2">
        <v>47.0</v>
      </c>
      <c r="AH49" s="2">
        <v>23.0</v>
      </c>
      <c r="AI49" s="2">
        <v>26.0</v>
      </c>
      <c r="AJ49" s="2">
        <v>3.0</v>
      </c>
      <c r="AK49" s="2">
        <v>41.0</v>
      </c>
      <c r="AL49" s="2" t="s">
        <v>12243</v>
      </c>
      <c r="AM49" s="2" t="s">
        <v>12244</v>
      </c>
      <c r="AN49" s="2" t="s">
        <v>12245</v>
      </c>
      <c r="AO49" s="2" t="s">
        <v>12826</v>
      </c>
      <c r="AP49" s="2" t="s">
        <v>12827</v>
      </c>
      <c r="AQ49" s="2" t="s">
        <v>12129</v>
      </c>
      <c r="AR49" s="2" t="s">
        <v>12828</v>
      </c>
      <c r="AS49" s="2" t="s">
        <v>12829</v>
      </c>
      <c r="AT49" s="2" t="s">
        <v>12249</v>
      </c>
      <c r="AU49" s="2">
        <v>2016.0</v>
      </c>
      <c r="AV49" s="2">
        <v>27.0</v>
      </c>
      <c r="AW49" s="2">
        <v>5.0</v>
      </c>
      <c r="AX49" s="2" t="s">
        <v>12129</v>
      </c>
      <c r="AY49" s="2" t="s">
        <v>12129</v>
      </c>
      <c r="AZ49" s="2" t="s">
        <v>12129</v>
      </c>
      <c r="BA49" s="2" t="s">
        <v>12129</v>
      </c>
      <c r="BB49" s="2">
        <v>948.0</v>
      </c>
      <c r="BC49" s="2">
        <v>957.0</v>
      </c>
      <c r="BD49" s="2" t="s">
        <v>12129</v>
      </c>
      <c r="BE49" s="2" t="s">
        <v>13227</v>
      </c>
      <c r="BF49" s="15" t="str">
        <f>HYPERLINK("http://dx.doi.org/10.1111/jvs.12423","http://dx.doi.org/10.1111/jvs.12423")</f>
        <v>http://dx.doi.org/10.1111/jvs.12423</v>
      </c>
      <c r="BG49" s="2" t="s">
        <v>12129</v>
      </c>
      <c r="BH49" s="2" t="s">
        <v>12129</v>
      </c>
      <c r="BI49" s="2">
        <v>10.0</v>
      </c>
      <c r="BJ49" s="2" t="s">
        <v>12831</v>
      </c>
      <c r="BK49" s="2" t="s">
        <v>12176</v>
      </c>
      <c r="BL49" s="2" t="s">
        <v>12832</v>
      </c>
      <c r="BM49" s="2" t="s">
        <v>13228</v>
      </c>
      <c r="BN49" s="2" t="s">
        <v>12129</v>
      </c>
      <c r="BO49" s="2" t="s">
        <v>12564</v>
      </c>
      <c r="BP49" s="2" t="s">
        <v>12129</v>
      </c>
      <c r="BQ49" s="2" t="s">
        <v>12129</v>
      </c>
      <c r="BR49" s="2" t="s">
        <v>12152</v>
      </c>
      <c r="BS49" s="2" t="s">
        <v>13229</v>
      </c>
      <c r="BT49" s="2" t="str">
        <f>HYPERLINK("https%3A%2F%2Fwww.webofscience.com%2Fwos%2Fwoscc%2Ffull-record%2FWOS:000388439400009","View Full Record in Web of Science")</f>
        <v>View Full Record in Web of Science</v>
      </c>
    </row>
    <row r="50" ht="12.75" customHeight="1">
      <c r="A50" s="2" t="s">
        <v>23</v>
      </c>
      <c r="B50" s="2" t="s">
        <v>13230</v>
      </c>
      <c r="C50" s="2" t="s">
        <v>12129</v>
      </c>
      <c r="D50" s="2" t="s">
        <v>12129</v>
      </c>
      <c r="E50" s="2" t="s">
        <v>12129</v>
      </c>
      <c r="F50" s="2" t="s">
        <v>13231</v>
      </c>
      <c r="G50" s="2" t="s">
        <v>12129</v>
      </c>
      <c r="H50" s="2" t="s">
        <v>12129</v>
      </c>
      <c r="I50" s="2" t="s">
        <v>13232</v>
      </c>
      <c r="J50" s="2" t="s">
        <v>12643</v>
      </c>
      <c r="K50" s="2" t="s">
        <v>12129</v>
      </c>
      <c r="L50" s="2" t="s">
        <v>12129</v>
      </c>
      <c r="M50" s="2" t="s">
        <v>3263</v>
      </c>
      <c r="N50" s="2" t="s">
        <v>27</v>
      </c>
      <c r="O50" s="2" t="s">
        <v>12129</v>
      </c>
      <c r="P50" s="2" t="s">
        <v>12129</v>
      </c>
      <c r="Q50" s="2" t="s">
        <v>12129</v>
      </c>
      <c r="R50" s="2" t="s">
        <v>12129</v>
      </c>
      <c r="S50" s="2" t="s">
        <v>12129</v>
      </c>
      <c r="T50" s="2" t="s">
        <v>13233</v>
      </c>
      <c r="U50" s="2" t="s">
        <v>13234</v>
      </c>
      <c r="V50" s="2" t="s">
        <v>13235</v>
      </c>
      <c r="W50" s="2" t="s">
        <v>13236</v>
      </c>
      <c r="X50" s="2" t="s">
        <v>13237</v>
      </c>
      <c r="Y50" s="2" t="s">
        <v>13238</v>
      </c>
      <c r="Z50" s="2" t="s">
        <v>13239</v>
      </c>
      <c r="AA50" s="2" t="s">
        <v>13240</v>
      </c>
      <c r="AB50" s="2" t="s">
        <v>13241</v>
      </c>
      <c r="AC50" s="2" t="s">
        <v>12129</v>
      </c>
      <c r="AD50" s="2" t="s">
        <v>12129</v>
      </c>
      <c r="AE50" s="2" t="s">
        <v>12129</v>
      </c>
      <c r="AF50" s="2" t="s">
        <v>12129</v>
      </c>
      <c r="AG50" s="2">
        <v>158.0</v>
      </c>
      <c r="AH50" s="2">
        <v>109.0</v>
      </c>
      <c r="AI50" s="2">
        <v>126.0</v>
      </c>
      <c r="AJ50" s="2">
        <v>5.0</v>
      </c>
      <c r="AK50" s="2">
        <v>234.0</v>
      </c>
      <c r="AL50" s="2" t="s">
        <v>12243</v>
      </c>
      <c r="AM50" s="2" t="s">
        <v>12244</v>
      </c>
      <c r="AN50" s="2" t="s">
        <v>12245</v>
      </c>
      <c r="AO50" s="2" t="s">
        <v>12656</v>
      </c>
      <c r="AP50" s="2" t="s">
        <v>12657</v>
      </c>
      <c r="AQ50" s="2" t="s">
        <v>12129</v>
      </c>
      <c r="AR50" s="2" t="s">
        <v>12658</v>
      </c>
      <c r="AS50" s="2" t="s">
        <v>12659</v>
      </c>
      <c r="AT50" s="2" t="s">
        <v>12249</v>
      </c>
      <c r="AU50" s="2">
        <v>2016.0</v>
      </c>
      <c r="AV50" s="2">
        <v>26.0</v>
      </c>
      <c r="AW50" s="2">
        <v>5.0</v>
      </c>
      <c r="AX50" s="2" t="s">
        <v>12129</v>
      </c>
      <c r="AY50" s="2" t="s">
        <v>12129</v>
      </c>
      <c r="AZ50" s="2" t="s">
        <v>12129</v>
      </c>
      <c r="BA50" s="2" t="s">
        <v>12129</v>
      </c>
      <c r="BB50" s="2">
        <v>817.0</v>
      </c>
      <c r="BC50" s="2">
        <v>837.0</v>
      </c>
      <c r="BD50" s="2" t="s">
        <v>12129</v>
      </c>
      <c r="BE50" s="2" t="s">
        <v>13242</v>
      </c>
      <c r="BF50" s="15" t="str">
        <f>HYPERLINK("http://dx.doi.org/10.1002/aqc.2710","http://dx.doi.org/10.1002/aqc.2710")</f>
        <v>http://dx.doi.org/10.1002/aqc.2710</v>
      </c>
      <c r="BG50" s="2" t="s">
        <v>12129</v>
      </c>
      <c r="BH50" s="2" t="s">
        <v>12129</v>
      </c>
      <c r="BI50" s="2">
        <v>21.0</v>
      </c>
      <c r="BJ50" s="2" t="s">
        <v>12662</v>
      </c>
      <c r="BK50" s="2" t="s">
        <v>12176</v>
      </c>
      <c r="BL50" s="2" t="s">
        <v>12663</v>
      </c>
      <c r="BM50" s="2" t="s">
        <v>13243</v>
      </c>
      <c r="BN50" s="2" t="s">
        <v>12129</v>
      </c>
      <c r="BO50" s="2" t="s">
        <v>12538</v>
      </c>
      <c r="BP50" s="2" t="s">
        <v>12129</v>
      </c>
      <c r="BQ50" s="2" t="s">
        <v>12129</v>
      </c>
      <c r="BR50" s="2" t="s">
        <v>12152</v>
      </c>
      <c r="BS50" s="2" t="s">
        <v>13244</v>
      </c>
      <c r="BT50" s="2" t="str">
        <f>HYPERLINK("https%3A%2F%2Fwww.webofscience.com%2Fwos%2Fwoscc%2Ffull-record%2FWOS:000388445200002","View Full Record in Web of Science")</f>
        <v>View Full Record in Web of Science</v>
      </c>
    </row>
    <row r="51" ht="12.75" customHeight="1">
      <c r="A51" s="2" t="s">
        <v>23</v>
      </c>
      <c r="B51" s="2" t="s">
        <v>13245</v>
      </c>
      <c r="C51" s="2" t="s">
        <v>12129</v>
      </c>
      <c r="D51" s="2" t="s">
        <v>12129</v>
      </c>
      <c r="E51" s="2" t="s">
        <v>12129</v>
      </c>
      <c r="F51" s="2" t="s">
        <v>13246</v>
      </c>
      <c r="G51" s="2" t="s">
        <v>12129</v>
      </c>
      <c r="H51" s="2" t="s">
        <v>12129</v>
      </c>
      <c r="I51" s="2" t="s">
        <v>13247</v>
      </c>
      <c r="J51" s="2" t="s">
        <v>248</v>
      </c>
      <c r="K51" s="2" t="s">
        <v>12129</v>
      </c>
      <c r="L51" s="2" t="s">
        <v>12129</v>
      </c>
      <c r="M51" s="2" t="s">
        <v>3263</v>
      </c>
      <c r="N51" s="2" t="s">
        <v>27</v>
      </c>
      <c r="O51" s="2" t="s">
        <v>12129</v>
      </c>
      <c r="P51" s="2" t="s">
        <v>12129</v>
      </c>
      <c r="Q51" s="2" t="s">
        <v>12129</v>
      </c>
      <c r="R51" s="2" t="s">
        <v>12129</v>
      </c>
      <c r="S51" s="2" t="s">
        <v>12129</v>
      </c>
      <c r="T51" s="2" t="s">
        <v>13248</v>
      </c>
      <c r="U51" s="2" t="s">
        <v>13249</v>
      </c>
      <c r="V51" s="2" t="s">
        <v>13250</v>
      </c>
      <c r="W51" s="2" t="s">
        <v>13251</v>
      </c>
      <c r="X51" s="2" t="s">
        <v>13252</v>
      </c>
      <c r="Y51" s="2" t="s">
        <v>13253</v>
      </c>
      <c r="Z51" s="2" t="s">
        <v>13254</v>
      </c>
      <c r="AA51" s="2" t="s">
        <v>13255</v>
      </c>
      <c r="AB51" s="2" t="s">
        <v>13256</v>
      </c>
      <c r="AC51" s="2" t="s">
        <v>13257</v>
      </c>
      <c r="AD51" s="2" t="s">
        <v>13258</v>
      </c>
      <c r="AE51" s="2" t="s">
        <v>12129</v>
      </c>
      <c r="AF51" s="2" t="s">
        <v>12129</v>
      </c>
      <c r="AG51" s="2">
        <v>179.0</v>
      </c>
      <c r="AH51" s="2">
        <v>188.0</v>
      </c>
      <c r="AI51" s="2">
        <v>195.0</v>
      </c>
      <c r="AJ51" s="2">
        <v>1.0</v>
      </c>
      <c r="AK51" s="2">
        <v>134.0</v>
      </c>
      <c r="AL51" s="2" t="s">
        <v>12321</v>
      </c>
      <c r="AM51" s="2" t="s">
        <v>12295</v>
      </c>
      <c r="AN51" s="2" t="s">
        <v>12454</v>
      </c>
      <c r="AO51" s="2" t="s">
        <v>6122</v>
      </c>
      <c r="AP51" s="2" t="s">
        <v>12803</v>
      </c>
      <c r="AQ51" s="2" t="s">
        <v>12129</v>
      </c>
      <c r="AR51" s="2" t="s">
        <v>12804</v>
      </c>
      <c r="AS51" s="2" t="s">
        <v>12805</v>
      </c>
      <c r="AT51" s="2" t="s">
        <v>12249</v>
      </c>
      <c r="AU51" s="2">
        <v>2016.0</v>
      </c>
      <c r="AV51" s="2">
        <v>201.0</v>
      </c>
      <c r="AW51" s="2" t="s">
        <v>12129</v>
      </c>
      <c r="AX51" s="2" t="s">
        <v>12129</v>
      </c>
      <c r="AY51" s="2" t="s">
        <v>12129</v>
      </c>
      <c r="AZ51" s="2" t="s">
        <v>12129</v>
      </c>
      <c r="BA51" s="2" t="s">
        <v>12129</v>
      </c>
      <c r="BB51" s="2">
        <v>169.0</v>
      </c>
      <c r="BC51" s="2">
        <v>183.0</v>
      </c>
      <c r="BD51" s="2" t="s">
        <v>12129</v>
      </c>
      <c r="BE51" s="2" t="s">
        <v>13259</v>
      </c>
      <c r="BF51" s="15" t="str">
        <f>HYPERLINK("http://dx.doi.org/10.1016/j.biocon.2016.06.017","http://dx.doi.org/10.1016/j.biocon.2016.06.017")</f>
        <v>http://dx.doi.org/10.1016/j.biocon.2016.06.017</v>
      </c>
      <c r="BG51" s="2" t="s">
        <v>12129</v>
      </c>
      <c r="BH51" s="2" t="s">
        <v>12129</v>
      </c>
      <c r="BI51" s="2">
        <v>15.0</v>
      </c>
      <c r="BJ51" s="2" t="s">
        <v>252</v>
      </c>
      <c r="BK51" s="2" t="s">
        <v>12176</v>
      </c>
      <c r="BL51" s="2" t="s">
        <v>12376</v>
      </c>
      <c r="BM51" s="2" t="s">
        <v>13260</v>
      </c>
      <c r="BN51" s="2" t="s">
        <v>12129</v>
      </c>
      <c r="BO51" s="2" t="s">
        <v>12538</v>
      </c>
      <c r="BP51" s="2" t="s">
        <v>12129</v>
      </c>
      <c r="BQ51" s="2" t="s">
        <v>12129</v>
      </c>
      <c r="BR51" s="2" t="s">
        <v>12152</v>
      </c>
      <c r="BS51" s="2" t="s">
        <v>13261</v>
      </c>
      <c r="BT51" s="2" t="str">
        <f>HYPERLINK("https%3A%2F%2Fwww.webofscience.com%2Fwos%2Fwoscc%2Ffull-record%2FWOS:000384782800019","View Full Record in Web of Science")</f>
        <v>View Full Record in Web of Science</v>
      </c>
    </row>
    <row r="52" ht="12.75" customHeight="1">
      <c r="A52" s="2" t="s">
        <v>23</v>
      </c>
      <c r="B52" s="2" t="s">
        <v>13262</v>
      </c>
      <c r="C52" s="2" t="s">
        <v>12129</v>
      </c>
      <c r="D52" s="2" t="s">
        <v>12129</v>
      </c>
      <c r="E52" s="2" t="s">
        <v>12129</v>
      </c>
      <c r="F52" s="2" t="s">
        <v>13263</v>
      </c>
      <c r="G52" s="2" t="s">
        <v>12129</v>
      </c>
      <c r="H52" s="2" t="s">
        <v>12129</v>
      </c>
      <c r="I52" s="2" t="s">
        <v>13264</v>
      </c>
      <c r="J52" s="2" t="s">
        <v>13265</v>
      </c>
      <c r="K52" s="2" t="s">
        <v>12129</v>
      </c>
      <c r="L52" s="2" t="s">
        <v>12129</v>
      </c>
      <c r="M52" s="2" t="s">
        <v>3263</v>
      </c>
      <c r="N52" s="2" t="s">
        <v>35</v>
      </c>
      <c r="O52" s="2" t="s">
        <v>12129</v>
      </c>
      <c r="P52" s="2" t="s">
        <v>12129</v>
      </c>
      <c r="Q52" s="2" t="s">
        <v>12129</v>
      </c>
      <c r="R52" s="2" t="s">
        <v>12129</v>
      </c>
      <c r="S52" s="2" t="s">
        <v>12129</v>
      </c>
      <c r="T52" s="2" t="s">
        <v>13266</v>
      </c>
      <c r="U52" s="2" t="s">
        <v>13267</v>
      </c>
      <c r="V52" s="2" t="s">
        <v>13268</v>
      </c>
      <c r="W52" s="2" t="s">
        <v>13269</v>
      </c>
      <c r="X52" s="2" t="s">
        <v>13270</v>
      </c>
      <c r="Y52" s="2" t="s">
        <v>13271</v>
      </c>
      <c r="Z52" s="2" t="s">
        <v>13272</v>
      </c>
      <c r="AA52" s="2" t="s">
        <v>13273</v>
      </c>
      <c r="AB52" s="2" t="s">
        <v>13274</v>
      </c>
      <c r="AC52" s="2" t="s">
        <v>13275</v>
      </c>
      <c r="AD52" s="2" t="s">
        <v>13276</v>
      </c>
      <c r="AE52" s="2" t="s">
        <v>13277</v>
      </c>
      <c r="AF52" s="2" t="s">
        <v>12129</v>
      </c>
      <c r="AG52" s="2">
        <v>52.0</v>
      </c>
      <c r="AH52" s="2">
        <v>46.0</v>
      </c>
      <c r="AI52" s="2">
        <v>54.0</v>
      </c>
      <c r="AJ52" s="2">
        <v>4.0</v>
      </c>
      <c r="AK52" s="2">
        <v>117.0</v>
      </c>
      <c r="AL52" s="2" t="s">
        <v>12294</v>
      </c>
      <c r="AM52" s="2" t="s">
        <v>12295</v>
      </c>
      <c r="AN52" s="2" t="s">
        <v>12296</v>
      </c>
      <c r="AO52" s="2" t="s">
        <v>13278</v>
      </c>
      <c r="AP52" s="2" t="s">
        <v>13279</v>
      </c>
      <c r="AQ52" s="2" t="s">
        <v>12129</v>
      </c>
      <c r="AR52" s="2" t="s">
        <v>13280</v>
      </c>
      <c r="AS52" s="2" t="s">
        <v>13281</v>
      </c>
      <c r="AT52" s="2" t="s">
        <v>12301</v>
      </c>
      <c r="AU52" s="2">
        <v>2016.0</v>
      </c>
      <c r="AV52" s="2">
        <v>98.0</v>
      </c>
      <c r="AW52" s="2" t="s">
        <v>12129</v>
      </c>
      <c r="AX52" s="2" t="s">
        <v>12129</v>
      </c>
      <c r="AY52" s="2" t="s">
        <v>12129</v>
      </c>
      <c r="AZ52" s="2" t="s">
        <v>12129</v>
      </c>
      <c r="BA52" s="2" t="s">
        <v>12129</v>
      </c>
      <c r="BB52" s="2">
        <v>166.0</v>
      </c>
      <c r="BC52" s="2">
        <v>175.0</v>
      </c>
      <c r="BD52" s="2" t="s">
        <v>12129</v>
      </c>
      <c r="BE52" s="2" t="s">
        <v>13282</v>
      </c>
      <c r="BF52" s="15" t="str">
        <f>HYPERLINK("http://dx.doi.org/10.1016/j.orggeochem.2016.06.001","http://dx.doi.org/10.1016/j.orggeochem.2016.06.001")</f>
        <v>http://dx.doi.org/10.1016/j.orggeochem.2016.06.001</v>
      </c>
      <c r="BG52" s="2" t="s">
        <v>12129</v>
      </c>
      <c r="BH52" s="2" t="s">
        <v>12129</v>
      </c>
      <c r="BI52" s="2">
        <v>10.0</v>
      </c>
      <c r="BJ52" s="2" t="s">
        <v>13283</v>
      </c>
      <c r="BK52" s="2" t="s">
        <v>12176</v>
      </c>
      <c r="BL52" s="2" t="s">
        <v>13283</v>
      </c>
      <c r="BM52" s="2" t="s">
        <v>13284</v>
      </c>
      <c r="BN52" s="2" t="s">
        <v>12129</v>
      </c>
      <c r="BO52" s="2" t="s">
        <v>12129</v>
      </c>
      <c r="BP52" s="2" t="s">
        <v>12129</v>
      </c>
      <c r="BQ52" s="2" t="s">
        <v>12129</v>
      </c>
      <c r="BR52" s="2" t="s">
        <v>12152</v>
      </c>
      <c r="BS52" s="2" t="s">
        <v>13285</v>
      </c>
      <c r="BT52" s="2" t="str">
        <f>HYPERLINK("https%3A%2F%2Fwww.webofscience.com%2Fwos%2Fwoscc%2Ffull-record%2FWOS:000379782300014","View Full Record in Web of Science")</f>
        <v>View Full Record in Web of Science</v>
      </c>
    </row>
    <row r="53" ht="12.75" customHeight="1">
      <c r="A53" s="2" t="s">
        <v>23</v>
      </c>
      <c r="B53" s="2" t="s">
        <v>13286</v>
      </c>
      <c r="C53" s="2" t="s">
        <v>12129</v>
      </c>
      <c r="D53" s="2" t="s">
        <v>12129</v>
      </c>
      <c r="E53" s="2" t="s">
        <v>12129</v>
      </c>
      <c r="F53" s="2" t="s">
        <v>13287</v>
      </c>
      <c r="G53" s="2" t="s">
        <v>12129</v>
      </c>
      <c r="H53" s="2" t="s">
        <v>12129</v>
      </c>
      <c r="I53" s="2" t="s">
        <v>13288</v>
      </c>
      <c r="J53" s="2" t="s">
        <v>248</v>
      </c>
      <c r="K53" s="2" t="s">
        <v>12129</v>
      </c>
      <c r="L53" s="2" t="s">
        <v>12129</v>
      </c>
      <c r="M53" s="2" t="s">
        <v>3263</v>
      </c>
      <c r="N53" s="2" t="s">
        <v>35</v>
      </c>
      <c r="O53" s="2" t="s">
        <v>12129</v>
      </c>
      <c r="P53" s="2" t="s">
        <v>12129</v>
      </c>
      <c r="Q53" s="2" t="s">
        <v>12129</v>
      </c>
      <c r="R53" s="2" t="s">
        <v>12129</v>
      </c>
      <c r="S53" s="2" t="s">
        <v>12129</v>
      </c>
      <c r="T53" s="2" t="s">
        <v>13289</v>
      </c>
      <c r="U53" s="2" t="s">
        <v>13290</v>
      </c>
      <c r="V53" s="2" t="s">
        <v>13291</v>
      </c>
      <c r="W53" s="2" t="s">
        <v>13292</v>
      </c>
      <c r="X53" s="2" t="s">
        <v>13293</v>
      </c>
      <c r="Y53" s="2" t="s">
        <v>13294</v>
      </c>
      <c r="Z53" s="2" t="s">
        <v>13295</v>
      </c>
      <c r="AA53" s="2" t="s">
        <v>13296</v>
      </c>
      <c r="AB53" s="2" t="s">
        <v>13297</v>
      </c>
      <c r="AC53" s="2" t="s">
        <v>13298</v>
      </c>
      <c r="AD53" s="2" t="s">
        <v>13298</v>
      </c>
      <c r="AE53" s="2" t="s">
        <v>13299</v>
      </c>
      <c r="AF53" s="2" t="s">
        <v>12129</v>
      </c>
      <c r="AG53" s="2">
        <v>40.0</v>
      </c>
      <c r="AH53" s="2">
        <v>51.0</v>
      </c>
      <c r="AI53" s="2">
        <v>54.0</v>
      </c>
      <c r="AJ53" s="2">
        <v>1.0</v>
      </c>
      <c r="AK53" s="2">
        <v>66.0</v>
      </c>
      <c r="AL53" s="2" t="s">
        <v>12321</v>
      </c>
      <c r="AM53" s="2" t="s">
        <v>2146</v>
      </c>
      <c r="AN53" s="2" t="s">
        <v>12322</v>
      </c>
      <c r="AO53" s="2" t="s">
        <v>6122</v>
      </c>
      <c r="AP53" s="2" t="s">
        <v>12803</v>
      </c>
      <c r="AQ53" s="2" t="s">
        <v>12129</v>
      </c>
      <c r="AR53" s="2" t="s">
        <v>12804</v>
      </c>
      <c r="AS53" s="2" t="s">
        <v>12805</v>
      </c>
      <c r="AT53" s="2" t="s">
        <v>12301</v>
      </c>
      <c r="AU53" s="2">
        <v>2016.0</v>
      </c>
      <c r="AV53" s="2">
        <v>200.0</v>
      </c>
      <c r="AW53" s="2" t="s">
        <v>12129</v>
      </c>
      <c r="AX53" s="2" t="s">
        <v>12129</v>
      </c>
      <c r="AY53" s="2" t="s">
        <v>12129</v>
      </c>
      <c r="AZ53" s="2" t="s">
        <v>12129</v>
      </c>
      <c r="BA53" s="2" t="s">
        <v>12129</v>
      </c>
      <c r="BB53" s="2">
        <v>44.0</v>
      </c>
      <c r="BC53" s="2">
        <v>50.0</v>
      </c>
      <c r="BD53" s="2" t="s">
        <v>12129</v>
      </c>
      <c r="BE53" s="2" t="s">
        <v>13300</v>
      </c>
      <c r="BF53" s="15" t="str">
        <f>HYPERLINK("http://dx.doi.org/10.1016/j.biocon.2016.05.031","http://dx.doi.org/10.1016/j.biocon.2016.05.031")</f>
        <v>http://dx.doi.org/10.1016/j.biocon.2016.05.031</v>
      </c>
      <c r="BG53" s="2" t="s">
        <v>12129</v>
      </c>
      <c r="BH53" s="2" t="s">
        <v>12129</v>
      </c>
      <c r="BI53" s="2">
        <v>7.0</v>
      </c>
      <c r="BJ53" s="2" t="s">
        <v>252</v>
      </c>
      <c r="BK53" s="2" t="s">
        <v>12176</v>
      </c>
      <c r="BL53" s="2" t="s">
        <v>12376</v>
      </c>
      <c r="BM53" s="2" t="s">
        <v>13301</v>
      </c>
      <c r="BN53" s="2" t="s">
        <v>12129</v>
      </c>
      <c r="BO53" s="2" t="s">
        <v>12808</v>
      </c>
      <c r="BP53" s="2" t="s">
        <v>12129</v>
      </c>
      <c r="BQ53" s="2" t="s">
        <v>12129</v>
      </c>
      <c r="BR53" s="2" t="s">
        <v>12152</v>
      </c>
      <c r="BS53" s="2" t="s">
        <v>13302</v>
      </c>
      <c r="BT53" s="2" t="str">
        <f>HYPERLINK("https%3A%2F%2Fwww.webofscience.com%2Fwos%2Fwoscc%2Ffull-record%2FWOS:000381325300006","View Full Record in Web of Science")</f>
        <v>View Full Record in Web of Science</v>
      </c>
    </row>
    <row r="54" ht="12.75" customHeight="1">
      <c r="A54" s="2" t="s">
        <v>23</v>
      </c>
      <c r="B54" s="2" t="s">
        <v>13303</v>
      </c>
      <c r="C54" s="2" t="s">
        <v>12129</v>
      </c>
      <c r="D54" s="2" t="s">
        <v>12129</v>
      </c>
      <c r="E54" s="2" t="s">
        <v>12129</v>
      </c>
      <c r="F54" s="2" t="s">
        <v>13304</v>
      </c>
      <c r="G54" s="2" t="s">
        <v>12129</v>
      </c>
      <c r="H54" s="2" t="s">
        <v>12129</v>
      </c>
      <c r="I54" s="2" t="s">
        <v>13305</v>
      </c>
      <c r="J54" s="2" t="s">
        <v>248</v>
      </c>
      <c r="K54" s="2" t="s">
        <v>12129</v>
      </c>
      <c r="L54" s="2" t="s">
        <v>12129</v>
      </c>
      <c r="M54" s="2" t="s">
        <v>3263</v>
      </c>
      <c r="N54" s="2" t="s">
        <v>35</v>
      </c>
      <c r="O54" s="2" t="s">
        <v>12129</v>
      </c>
      <c r="P54" s="2" t="s">
        <v>12129</v>
      </c>
      <c r="Q54" s="2" t="s">
        <v>12129</v>
      </c>
      <c r="R54" s="2" t="s">
        <v>12129</v>
      </c>
      <c r="S54" s="2" t="s">
        <v>12129</v>
      </c>
      <c r="T54" s="2" t="s">
        <v>13306</v>
      </c>
      <c r="U54" s="2" t="s">
        <v>13307</v>
      </c>
      <c r="V54" s="2" t="s">
        <v>13308</v>
      </c>
      <c r="W54" s="2" t="s">
        <v>13309</v>
      </c>
      <c r="X54" s="2" t="s">
        <v>13310</v>
      </c>
      <c r="Y54" s="2" t="s">
        <v>13311</v>
      </c>
      <c r="Z54" s="2" t="s">
        <v>13312</v>
      </c>
      <c r="AA54" s="2" t="s">
        <v>13313</v>
      </c>
      <c r="AB54" s="2" t="s">
        <v>13314</v>
      </c>
      <c r="AC54" s="2" t="s">
        <v>13315</v>
      </c>
      <c r="AD54" s="2" t="s">
        <v>13315</v>
      </c>
      <c r="AE54" s="2" t="s">
        <v>13316</v>
      </c>
      <c r="AF54" s="2" t="s">
        <v>12129</v>
      </c>
      <c r="AG54" s="2">
        <v>47.0</v>
      </c>
      <c r="AH54" s="2">
        <v>40.0</v>
      </c>
      <c r="AI54" s="2">
        <v>43.0</v>
      </c>
      <c r="AJ54" s="2">
        <v>0.0</v>
      </c>
      <c r="AK54" s="2">
        <v>103.0</v>
      </c>
      <c r="AL54" s="2" t="s">
        <v>12321</v>
      </c>
      <c r="AM54" s="2" t="s">
        <v>12295</v>
      </c>
      <c r="AN54" s="2" t="s">
        <v>12454</v>
      </c>
      <c r="AO54" s="2" t="s">
        <v>6122</v>
      </c>
      <c r="AP54" s="2" t="s">
        <v>12803</v>
      </c>
      <c r="AQ54" s="2" t="s">
        <v>12129</v>
      </c>
      <c r="AR54" s="2" t="s">
        <v>12804</v>
      </c>
      <c r="AS54" s="2" t="s">
        <v>12805</v>
      </c>
      <c r="AT54" s="2" t="s">
        <v>12352</v>
      </c>
      <c r="AU54" s="2">
        <v>2016.0</v>
      </c>
      <c r="AV54" s="2">
        <v>199.0</v>
      </c>
      <c r="AW54" s="2" t="s">
        <v>12129</v>
      </c>
      <c r="AX54" s="2" t="s">
        <v>12129</v>
      </c>
      <c r="AY54" s="2" t="s">
        <v>12129</v>
      </c>
      <c r="AZ54" s="2" t="s">
        <v>12129</v>
      </c>
      <c r="BA54" s="2" t="s">
        <v>12129</v>
      </c>
      <c r="BB54" s="2">
        <v>1.0</v>
      </c>
      <c r="BC54" s="2">
        <v>9.0</v>
      </c>
      <c r="BD54" s="2" t="s">
        <v>12129</v>
      </c>
      <c r="BE54" s="2" t="s">
        <v>13317</v>
      </c>
      <c r="BF54" s="15" t="str">
        <f>HYPERLINK("http://dx.doi.org/10.1016/j.biocon.2016.04.013","http://dx.doi.org/10.1016/j.biocon.2016.04.013")</f>
        <v>http://dx.doi.org/10.1016/j.biocon.2016.04.013</v>
      </c>
      <c r="BG54" s="2" t="s">
        <v>12129</v>
      </c>
      <c r="BH54" s="2" t="s">
        <v>12129</v>
      </c>
      <c r="BI54" s="2">
        <v>9.0</v>
      </c>
      <c r="BJ54" s="2" t="s">
        <v>252</v>
      </c>
      <c r="BK54" s="2" t="s">
        <v>12176</v>
      </c>
      <c r="BL54" s="2" t="s">
        <v>12376</v>
      </c>
      <c r="BM54" s="2" t="s">
        <v>13318</v>
      </c>
      <c r="BN54" s="2" t="s">
        <v>12129</v>
      </c>
      <c r="BO54" s="2" t="s">
        <v>12129</v>
      </c>
      <c r="BP54" s="2" t="s">
        <v>12129</v>
      </c>
      <c r="BQ54" s="2" t="s">
        <v>12129</v>
      </c>
      <c r="BR54" s="2" t="s">
        <v>12152</v>
      </c>
      <c r="BS54" s="2" t="s">
        <v>13319</v>
      </c>
      <c r="BT54" s="2" t="str">
        <f>HYPERLINK("https%3A%2F%2Fwww.webofscience.com%2Fwos%2Fwoscc%2Ffull-record%2FWOS:000379559600001","View Full Record in Web of Science")</f>
        <v>View Full Record in Web of Science</v>
      </c>
    </row>
    <row r="55" ht="12.75" customHeight="1">
      <c r="A55" s="2" t="s">
        <v>23</v>
      </c>
      <c r="B55" s="2" t="s">
        <v>13320</v>
      </c>
      <c r="C55" s="2" t="s">
        <v>12129</v>
      </c>
      <c r="D55" s="2" t="s">
        <v>12129</v>
      </c>
      <c r="E55" s="2" t="s">
        <v>12129</v>
      </c>
      <c r="F55" s="2" t="s">
        <v>13321</v>
      </c>
      <c r="G55" s="2" t="s">
        <v>12129</v>
      </c>
      <c r="H55" s="2" t="s">
        <v>12129</v>
      </c>
      <c r="I55" s="2" t="s">
        <v>13322</v>
      </c>
      <c r="J55" s="2" t="s">
        <v>13171</v>
      </c>
      <c r="K55" s="2" t="s">
        <v>12129</v>
      </c>
      <c r="L55" s="2" t="s">
        <v>12129</v>
      </c>
      <c r="M55" s="2" t="s">
        <v>3263</v>
      </c>
      <c r="N55" s="2" t="s">
        <v>35</v>
      </c>
      <c r="O55" s="2" t="s">
        <v>12129</v>
      </c>
      <c r="P55" s="2" t="s">
        <v>12129</v>
      </c>
      <c r="Q55" s="2" t="s">
        <v>12129</v>
      </c>
      <c r="R55" s="2" t="s">
        <v>12129</v>
      </c>
      <c r="S55" s="2" t="s">
        <v>12129</v>
      </c>
      <c r="T55" s="2" t="s">
        <v>13323</v>
      </c>
      <c r="U55" s="2" t="s">
        <v>13324</v>
      </c>
      <c r="V55" s="2" t="s">
        <v>13325</v>
      </c>
      <c r="W55" s="2" t="s">
        <v>13326</v>
      </c>
      <c r="X55" s="2" t="s">
        <v>13327</v>
      </c>
      <c r="Y55" s="2" t="s">
        <v>13328</v>
      </c>
      <c r="Z55" s="2" t="s">
        <v>13329</v>
      </c>
      <c r="AA55" s="2" t="s">
        <v>13330</v>
      </c>
      <c r="AB55" s="2" t="s">
        <v>13331</v>
      </c>
      <c r="AC55" s="2" t="s">
        <v>13332</v>
      </c>
      <c r="AD55" s="2" t="s">
        <v>13333</v>
      </c>
      <c r="AE55" s="2" t="s">
        <v>13334</v>
      </c>
      <c r="AF55" s="2" t="s">
        <v>12129</v>
      </c>
      <c r="AG55" s="2">
        <v>185.0</v>
      </c>
      <c r="AH55" s="2">
        <v>112.0</v>
      </c>
      <c r="AI55" s="2">
        <v>119.0</v>
      </c>
      <c r="AJ55" s="2">
        <v>0.0</v>
      </c>
      <c r="AK55" s="2">
        <v>151.0</v>
      </c>
      <c r="AL55" s="2" t="s">
        <v>13181</v>
      </c>
      <c r="AM55" s="2" t="s">
        <v>13182</v>
      </c>
      <c r="AN55" s="2" t="s">
        <v>13183</v>
      </c>
      <c r="AO55" s="2" t="s">
        <v>13184</v>
      </c>
      <c r="AP55" s="2" t="s">
        <v>13185</v>
      </c>
      <c r="AQ55" s="2" t="s">
        <v>12129</v>
      </c>
      <c r="AR55" s="2" t="s">
        <v>13186</v>
      </c>
      <c r="AS55" s="2" t="s">
        <v>13187</v>
      </c>
      <c r="AT55" s="2" t="s">
        <v>12436</v>
      </c>
      <c r="AU55" s="2">
        <v>2016.0</v>
      </c>
      <c r="AV55" s="2">
        <v>25.0</v>
      </c>
      <c r="AW55" s="2">
        <v>7.0</v>
      </c>
      <c r="AX55" s="2" t="s">
        <v>12129</v>
      </c>
      <c r="AY55" s="2" t="s">
        <v>12129</v>
      </c>
      <c r="AZ55" s="2" t="s">
        <v>13188</v>
      </c>
      <c r="BA55" s="2" t="s">
        <v>12129</v>
      </c>
      <c r="BB55" s="2">
        <v>1319.0</v>
      </c>
      <c r="BC55" s="2">
        <v>1348.0</v>
      </c>
      <c r="BD55" s="2" t="s">
        <v>12129</v>
      </c>
      <c r="BE55" s="2" t="s">
        <v>13335</v>
      </c>
      <c r="BF55" s="15" t="str">
        <f>HYPERLINK("http://dx.doi.org/10.1007/s10531-016-1141-7","http://dx.doi.org/10.1007/s10531-016-1141-7")</f>
        <v>http://dx.doi.org/10.1007/s10531-016-1141-7</v>
      </c>
      <c r="BG55" s="2" t="s">
        <v>12129</v>
      </c>
      <c r="BH55" s="2" t="s">
        <v>12129</v>
      </c>
      <c r="BI55" s="2">
        <v>30.0</v>
      </c>
      <c r="BJ55" s="2" t="s">
        <v>252</v>
      </c>
      <c r="BK55" s="2" t="s">
        <v>12176</v>
      </c>
      <c r="BL55" s="2" t="s">
        <v>12376</v>
      </c>
      <c r="BM55" s="2" t="s">
        <v>13336</v>
      </c>
      <c r="BN55" s="2" t="s">
        <v>12129</v>
      </c>
      <c r="BO55" s="2" t="s">
        <v>12378</v>
      </c>
      <c r="BP55" s="2" t="s">
        <v>12129</v>
      </c>
      <c r="BQ55" s="2" t="s">
        <v>12129</v>
      </c>
      <c r="BR55" s="2" t="s">
        <v>12152</v>
      </c>
      <c r="BS55" s="2" t="s">
        <v>13337</v>
      </c>
      <c r="BT55" s="2" t="str">
        <f>HYPERLINK("https%3A%2F%2Fwww.webofscience.com%2Fwos%2Fwoscc%2Ffull-record%2FWOS:000379006400008","View Full Record in Web of Science")</f>
        <v>View Full Record in Web of Science</v>
      </c>
    </row>
    <row r="56" ht="12.75" customHeight="1">
      <c r="A56" s="2" t="s">
        <v>23</v>
      </c>
      <c r="B56" s="2" t="s">
        <v>13338</v>
      </c>
      <c r="C56" s="2" t="s">
        <v>12129</v>
      </c>
      <c r="D56" s="2" t="s">
        <v>12129</v>
      </c>
      <c r="E56" s="2" t="s">
        <v>12129</v>
      </c>
      <c r="F56" s="2" t="s">
        <v>13339</v>
      </c>
      <c r="G56" s="2" t="s">
        <v>12129</v>
      </c>
      <c r="H56" s="2" t="s">
        <v>12129</v>
      </c>
      <c r="I56" s="2" t="s">
        <v>13340</v>
      </c>
      <c r="J56" s="2" t="s">
        <v>12692</v>
      </c>
      <c r="K56" s="2" t="s">
        <v>12129</v>
      </c>
      <c r="L56" s="2" t="s">
        <v>12129</v>
      </c>
      <c r="M56" s="2" t="s">
        <v>3263</v>
      </c>
      <c r="N56" s="2" t="s">
        <v>35</v>
      </c>
      <c r="O56" s="2" t="s">
        <v>12129</v>
      </c>
      <c r="P56" s="2" t="s">
        <v>12129</v>
      </c>
      <c r="Q56" s="2" t="s">
        <v>12129</v>
      </c>
      <c r="R56" s="2" t="s">
        <v>12129</v>
      </c>
      <c r="S56" s="2" t="s">
        <v>12129</v>
      </c>
      <c r="T56" s="2" t="s">
        <v>13341</v>
      </c>
      <c r="U56" s="2" t="s">
        <v>13342</v>
      </c>
      <c r="V56" s="2" t="s">
        <v>13343</v>
      </c>
      <c r="W56" s="2" t="s">
        <v>13344</v>
      </c>
      <c r="X56" s="2" t="s">
        <v>13345</v>
      </c>
      <c r="Y56" s="2" t="s">
        <v>13346</v>
      </c>
      <c r="Z56" s="2" t="s">
        <v>13347</v>
      </c>
      <c r="AA56" s="2" t="s">
        <v>13348</v>
      </c>
      <c r="AB56" s="2" t="s">
        <v>13349</v>
      </c>
      <c r="AC56" s="2" t="s">
        <v>13350</v>
      </c>
      <c r="AD56" s="2" t="s">
        <v>13351</v>
      </c>
      <c r="AE56" s="2" t="s">
        <v>13352</v>
      </c>
      <c r="AF56" s="2" t="s">
        <v>12129</v>
      </c>
      <c r="AG56" s="2">
        <v>52.0</v>
      </c>
      <c r="AH56" s="2">
        <v>12.0</v>
      </c>
      <c r="AI56" s="2">
        <v>14.0</v>
      </c>
      <c r="AJ56" s="2">
        <v>0.0</v>
      </c>
      <c r="AK56" s="2">
        <v>16.0</v>
      </c>
      <c r="AL56" s="2" t="s">
        <v>12269</v>
      </c>
      <c r="AM56" s="2" t="s">
        <v>12270</v>
      </c>
      <c r="AN56" s="2" t="s">
        <v>12271</v>
      </c>
      <c r="AO56" s="2" t="s">
        <v>12705</v>
      </c>
      <c r="AP56" s="2" t="s">
        <v>12706</v>
      </c>
      <c r="AQ56" s="2" t="s">
        <v>12129</v>
      </c>
      <c r="AR56" s="2" t="s">
        <v>12707</v>
      </c>
      <c r="AS56" s="2" t="s">
        <v>12708</v>
      </c>
      <c r="AT56" s="2" t="s">
        <v>12459</v>
      </c>
      <c r="AU56" s="2">
        <v>2016.0</v>
      </c>
      <c r="AV56" s="2">
        <v>177.0</v>
      </c>
      <c r="AW56" s="2" t="s">
        <v>12129</v>
      </c>
      <c r="AX56" s="2" t="s">
        <v>12129</v>
      </c>
      <c r="AY56" s="2" t="s">
        <v>12129</v>
      </c>
      <c r="AZ56" s="2" t="s">
        <v>12129</v>
      </c>
      <c r="BA56" s="2" t="s">
        <v>12129</v>
      </c>
      <c r="BB56" s="2">
        <v>71.0</v>
      </c>
      <c r="BC56" s="2">
        <v>81.0</v>
      </c>
      <c r="BD56" s="2" t="s">
        <v>12129</v>
      </c>
      <c r="BE56" s="2" t="s">
        <v>13353</v>
      </c>
      <c r="BF56" s="15" t="str">
        <f>HYPERLINK("http://dx.doi.org/10.1016/j.fishres.2016.01.005","http://dx.doi.org/10.1016/j.fishres.2016.01.005")</f>
        <v>http://dx.doi.org/10.1016/j.fishres.2016.01.005</v>
      </c>
      <c r="BG56" s="2" t="s">
        <v>12129</v>
      </c>
      <c r="BH56" s="2" t="s">
        <v>12129</v>
      </c>
      <c r="BI56" s="2">
        <v>11.0</v>
      </c>
      <c r="BJ56" s="2" t="s">
        <v>3801</v>
      </c>
      <c r="BK56" s="2" t="s">
        <v>12176</v>
      </c>
      <c r="BL56" s="2" t="s">
        <v>3801</v>
      </c>
      <c r="BM56" s="2" t="s">
        <v>13354</v>
      </c>
      <c r="BN56" s="2" t="s">
        <v>12129</v>
      </c>
      <c r="BO56" s="2" t="s">
        <v>13355</v>
      </c>
      <c r="BP56" s="2" t="s">
        <v>12129</v>
      </c>
      <c r="BQ56" s="2" t="s">
        <v>12129</v>
      </c>
      <c r="BR56" s="2" t="s">
        <v>12152</v>
      </c>
      <c r="BS56" s="2" t="s">
        <v>13356</v>
      </c>
      <c r="BT56" s="2" t="str">
        <f>HYPERLINK("https%3A%2F%2Fwww.webofscience.com%2Fwos%2Fwoscc%2Ffull-record%2FWOS:000372378600009","View Full Record in Web of Science")</f>
        <v>View Full Record in Web of Science</v>
      </c>
    </row>
    <row r="57" ht="12.75" customHeight="1">
      <c r="A57" s="2" t="s">
        <v>23</v>
      </c>
      <c r="B57" s="2" t="s">
        <v>13357</v>
      </c>
      <c r="C57" s="2" t="s">
        <v>12129</v>
      </c>
      <c r="D57" s="2" t="s">
        <v>12129</v>
      </c>
      <c r="E57" s="2" t="s">
        <v>12129</v>
      </c>
      <c r="F57" s="2" t="s">
        <v>13358</v>
      </c>
      <c r="G57" s="2" t="s">
        <v>12129</v>
      </c>
      <c r="H57" s="2" t="s">
        <v>12129</v>
      </c>
      <c r="I57" s="2" t="s">
        <v>13359</v>
      </c>
      <c r="J57" s="2" t="s">
        <v>13360</v>
      </c>
      <c r="K57" s="2" t="s">
        <v>12129</v>
      </c>
      <c r="L57" s="2" t="s">
        <v>12129</v>
      </c>
      <c r="M57" s="2" t="s">
        <v>3263</v>
      </c>
      <c r="N57" s="2" t="s">
        <v>35</v>
      </c>
      <c r="O57" s="2" t="s">
        <v>12129</v>
      </c>
      <c r="P57" s="2" t="s">
        <v>12129</v>
      </c>
      <c r="Q57" s="2" t="s">
        <v>12129</v>
      </c>
      <c r="R57" s="2" t="s">
        <v>12129</v>
      </c>
      <c r="S57" s="2" t="s">
        <v>12129</v>
      </c>
      <c r="T57" s="2" t="s">
        <v>13361</v>
      </c>
      <c r="U57" s="2" t="s">
        <v>13362</v>
      </c>
      <c r="V57" s="2" t="s">
        <v>13363</v>
      </c>
      <c r="W57" s="2" t="s">
        <v>13364</v>
      </c>
      <c r="X57" s="2" t="s">
        <v>13365</v>
      </c>
      <c r="Y57" s="2" t="s">
        <v>13366</v>
      </c>
      <c r="Z57" s="2" t="s">
        <v>13367</v>
      </c>
      <c r="AA57" s="2" t="s">
        <v>13368</v>
      </c>
      <c r="AB57" s="2" t="s">
        <v>13369</v>
      </c>
      <c r="AC57" s="2" t="s">
        <v>13370</v>
      </c>
      <c r="AD57" s="2" t="s">
        <v>13371</v>
      </c>
      <c r="AE57" s="2" t="s">
        <v>13372</v>
      </c>
      <c r="AF57" s="2" t="s">
        <v>12129</v>
      </c>
      <c r="AG57" s="2">
        <v>60.0</v>
      </c>
      <c r="AH57" s="2">
        <v>92.0</v>
      </c>
      <c r="AI57" s="2">
        <v>100.0</v>
      </c>
      <c r="AJ57" s="2">
        <v>1.0</v>
      </c>
      <c r="AK57" s="2">
        <v>63.0</v>
      </c>
      <c r="AL57" s="2" t="s">
        <v>12321</v>
      </c>
      <c r="AM57" s="2" t="s">
        <v>12295</v>
      </c>
      <c r="AN57" s="2" t="s">
        <v>12454</v>
      </c>
      <c r="AO57" s="2" t="s">
        <v>13373</v>
      </c>
      <c r="AP57" s="2" t="s">
        <v>12129</v>
      </c>
      <c r="AQ57" s="2" t="s">
        <v>12129</v>
      </c>
      <c r="AR57" s="2" t="s">
        <v>13374</v>
      </c>
      <c r="AS57" s="2" t="s">
        <v>13375</v>
      </c>
      <c r="AT57" s="2" t="s">
        <v>12660</v>
      </c>
      <c r="AU57" s="2">
        <v>2016.0</v>
      </c>
      <c r="AV57" s="2">
        <v>42.0</v>
      </c>
      <c r="AW57" s="2">
        <v>1.0</v>
      </c>
      <c r="AX57" s="2" t="s">
        <v>12129</v>
      </c>
      <c r="AY57" s="2" t="s">
        <v>12129</v>
      </c>
      <c r="AZ57" s="2" t="s">
        <v>12129</v>
      </c>
      <c r="BA57" s="2" t="s">
        <v>12129</v>
      </c>
      <c r="BB57" s="2">
        <v>6.0</v>
      </c>
      <c r="BC57" s="2">
        <v>17.0</v>
      </c>
      <c r="BD57" s="2" t="s">
        <v>12129</v>
      </c>
      <c r="BE57" s="2" t="s">
        <v>13376</v>
      </c>
      <c r="BF57" s="15" t="str">
        <f>HYPERLINK("http://dx.doi.org/10.1016/j.jglr.2015.11.006","http://dx.doi.org/10.1016/j.jglr.2015.11.006")</f>
        <v>http://dx.doi.org/10.1016/j.jglr.2015.11.006</v>
      </c>
      <c r="BG57" s="2" t="s">
        <v>12129</v>
      </c>
      <c r="BH57" s="2" t="s">
        <v>12129</v>
      </c>
      <c r="BI57" s="2">
        <v>12.0</v>
      </c>
      <c r="BJ57" s="2" t="s">
        <v>13377</v>
      </c>
      <c r="BK57" s="2" t="s">
        <v>12176</v>
      </c>
      <c r="BL57" s="2" t="s">
        <v>12303</v>
      </c>
      <c r="BM57" s="2" t="s">
        <v>13378</v>
      </c>
      <c r="BN57" s="2" t="s">
        <v>12129</v>
      </c>
      <c r="BO57" s="2" t="s">
        <v>12279</v>
      </c>
      <c r="BP57" s="2" t="s">
        <v>12129</v>
      </c>
      <c r="BQ57" s="2" t="s">
        <v>12129</v>
      </c>
      <c r="BR57" s="2" t="s">
        <v>12152</v>
      </c>
      <c r="BS57" s="2" t="s">
        <v>13379</v>
      </c>
      <c r="BT57" s="2" t="str">
        <f>HYPERLINK("https%3A%2F%2Fwww.webofscience.com%2Fwos%2Fwoscc%2Ffull-record%2FWOS:000370115500002","View Full Record in Web of Science")</f>
        <v>View Full Record in Web of Science</v>
      </c>
    </row>
    <row r="58" ht="12.75" customHeight="1">
      <c r="A58" s="2" t="s">
        <v>23</v>
      </c>
      <c r="B58" s="2" t="s">
        <v>13380</v>
      </c>
      <c r="C58" s="2" t="s">
        <v>12129</v>
      </c>
      <c r="D58" s="2" t="s">
        <v>12129</v>
      </c>
      <c r="E58" s="2" t="s">
        <v>12129</v>
      </c>
      <c r="F58" s="2" t="s">
        <v>13381</v>
      </c>
      <c r="G58" s="2" t="s">
        <v>12129</v>
      </c>
      <c r="H58" s="2" t="s">
        <v>12129</v>
      </c>
      <c r="I58" s="2" t="s">
        <v>13382</v>
      </c>
      <c r="J58" s="2" t="s">
        <v>13171</v>
      </c>
      <c r="K58" s="2" t="s">
        <v>12129</v>
      </c>
      <c r="L58" s="2" t="s">
        <v>12129</v>
      </c>
      <c r="M58" s="2" t="s">
        <v>3263</v>
      </c>
      <c r="N58" s="2" t="s">
        <v>35</v>
      </c>
      <c r="O58" s="2" t="s">
        <v>12129</v>
      </c>
      <c r="P58" s="2" t="s">
        <v>12129</v>
      </c>
      <c r="Q58" s="2" t="s">
        <v>12129</v>
      </c>
      <c r="R58" s="2" t="s">
        <v>12129</v>
      </c>
      <c r="S58" s="2" t="s">
        <v>12129</v>
      </c>
      <c r="T58" s="2" t="s">
        <v>13383</v>
      </c>
      <c r="U58" s="2" t="s">
        <v>13384</v>
      </c>
      <c r="V58" s="2" t="s">
        <v>13385</v>
      </c>
      <c r="W58" s="2" t="s">
        <v>13386</v>
      </c>
      <c r="X58" s="2" t="s">
        <v>13387</v>
      </c>
      <c r="Y58" s="2" t="s">
        <v>13388</v>
      </c>
      <c r="Z58" s="2" t="s">
        <v>13389</v>
      </c>
      <c r="AA58" s="2" t="s">
        <v>13390</v>
      </c>
      <c r="AB58" s="2" t="s">
        <v>13391</v>
      </c>
      <c r="AC58" s="2" t="s">
        <v>12129</v>
      </c>
      <c r="AD58" s="2" t="s">
        <v>12129</v>
      </c>
      <c r="AE58" s="2" t="s">
        <v>12129</v>
      </c>
      <c r="AF58" s="2" t="s">
        <v>12129</v>
      </c>
      <c r="AG58" s="2">
        <v>77.0</v>
      </c>
      <c r="AH58" s="2">
        <v>162.0</v>
      </c>
      <c r="AI58" s="2">
        <v>181.0</v>
      </c>
      <c r="AJ58" s="2">
        <v>3.0</v>
      </c>
      <c r="AK58" s="2">
        <v>127.0</v>
      </c>
      <c r="AL58" s="2" t="s">
        <v>13181</v>
      </c>
      <c r="AM58" s="2" t="s">
        <v>13182</v>
      </c>
      <c r="AN58" s="2" t="s">
        <v>13183</v>
      </c>
      <c r="AO58" s="2" t="s">
        <v>13184</v>
      </c>
      <c r="AP58" s="2" t="s">
        <v>13185</v>
      </c>
      <c r="AQ58" s="2" t="s">
        <v>12129</v>
      </c>
      <c r="AR58" s="2" t="s">
        <v>13186</v>
      </c>
      <c r="AS58" s="2" t="s">
        <v>13187</v>
      </c>
      <c r="AT58" s="2" t="s">
        <v>12660</v>
      </c>
      <c r="AU58" s="2">
        <v>2016.0</v>
      </c>
      <c r="AV58" s="2">
        <v>25.0</v>
      </c>
      <c r="AW58" s="2">
        <v>2.0</v>
      </c>
      <c r="AX58" s="2" t="s">
        <v>12129</v>
      </c>
      <c r="AY58" s="2" t="s">
        <v>12129</v>
      </c>
      <c r="AZ58" s="2" t="s">
        <v>12129</v>
      </c>
      <c r="BA58" s="2" t="s">
        <v>12129</v>
      </c>
      <c r="BB58" s="2">
        <v>205.0</v>
      </c>
      <c r="BC58" s="2">
        <v>223.0</v>
      </c>
      <c r="BD58" s="2" t="s">
        <v>12129</v>
      </c>
      <c r="BE58" s="2" t="s">
        <v>13392</v>
      </c>
      <c r="BF58" s="15" t="str">
        <f>HYPERLINK("http://dx.doi.org/10.1007/s10531-015-1036-z","http://dx.doi.org/10.1007/s10531-015-1036-z")</f>
        <v>http://dx.doi.org/10.1007/s10531-015-1036-z</v>
      </c>
      <c r="BG58" s="2" t="s">
        <v>12129</v>
      </c>
      <c r="BH58" s="2" t="s">
        <v>12129</v>
      </c>
      <c r="BI58" s="2">
        <v>19.0</v>
      </c>
      <c r="BJ58" s="2" t="s">
        <v>252</v>
      </c>
      <c r="BK58" s="2" t="s">
        <v>12729</v>
      </c>
      <c r="BL58" s="2" t="s">
        <v>12376</v>
      </c>
      <c r="BM58" s="2" t="s">
        <v>13393</v>
      </c>
      <c r="BN58" s="2" t="s">
        <v>12129</v>
      </c>
      <c r="BO58" s="2" t="s">
        <v>12129</v>
      </c>
      <c r="BP58" s="2" t="s">
        <v>12129</v>
      </c>
      <c r="BQ58" s="2" t="s">
        <v>12129</v>
      </c>
      <c r="BR58" s="2" t="s">
        <v>12152</v>
      </c>
      <c r="BS58" s="2" t="s">
        <v>13394</v>
      </c>
      <c r="BT58" s="2" t="str">
        <f>HYPERLINK("https%3A%2F%2Fwww.webofscience.com%2Fwos%2Fwoscc%2Ffull-record%2FWOS:000370137100001","View Full Record in Web of Science")</f>
        <v>View Full Record in Web of Science</v>
      </c>
    </row>
    <row r="59" ht="12.75" customHeight="1">
      <c r="A59" s="2" t="s">
        <v>23</v>
      </c>
      <c r="B59" s="2" t="s">
        <v>13395</v>
      </c>
      <c r="C59" s="2" t="s">
        <v>12129</v>
      </c>
      <c r="D59" s="2" t="s">
        <v>12129</v>
      </c>
      <c r="E59" s="2" t="s">
        <v>12129</v>
      </c>
      <c r="F59" s="2" t="s">
        <v>13396</v>
      </c>
      <c r="G59" s="2" t="s">
        <v>12129</v>
      </c>
      <c r="H59" s="2" t="s">
        <v>12129</v>
      </c>
      <c r="I59" s="2" t="s">
        <v>13397</v>
      </c>
      <c r="J59" s="2" t="s">
        <v>13398</v>
      </c>
      <c r="K59" s="2" t="s">
        <v>12129</v>
      </c>
      <c r="L59" s="2" t="s">
        <v>12129</v>
      </c>
      <c r="M59" s="2" t="s">
        <v>3263</v>
      </c>
      <c r="N59" s="2" t="s">
        <v>35</v>
      </c>
      <c r="O59" s="2" t="s">
        <v>12129</v>
      </c>
      <c r="P59" s="2" t="s">
        <v>12129</v>
      </c>
      <c r="Q59" s="2" t="s">
        <v>12129</v>
      </c>
      <c r="R59" s="2" t="s">
        <v>12129</v>
      </c>
      <c r="S59" s="2" t="s">
        <v>12129</v>
      </c>
      <c r="T59" s="2" t="s">
        <v>13399</v>
      </c>
      <c r="U59" s="2" t="s">
        <v>13400</v>
      </c>
      <c r="V59" s="2" t="s">
        <v>13401</v>
      </c>
      <c r="W59" s="2" t="s">
        <v>13402</v>
      </c>
      <c r="X59" s="2" t="s">
        <v>13403</v>
      </c>
      <c r="Y59" s="2" t="s">
        <v>13404</v>
      </c>
      <c r="Z59" s="2" t="s">
        <v>13405</v>
      </c>
      <c r="AA59" s="2" t="s">
        <v>13406</v>
      </c>
      <c r="AB59" s="2" t="s">
        <v>13407</v>
      </c>
      <c r="AC59" s="2" t="s">
        <v>13408</v>
      </c>
      <c r="AD59" s="2" t="s">
        <v>13409</v>
      </c>
      <c r="AE59" s="2" t="s">
        <v>13410</v>
      </c>
      <c r="AF59" s="2" t="s">
        <v>12129</v>
      </c>
      <c r="AG59" s="2">
        <v>55.0</v>
      </c>
      <c r="AH59" s="2">
        <v>80.0</v>
      </c>
      <c r="AI59" s="2">
        <v>90.0</v>
      </c>
      <c r="AJ59" s="2">
        <v>0.0</v>
      </c>
      <c r="AK59" s="2">
        <v>112.0</v>
      </c>
      <c r="AL59" s="2" t="s">
        <v>12243</v>
      </c>
      <c r="AM59" s="2" t="s">
        <v>12244</v>
      </c>
      <c r="AN59" s="2" t="s">
        <v>12245</v>
      </c>
      <c r="AO59" s="2" t="s">
        <v>13411</v>
      </c>
      <c r="AP59" s="2" t="s">
        <v>8744</v>
      </c>
      <c r="AQ59" s="2" t="s">
        <v>12129</v>
      </c>
      <c r="AR59" s="2" t="s">
        <v>13412</v>
      </c>
      <c r="AS59" s="2" t="s">
        <v>13413</v>
      </c>
      <c r="AT59" s="2" t="s">
        <v>12660</v>
      </c>
      <c r="AU59" s="2">
        <v>2016.0</v>
      </c>
      <c r="AV59" s="2">
        <v>30.0</v>
      </c>
      <c r="AW59" s="2">
        <v>1.0</v>
      </c>
      <c r="AX59" s="2" t="s">
        <v>12129</v>
      </c>
      <c r="AY59" s="2" t="s">
        <v>12129</v>
      </c>
      <c r="AZ59" s="2" t="s">
        <v>12129</v>
      </c>
      <c r="BA59" s="2" t="s">
        <v>12129</v>
      </c>
      <c r="BB59" s="2">
        <v>142.0</v>
      </c>
      <c r="BC59" s="2">
        <v>153.0</v>
      </c>
      <c r="BD59" s="2" t="s">
        <v>12129</v>
      </c>
      <c r="BE59" s="2" t="s">
        <v>13414</v>
      </c>
      <c r="BF59" s="15" t="str">
        <f>HYPERLINK("http://dx.doi.org/10.1111/cobi.12576","http://dx.doi.org/10.1111/cobi.12576")</f>
        <v>http://dx.doi.org/10.1111/cobi.12576</v>
      </c>
      <c r="BG59" s="2" t="s">
        <v>12129</v>
      </c>
      <c r="BH59" s="2" t="s">
        <v>12129</v>
      </c>
      <c r="BI59" s="2">
        <v>12.0</v>
      </c>
      <c r="BJ59" s="2" t="s">
        <v>252</v>
      </c>
      <c r="BK59" s="2" t="s">
        <v>12176</v>
      </c>
      <c r="BL59" s="2" t="s">
        <v>12376</v>
      </c>
      <c r="BM59" s="2" t="s">
        <v>13415</v>
      </c>
      <c r="BN59" s="2">
        <v>2.613281E7</v>
      </c>
      <c r="BO59" s="2" t="s">
        <v>12538</v>
      </c>
      <c r="BP59" s="2" t="s">
        <v>12129</v>
      </c>
      <c r="BQ59" s="2" t="s">
        <v>12129</v>
      </c>
      <c r="BR59" s="2" t="s">
        <v>12152</v>
      </c>
      <c r="BS59" s="2" t="s">
        <v>13416</v>
      </c>
      <c r="BT59" s="2" t="str">
        <f>HYPERLINK("https%3A%2F%2Fwww.webofscience.com%2Fwos%2Fwoscc%2Ffull-record%2FWOS:000368938000016","View Full Record in Web of Science")</f>
        <v>View Full Record in Web of Science</v>
      </c>
    </row>
    <row r="60" ht="12.75" customHeight="1">
      <c r="A60" s="2" t="s">
        <v>23</v>
      </c>
      <c r="B60" s="2" t="s">
        <v>13417</v>
      </c>
      <c r="C60" s="2" t="s">
        <v>12129</v>
      </c>
      <c r="D60" s="2" t="s">
        <v>12129</v>
      </c>
      <c r="E60" s="2" t="s">
        <v>12129</v>
      </c>
      <c r="F60" s="2" t="s">
        <v>13418</v>
      </c>
      <c r="G60" s="2" t="s">
        <v>12129</v>
      </c>
      <c r="H60" s="2" t="s">
        <v>12129</v>
      </c>
      <c r="I60" s="2" t="s">
        <v>13419</v>
      </c>
      <c r="J60" s="2" t="s">
        <v>13195</v>
      </c>
      <c r="K60" s="2" t="s">
        <v>12129</v>
      </c>
      <c r="L60" s="2" t="s">
        <v>12129</v>
      </c>
      <c r="M60" s="2" t="s">
        <v>3263</v>
      </c>
      <c r="N60" s="2" t="s">
        <v>35</v>
      </c>
      <c r="O60" s="2" t="s">
        <v>12129</v>
      </c>
      <c r="P60" s="2" t="s">
        <v>12129</v>
      </c>
      <c r="Q60" s="2" t="s">
        <v>12129</v>
      </c>
      <c r="R60" s="2" t="s">
        <v>12129</v>
      </c>
      <c r="S60" s="2" t="s">
        <v>12129</v>
      </c>
      <c r="T60" s="2" t="s">
        <v>13420</v>
      </c>
      <c r="U60" s="2" t="s">
        <v>13421</v>
      </c>
      <c r="V60" s="2" t="s">
        <v>13422</v>
      </c>
      <c r="W60" s="2" t="s">
        <v>13423</v>
      </c>
      <c r="X60" s="2" t="s">
        <v>13424</v>
      </c>
      <c r="Y60" s="2" t="s">
        <v>13425</v>
      </c>
      <c r="Z60" s="2" t="s">
        <v>13426</v>
      </c>
      <c r="AA60" s="2" t="s">
        <v>13427</v>
      </c>
      <c r="AB60" s="2" t="s">
        <v>13428</v>
      </c>
      <c r="AC60" s="2" t="s">
        <v>13429</v>
      </c>
      <c r="AD60" s="2" t="s">
        <v>13430</v>
      </c>
      <c r="AE60" s="2" t="s">
        <v>13431</v>
      </c>
      <c r="AF60" s="2" t="s">
        <v>12129</v>
      </c>
      <c r="AG60" s="2">
        <v>86.0</v>
      </c>
      <c r="AH60" s="2">
        <v>49.0</v>
      </c>
      <c r="AI60" s="2">
        <v>53.0</v>
      </c>
      <c r="AJ60" s="2">
        <v>1.0</v>
      </c>
      <c r="AK60" s="2">
        <v>21.0</v>
      </c>
      <c r="AL60" s="2" t="s">
        <v>12269</v>
      </c>
      <c r="AM60" s="2" t="s">
        <v>12270</v>
      </c>
      <c r="AN60" s="2" t="s">
        <v>12271</v>
      </c>
      <c r="AO60" s="2" t="s">
        <v>13208</v>
      </c>
      <c r="AP60" s="2" t="s">
        <v>12129</v>
      </c>
      <c r="AQ60" s="2" t="s">
        <v>12129</v>
      </c>
      <c r="AR60" s="2" t="s">
        <v>13209</v>
      </c>
      <c r="AS60" s="2" t="s">
        <v>13210</v>
      </c>
      <c r="AT60" s="2" t="s">
        <v>13127</v>
      </c>
      <c r="AU60" s="2">
        <v>2016.0</v>
      </c>
      <c r="AV60" s="2">
        <v>3.0</v>
      </c>
      <c r="AW60" s="2" t="s">
        <v>12129</v>
      </c>
      <c r="AX60" s="2" t="s">
        <v>12129</v>
      </c>
      <c r="AY60" s="2" t="s">
        <v>12129</v>
      </c>
      <c r="AZ60" s="2" t="s">
        <v>12129</v>
      </c>
      <c r="BA60" s="2" t="s">
        <v>12129</v>
      </c>
      <c r="BB60" s="2">
        <v>107.0</v>
      </c>
      <c r="BC60" s="2">
        <v>118.0</v>
      </c>
      <c r="BD60" s="2" t="s">
        <v>12129</v>
      </c>
      <c r="BE60" s="2" t="s">
        <v>13432</v>
      </c>
      <c r="BF60" s="15" t="str">
        <f>HYPERLINK("http://dx.doi.org/10.1016/j.rsma.2015.06.001","http://dx.doi.org/10.1016/j.rsma.2015.06.001")</f>
        <v>http://dx.doi.org/10.1016/j.rsma.2015.06.001</v>
      </c>
      <c r="BG60" s="2" t="s">
        <v>12129</v>
      </c>
      <c r="BH60" s="2" t="s">
        <v>12129</v>
      </c>
      <c r="BI60" s="2">
        <v>12.0</v>
      </c>
      <c r="BJ60" s="2" t="s">
        <v>127</v>
      </c>
      <c r="BK60" s="2" t="s">
        <v>12176</v>
      </c>
      <c r="BL60" s="2" t="s">
        <v>12303</v>
      </c>
      <c r="BM60" s="2" t="s">
        <v>13433</v>
      </c>
      <c r="BN60" s="2" t="s">
        <v>12129</v>
      </c>
      <c r="BO60" s="2" t="s">
        <v>12129</v>
      </c>
      <c r="BP60" s="2" t="s">
        <v>12129</v>
      </c>
      <c r="BQ60" s="2" t="s">
        <v>12129</v>
      </c>
      <c r="BR60" s="2" t="s">
        <v>12152</v>
      </c>
      <c r="BS60" s="2" t="s">
        <v>13434</v>
      </c>
      <c r="BT60" s="2" t="str">
        <f>HYPERLINK("https%3A%2F%2Fwww.webofscience.com%2Fwos%2Fwoscc%2Ffull-record%2FWOS:000414755500014","View Full Record in Web of Science")</f>
        <v>View Full Record in Web of Science</v>
      </c>
    </row>
    <row r="61" ht="12.75" customHeight="1">
      <c r="A61" s="2" t="s">
        <v>12205</v>
      </c>
      <c r="B61" s="2" t="s">
        <v>13435</v>
      </c>
      <c r="C61" s="2" t="s">
        <v>12129</v>
      </c>
      <c r="D61" s="2" t="s">
        <v>13436</v>
      </c>
      <c r="E61" s="2" t="s">
        <v>12129</v>
      </c>
      <c r="F61" s="2" t="s">
        <v>13437</v>
      </c>
      <c r="G61" s="2" t="s">
        <v>12129</v>
      </c>
      <c r="H61" s="2" t="s">
        <v>12129</v>
      </c>
      <c r="I61" s="2" t="s">
        <v>13438</v>
      </c>
      <c r="J61" s="2" t="s">
        <v>13439</v>
      </c>
      <c r="K61" s="2" t="s">
        <v>12129</v>
      </c>
      <c r="L61" s="2" t="s">
        <v>12129</v>
      </c>
      <c r="M61" s="2" t="s">
        <v>3263</v>
      </c>
      <c r="N61" s="2" t="s">
        <v>12212</v>
      </c>
      <c r="O61" s="2" t="s">
        <v>12129</v>
      </c>
      <c r="P61" s="2" t="s">
        <v>12129</v>
      </c>
      <c r="Q61" s="2" t="s">
        <v>12129</v>
      </c>
      <c r="R61" s="2" t="s">
        <v>12129</v>
      </c>
      <c r="S61" s="2" t="s">
        <v>12129</v>
      </c>
      <c r="T61" s="2" t="s">
        <v>12129</v>
      </c>
      <c r="U61" s="2" t="s">
        <v>13440</v>
      </c>
      <c r="V61" s="2" t="s">
        <v>12129</v>
      </c>
      <c r="W61" s="2" t="s">
        <v>13441</v>
      </c>
      <c r="X61" s="2" t="s">
        <v>13442</v>
      </c>
      <c r="Y61" s="2" t="s">
        <v>13443</v>
      </c>
      <c r="Z61" s="2" t="s">
        <v>13444</v>
      </c>
      <c r="AA61" s="2" t="s">
        <v>13445</v>
      </c>
      <c r="AB61" s="2" t="s">
        <v>12129</v>
      </c>
      <c r="AC61" s="2" t="s">
        <v>12129</v>
      </c>
      <c r="AD61" s="2" t="s">
        <v>12129</v>
      </c>
      <c r="AE61" s="2" t="s">
        <v>12129</v>
      </c>
      <c r="AF61" s="2" t="s">
        <v>12129</v>
      </c>
      <c r="AG61" s="2">
        <v>157.0</v>
      </c>
      <c r="AH61" s="2">
        <v>1.0</v>
      </c>
      <c r="AI61" s="2">
        <v>1.0</v>
      </c>
      <c r="AJ61" s="2">
        <v>0.0</v>
      </c>
      <c r="AK61" s="2">
        <v>11.0</v>
      </c>
      <c r="AL61" s="2" t="s">
        <v>13446</v>
      </c>
      <c r="AM61" s="2" t="s">
        <v>13447</v>
      </c>
      <c r="AN61" s="2" t="s">
        <v>13448</v>
      </c>
      <c r="AO61" s="2" t="s">
        <v>12129</v>
      </c>
      <c r="AP61" s="2" t="s">
        <v>12129</v>
      </c>
      <c r="AQ61" s="2" t="s">
        <v>13449</v>
      </c>
      <c r="AR61" s="2" t="s">
        <v>12129</v>
      </c>
      <c r="AS61" s="2" t="s">
        <v>12129</v>
      </c>
      <c r="AT61" s="2" t="s">
        <v>12129</v>
      </c>
      <c r="AU61" s="2">
        <v>2016.0</v>
      </c>
      <c r="AV61" s="2" t="s">
        <v>12129</v>
      </c>
      <c r="AW61" s="2" t="s">
        <v>12129</v>
      </c>
      <c r="AX61" s="2" t="s">
        <v>12129</v>
      </c>
      <c r="AY61" s="2" t="s">
        <v>12129</v>
      </c>
      <c r="AZ61" s="2" t="s">
        <v>12129</v>
      </c>
      <c r="BA61" s="2" t="s">
        <v>12129</v>
      </c>
      <c r="BB61" s="2">
        <v>251.0</v>
      </c>
      <c r="BC61" s="2">
        <v>271.0</v>
      </c>
      <c r="BD61" s="2" t="s">
        <v>12129</v>
      </c>
      <c r="BE61" s="2" t="s">
        <v>13450</v>
      </c>
      <c r="BF61" s="15" t="str">
        <f>HYPERLINK("http://dx.doi.org/10.1002/wene.41","http://dx.doi.org/10.1002/wene.41")</f>
        <v>http://dx.doi.org/10.1002/wene.41</v>
      </c>
      <c r="BG61" s="2" t="s">
        <v>13451</v>
      </c>
      <c r="BH61" s="2" t="s">
        <v>12129</v>
      </c>
      <c r="BI61" s="2">
        <v>21.0</v>
      </c>
      <c r="BJ61" s="2" t="s">
        <v>13452</v>
      </c>
      <c r="BK61" s="2" t="s">
        <v>12223</v>
      </c>
      <c r="BL61" s="2" t="s">
        <v>13453</v>
      </c>
      <c r="BM61" s="2" t="s">
        <v>13454</v>
      </c>
      <c r="BN61" s="2" t="s">
        <v>12129</v>
      </c>
      <c r="BO61" s="2" t="s">
        <v>12129</v>
      </c>
      <c r="BP61" s="2" t="s">
        <v>12129</v>
      </c>
      <c r="BQ61" s="2" t="s">
        <v>12129</v>
      </c>
      <c r="BR61" s="2" t="s">
        <v>12152</v>
      </c>
      <c r="BS61" s="2" t="s">
        <v>13455</v>
      </c>
      <c r="BT61" s="2" t="str">
        <f>HYPERLINK("https%3A%2F%2Fwww.webofscience.com%2Fwos%2Fwoscc%2Ffull-record%2FWOS:000385226400017","View Full Record in Web of Science")</f>
        <v>View Full Record in Web of Science</v>
      </c>
    </row>
    <row r="62" ht="12.75" customHeight="1">
      <c r="A62" s="2" t="s">
        <v>23</v>
      </c>
      <c r="B62" s="2" t="s">
        <v>13456</v>
      </c>
      <c r="C62" s="2" t="s">
        <v>12129</v>
      </c>
      <c r="D62" s="2" t="s">
        <v>12129</v>
      </c>
      <c r="E62" s="2" t="s">
        <v>12129</v>
      </c>
      <c r="F62" s="2" t="s">
        <v>13457</v>
      </c>
      <c r="G62" s="2" t="s">
        <v>12129</v>
      </c>
      <c r="H62" s="2" t="s">
        <v>12129</v>
      </c>
      <c r="I62" s="2" t="s">
        <v>13458</v>
      </c>
      <c r="J62" s="2" t="s">
        <v>13459</v>
      </c>
      <c r="K62" s="2" t="s">
        <v>12129</v>
      </c>
      <c r="L62" s="2" t="s">
        <v>12129</v>
      </c>
      <c r="M62" s="2" t="s">
        <v>3263</v>
      </c>
      <c r="N62" s="2" t="s">
        <v>35</v>
      </c>
      <c r="O62" s="2" t="s">
        <v>12129</v>
      </c>
      <c r="P62" s="2" t="s">
        <v>12129</v>
      </c>
      <c r="Q62" s="2" t="s">
        <v>12129</v>
      </c>
      <c r="R62" s="2" t="s">
        <v>12129</v>
      </c>
      <c r="S62" s="2" t="s">
        <v>12129</v>
      </c>
      <c r="T62" s="2" t="s">
        <v>13460</v>
      </c>
      <c r="U62" s="2" t="s">
        <v>13461</v>
      </c>
      <c r="V62" s="2" t="s">
        <v>13462</v>
      </c>
      <c r="W62" s="2" t="s">
        <v>13463</v>
      </c>
      <c r="X62" s="2" t="s">
        <v>13464</v>
      </c>
      <c r="Y62" s="2" t="s">
        <v>13465</v>
      </c>
      <c r="Z62" s="2" t="s">
        <v>13466</v>
      </c>
      <c r="AA62" s="2" t="s">
        <v>13467</v>
      </c>
      <c r="AB62" s="2" t="s">
        <v>13468</v>
      </c>
      <c r="AC62" s="2" t="s">
        <v>13469</v>
      </c>
      <c r="AD62" s="2" t="s">
        <v>13470</v>
      </c>
      <c r="AE62" s="2" t="s">
        <v>13471</v>
      </c>
      <c r="AF62" s="2" t="s">
        <v>12129</v>
      </c>
      <c r="AG62" s="2">
        <v>48.0</v>
      </c>
      <c r="AH62" s="2">
        <v>12.0</v>
      </c>
      <c r="AI62" s="2">
        <v>16.0</v>
      </c>
      <c r="AJ62" s="2">
        <v>3.0</v>
      </c>
      <c r="AK62" s="2">
        <v>79.0</v>
      </c>
      <c r="AL62" s="2" t="s">
        <v>13472</v>
      </c>
      <c r="AM62" s="2" t="s">
        <v>13473</v>
      </c>
      <c r="AN62" s="2" t="s">
        <v>13474</v>
      </c>
      <c r="AO62" s="2" t="s">
        <v>13475</v>
      </c>
      <c r="AP62" s="2" t="s">
        <v>13476</v>
      </c>
      <c r="AQ62" s="2" t="s">
        <v>12129</v>
      </c>
      <c r="AR62" s="2" t="s">
        <v>13477</v>
      </c>
      <c r="AS62" s="2" t="s">
        <v>13478</v>
      </c>
      <c r="AT62" s="2" t="s">
        <v>13127</v>
      </c>
      <c r="AU62" s="2">
        <v>2016.0</v>
      </c>
      <c r="AV62" s="2">
        <v>144.0</v>
      </c>
      <c r="AW62" s="2" t="s">
        <v>12129</v>
      </c>
      <c r="AX62" s="2" t="s">
        <v>12205</v>
      </c>
      <c r="AY62" s="2" t="s">
        <v>12129</v>
      </c>
      <c r="AZ62" s="2" t="s">
        <v>13188</v>
      </c>
      <c r="BA62" s="2" t="s">
        <v>12129</v>
      </c>
      <c r="BB62" s="2">
        <v>64.0</v>
      </c>
      <c r="BC62" s="2">
        <v>71.0</v>
      </c>
      <c r="BD62" s="2" t="s">
        <v>12129</v>
      </c>
      <c r="BE62" s="2" t="s">
        <v>13479</v>
      </c>
      <c r="BF62" s="15" t="str">
        <f>HYPERLINK("http://dx.doi.org/10.1016/j.envres.2015.09.002","http://dx.doi.org/10.1016/j.envres.2015.09.002")</f>
        <v>http://dx.doi.org/10.1016/j.envres.2015.09.002</v>
      </c>
      <c r="BG62" s="2" t="s">
        <v>12129</v>
      </c>
      <c r="BH62" s="2" t="s">
        <v>12129</v>
      </c>
      <c r="BI62" s="2">
        <v>8.0</v>
      </c>
      <c r="BJ62" s="2" t="s">
        <v>13480</v>
      </c>
      <c r="BK62" s="2" t="s">
        <v>12176</v>
      </c>
      <c r="BL62" s="2" t="s">
        <v>13481</v>
      </c>
      <c r="BM62" s="2" t="s">
        <v>13482</v>
      </c>
      <c r="BN62" s="2">
        <v>2.6386629E7</v>
      </c>
      <c r="BO62" s="2" t="s">
        <v>12129</v>
      </c>
      <c r="BP62" s="2" t="s">
        <v>12129</v>
      </c>
      <c r="BQ62" s="2" t="s">
        <v>12129</v>
      </c>
      <c r="BR62" s="2" t="s">
        <v>12152</v>
      </c>
      <c r="BS62" s="2" t="s">
        <v>13483</v>
      </c>
      <c r="BT62" s="2" t="str">
        <f>HYPERLINK("https%3A%2F%2Fwww.webofscience.com%2Fwos%2Fwoscc%2Ffull-record%2FWOS:000366443200007","View Full Record in Web of Science")</f>
        <v>View Full Record in Web of Science</v>
      </c>
    </row>
    <row r="63" ht="12.75" customHeight="1">
      <c r="A63" s="2" t="s">
        <v>23</v>
      </c>
      <c r="B63" s="2" t="s">
        <v>13484</v>
      </c>
      <c r="C63" s="2" t="s">
        <v>12129</v>
      </c>
      <c r="D63" s="2" t="s">
        <v>12129</v>
      </c>
      <c r="E63" s="2" t="s">
        <v>12129</v>
      </c>
      <c r="F63" s="2" t="s">
        <v>13485</v>
      </c>
      <c r="G63" s="2" t="s">
        <v>12129</v>
      </c>
      <c r="H63" s="2" t="s">
        <v>12129</v>
      </c>
      <c r="I63" s="2" t="s">
        <v>13486</v>
      </c>
      <c r="J63" s="2" t="s">
        <v>771</v>
      </c>
      <c r="K63" s="2" t="s">
        <v>12129</v>
      </c>
      <c r="L63" s="2" t="s">
        <v>12129</v>
      </c>
      <c r="M63" s="2" t="s">
        <v>3263</v>
      </c>
      <c r="N63" s="2" t="s">
        <v>35</v>
      </c>
      <c r="O63" s="2" t="s">
        <v>12129</v>
      </c>
      <c r="P63" s="2" t="s">
        <v>12129</v>
      </c>
      <c r="Q63" s="2" t="s">
        <v>12129</v>
      </c>
      <c r="R63" s="2" t="s">
        <v>12129</v>
      </c>
      <c r="S63" s="2" t="s">
        <v>12129</v>
      </c>
      <c r="T63" s="2" t="s">
        <v>13487</v>
      </c>
      <c r="U63" s="2" t="s">
        <v>13488</v>
      </c>
      <c r="V63" s="2" t="s">
        <v>13489</v>
      </c>
      <c r="W63" s="2" t="s">
        <v>13490</v>
      </c>
      <c r="X63" s="2" t="s">
        <v>13491</v>
      </c>
      <c r="Y63" s="2" t="s">
        <v>13492</v>
      </c>
      <c r="Z63" s="2" t="s">
        <v>13493</v>
      </c>
      <c r="AA63" s="2" t="s">
        <v>13494</v>
      </c>
      <c r="AB63" s="2" t="s">
        <v>13495</v>
      </c>
      <c r="AC63" s="2" t="s">
        <v>12129</v>
      </c>
      <c r="AD63" s="2" t="s">
        <v>12129</v>
      </c>
      <c r="AE63" s="2" t="s">
        <v>12129</v>
      </c>
      <c r="AF63" s="2" t="s">
        <v>12129</v>
      </c>
      <c r="AG63" s="2">
        <v>57.0</v>
      </c>
      <c r="AH63" s="2">
        <v>157.0</v>
      </c>
      <c r="AI63" s="2">
        <v>171.0</v>
      </c>
      <c r="AJ63" s="2">
        <v>2.0</v>
      </c>
      <c r="AK63" s="2">
        <v>225.0</v>
      </c>
      <c r="AL63" s="2" t="s">
        <v>12243</v>
      </c>
      <c r="AM63" s="2" t="s">
        <v>12244</v>
      </c>
      <c r="AN63" s="2" t="s">
        <v>12245</v>
      </c>
      <c r="AO63" s="2" t="s">
        <v>12783</v>
      </c>
      <c r="AP63" s="2" t="s">
        <v>12784</v>
      </c>
      <c r="AQ63" s="2" t="s">
        <v>12129</v>
      </c>
      <c r="AR63" s="2" t="s">
        <v>12785</v>
      </c>
      <c r="AS63" s="2" t="s">
        <v>12786</v>
      </c>
      <c r="AT63" s="2" t="s">
        <v>13127</v>
      </c>
      <c r="AU63" s="2">
        <v>2016.0</v>
      </c>
      <c r="AV63" s="2">
        <v>22.0</v>
      </c>
      <c r="AW63" s="2">
        <v>1.0</v>
      </c>
      <c r="AX63" s="2" t="s">
        <v>12129</v>
      </c>
      <c r="AY63" s="2" t="s">
        <v>12129</v>
      </c>
      <c r="AZ63" s="2" t="s">
        <v>12129</v>
      </c>
      <c r="BA63" s="2" t="s">
        <v>12129</v>
      </c>
      <c r="BB63" s="2">
        <v>228.0</v>
      </c>
      <c r="BC63" s="2">
        <v>236.0</v>
      </c>
      <c r="BD63" s="2" t="s">
        <v>12129</v>
      </c>
      <c r="BE63" s="2" t="s">
        <v>13496</v>
      </c>
      <c r="BF63" s="15" t="str">
        <f>HYPERLINK("http://dx.doi.org/10.1111/gcb.13091","http://dx.doi.org/10.1111/gcb.13091")</f>
        <v>http://dx.doi.org/10.1111/gcb.13091</v>
      </c>
      <c r="BG63" s="2" t="s">
        <v>12129</v>
      </c>
      <c r="BH63" s="2" t="s">
        <v>12129</v>
      </c>
      <c r="BI63" s="2">
        <v>9.0</v>
      </c>
      <c r="BJ63" s="2" t="s">
        <v>252</v>
      </c>
      <c r="BK63" s="2" t="s">
        <v>12176</v>
      </c>
      <c r="BL63" s="2" t="s">
        <v>12376</v>
      </c>
      <c r="BM63" s="2" t="s">
        <v>13497</v>
      </c>
      <c r="BN63" s="2">
        <v>2.6367396E7</v>
      </c>
      <c r="BO63" s="2" t="s">
        <v>12129</v>
      </c>
      <c r="BP63" s="2" t="s">
        <v>12129</v>
      </c>
      <c r="BQ63" s="2" t="s">
        <v>12129</v>
      </c>
      <c r="BR63" s="2" t="s">
        <v>12152</v>
      </c>
      <c r="BS63" s="2" t="s">
        <v>13498</v>
      </c>
      <c r="BT63" s="2" t="str">
        <f>HYPERLINK("https%3A%2F%2Fwww.webofscience.com%2Fwos%2Fwoscc%2Ffull-record%2FWOS:000367982900018","View Full Record in Web of Science")</f>
        <v>View Full Record in Web of Science</v>
      </c>
    </row>
    <row r="64" ht="12.75" customHeight="1">
      <c r="A64" s="2" t="s">
        <v>23</v>
      </c>
      <c r="B64" s="2" t="s">
        <v>13499</v>
      </c>
      <c r="C64" s="2" t="s">
        <v>12129</v>
      </c>
      <c r="D64" s="2" t="s">
        <v>12129</v>
      </c>
      <c r="E64" s="2" t="s">
        <v>12129</v>
      </c>
      <c r="F64" s="2" t="s">
        <v>13500</v>
      </c>
      <c r="G64" s="2" t="s">
        <v>12129</v>
      </c>
      <c r="H64" s="2" t="s">
        <v>12129</v>
      </c>
      <c r="I64" s="2" t="s">
        <v>13501</v>
      </c>
      <c r="J64" s="2" t="s">
        <v>13502</v>
      </c>
      <c r="K64" s="2" t="s">
        <v>12129</v>
      </c>
      <c r="L64" s="2" t="s">
        <v>12129</v>
      </c>
      <c r="M64" s="2" t="s">
        <v>3263</v>
      </c>
      <c r="N64" s="2" t="s">
        <v>35</v>
      </c>
      <c r="O64" s="2" t="s">
        <v>12129</v>
      </c>
      <c r="P64" s="2" t="s">
        <v>12129</v>
      </c>
      <c r="Q64" s="2" t="s">
        <v>12129</v>
      </c>
      <c r="R64" s="2" t="s">
        <v>12129</v>
      </c>
      <c r="S64" s="2" t="s">
        <v>12129</v>
      </c>
      <c r="T64" s="2" t="s">
        <v>12129</v>
      </c>
      <c r="U64" s="2" t="s">
        <v>13503</v>
      </c>
      <c r="V64" s="2" t="s">
        <v>13504</v>
      </c>
      <c r="W64" s="2" t="s">
        <v>13505</v>
      </c>
      <c r="X64" s="2" t="s">
        <v>13506</v>
      </c>
      <c r="Y64" s="2" t="s">
        <v>13507</v>
      </c>
      <c r="Z64" s="2" t="s">
        <v>13508</v>
      </c>
      <c r="AA64" s="2" t="s">
        <v>13509</v>
      </c>
      <c r="AB64" s="2" t="s">
        <v>13510</v>
      </c>
      <c r="AC64" s="2" t="s">
        <v>13511</v>
      </c>
      <c r="AD64" s="2" t="s">
        <v>13512</v>
      </c>
      <c r="AE64" s="2" t="s">
        <v>13513</v>
      </c>
      <c r="AF64" s="2" t="s">
        <v>12129</v>
      </c>
      <c r="AG64" s="2">
        <v>58.0</v>
      </c>
      <c r="AH64" s="2">
        <v>22.0</v>
      </c>
      <c r="AI64" s="2">
        <v>26.0</v>
      </c>
      <c r="AJ64" s="2">
        <v>0.0</v>
      </c>
      <c r="AK64" s="2">
        <v>64.0</v>
      </c>
      <c r="AL64" s="2" t="s">
        <v>13181</v>
      </c>
      <c r="AM64" s="2" t="s">
        <v>13182</v>
      </c>
      <c r="AN64" s="2" t="s">
        <v>13183</v>
      </c>
      <c r="AO64" s="2" t="s">
        <v>13514</v>
      </c>
      <c r="AP64" s="2" t="s">
        <v>13515</v>
      </c>
      <c r="AQ64" s="2" t="s">
        <v>12129</v>
      </c>
      <c r="AR64" s="2" t="s">
        <v>13502</v>
      </c>
      <c r="AS64" s="2" t="s">
        <v>13516</v>
      </c>
      <c r="AT64" s="2" t="s">
        <v>13517</v>
      </c>
      <c r="AU64" s="2">
        <v>2015.0</v>
      </c>
      <c r="AV64" s="2">
        <v>132.0</v>
      </c>
      <c r="AW64" s="2">
        <v>4.0</v>
      </c>
      <c r="AX64" s="2" t="s">
        <v>12129</v>
      </c>
      <c r="AY64" s="2" t="s">
        <v>12129</v>
      </c>
      <c r="AZ64" s="2" t="s">
        <v>12129</v>
      </c>
      <c r="BA64" s="2" t="s">
        <v>12129</v>
      </c>
      <c r="BB64" s="2">
        <v>575.0</v>
      </c>
      <c r="BC64" s="2">
        <v>588.0</v>
      </c>
      <c r="BD64" s="2" t="s">
        <v>12129</v>
      </c>
      <c r="BE64" s="2" t="s">
        <v>13518</v>
      </c>
      <c r="BF64" s="15" t="str">
        <f>HYPERLINK("http://dx.doi.org/10.1007/s10584-015-1448-5","http://dx.doi.org/10.1007/s10584-015-1448-5")</f>
        <v>http://dx.doi.org/10.1007/s10584-015-1448-5</v>
      </c>
      <c r="BG64" s="2" t="s">
        <v>12129</v>
      </c>
      <c r="BH64" s="2" t="s">
        <v>12129</v>
      </c>
      <c r="BI64" s="2">
        <v>14.0</v>
      </c>
      <c r="BJ64" s="2" t="s">
        <v>319</v>
      </c>
      <c r="BK64" s="2" t="s">
        <v>12176</v>
      </c>
      <c r="BL64" s="2" t="s">
        <v>12397</v>
      </c>
      <c r="BM64" s="2" t="s">
        <v>13519</v>
      </c>
      <c r="BN64" s="2" t="s">
        <v>12129</v>
      </c>
      <c r="BO64" s="2" t="s">
        <v>12129</v>
      </c>
      <c r="BP64" s="2" t="s">
        <v>12129</v>
      </c>
      <c r="BQ64" s="2" t="s">
        <v>12129</v>
      </c>
      <c r="BR64" s="2" t="s">
        <v>12152</v>
      </c>
      <c r="BS64" s="2" t="s">
        <v>13520</v>
      </c>
      <c r="BT64" s="2" t="str">
        <f>HYPERLINK("https%3A%2F%2Fwww.webofscience.com%2Fwos%2Fwoscc%2Ffull-record%2FWOS:000361799100009","View Full Record in Web of Science")</f>
        <v>View Full Record in Web of Science</v>
      </c>
    </row>
    <row r="65" ht="12.75" customHeight="1">
      <c r="A65" s="2" t="s">
        <v>23</v>
      </c>
      <c r="B65" s="2" t="s">
        <v>13521</v>
      </c>
      <c r="C65" s="2" t="s">
        <v>12129</v>
      </c>
      <c r="D65" s="2" t="s">
        <v>12129</v>
      </c>
      <c r="E65" s="2" t="s">
        <v>12129</v>
      </c>
      <c r="F65" s="2" t="s">
        <v>13522</v>
      </c>
      <c r="G65" s="2" t="s">
        <v>12129</v>
      </c>
      <c r="H65" s="2" t="s">
        <v>12129</v>
      </c>
      <c r="I65" s="2" t="s">
        <v>13523</v>
      </c>
      <c r="J65" s="2" t="s">
        <v>771</v>
      </c>
      <c r="K65" s="2" t="s">
        <v>12129</v>
      </c>
      <c r="L65" s="2" t="s">
        <v>12129</v>
      </c>
      <c r="M65" s="2" t="s">
        <v>3263</v>
      </c>
      <c r="N65" s="2" t="s">
        <v>35</v>
      </c>
      <c r="O65" s="2" t="s">
        <v>12129</v>
      </c>
      <c r="P65" s="2" t="s">
        <v>12129</v>
      </c>
      <c r="Q65" s="2" t="s">
        <v>12129</v>
      </c>
      <c r="R65" s="2" t="s">
        <v>12129</v>
      </c>
      <c r="S65" s="2" t="s">
        <v>12129</v>
      </c>
      <c r="T65" s="2" t="s">
        <v>13524</v>
      </c>
      <c r="U65" s="2" t="s">
        <v>13525</v>
      </c>
      <c r="V65" s="2" t="s">
        <v>13526</v>
      </c>
      <c r="W65" s="2" t="s">
        <v>13527</v>
      </c>
      <c r="X65" s="2" t="s">
        <v>13528</v>
      </c>
      <c r="Y65" s="2" t="s">
        <v>13529</v>
      </c>
      <c r="Z65" s="2" t="s">
        <v>13530</v>
      </c>
      <c r="AA65" s="2" t="s">
        <v>13531</v>
      </c>
      <c r="AB65" s="2" t="s">
        <v>13532</v>
      </c>
      <c r="AC65" s="2" t="s">
        <v>13533</v>
      </c>
      <c r="AD65" s="2" t="s">
        <v>13534</v>
      </c>
      <c r="AE65" s="2" t="s">
        <v>13535</v>
      </c>
      <c r="AF65" s="2" t="s">
        <v>12129</v>
      </c>
      <c r="AG65" s="2">
        <v>50.0</v>
      </c>
      <c r="AH65" s="2">
        <v>138.0</v>
      </c>
      <c r="AI65" s="2">
        <v>142.0</v>
      </c>
      <c r="AJ65" s="2">
        <v>3.0</v>
      </c>
      <c r="AK65" s="2">
        <v>221.0</v>
      </c>
      <c r="AL65" s="2" t="s">
        <v>12243</v>
      </c>
      <c r="AM65" s="2" t="s">
        <v>12244</v>
      </c>
      <c r="AN65" s="2" t="s">
        <v>12245</v>
      </c>
      <c r="AO65" s="2" t="s">
        <v>12783</v>
      </c>
      <c r="AP65" s="2" t="s">
        <v>12784</v>
      </c>
      <c r="AQ65" s="2" t="s">
        <v>12129</v>
      </c>
      <c r="AR65" s="2" t="s">
        <v>12785</v>
      </c>
      <c r="AS65" s="2" t="s">
        <v>12786</v>
      </c>
      <c r="AT65" s="2" t="s">
        <v>13517</v>
      </c>
      <c r="AU65" s="2">
        <v>2015.0</v>
      </c>
      <c r="AV65" s="2">
        <v>21.0</v>
      </c>
      <c r="AW65" s="2">
        <v>10.0</v>
      </c>
      <c r="AX65" s="2" t="s">
        <v>12129</v>
      </c>
      <c r="AY65" s="2" t="s">
        <v>12129</v>
      </c>
      <c r="AZ65" s="2" t="s">
        <v>12129</v>
      </c>
      <c r="BA65" s="2" t="s">
        <v>12129</v>
      </c>
      <c r="BB65" s="2">
        <v>3726.0</v>
      </c>
      <c r="BC65" s="2">
        <v>3737.0</v>
      </c>
      <c r="BD65" s="2" t="s">
        <v>12129</v>
      </c>
      <c r="BE65" s="2" t="s">
        <v>13536</v>
      </c>
      <c r="BF65" s="15" t="str">
        <f>HYPERLINK("http://dx.doi.org/10.1111/gcb.12993","http://dx.doi.org/10.1111/gcb.12993")</f>
        <v>http://dx.doi.org/10.1111/gcb.12993</v>
      </c>
      <c r="BG65" s="2" t="s">
        <v>12129</v>
      </c>
      <c r="BH65" s="2" t="s">
        <v>12129</v>
      </c>
      <c r="BI65" s="2">
        <v>12.0</v>
      </c>
      <c r="BJ65" s="2" t="s">
        <v>252</v>
      </c>
      <c r="BK65" s="2" t="s">
        <v>12176</v>
      </c>
      <c r="BL65" s="2" t="s">
        <v>12376</v>
      </c>
      <c r="BM65" s="2" t="s">
        <v>13537</v>
      </c>
      <c r="BN65" s="2">
        <v>2.6212787E7</v>
      </c>
      <c r="BO65" s="2" t="s">
        <v>12179</v>
      </c>
      <c r="BP65" s="2" t="s">
        <v>12129</v>
      </c>
      <c r="BQ65" s="2" t="s">
        <v>12129</v>
      </c>
      <c r="BR65" s="2" t="s">
        <v>12152</v>
      </c>
      <c r="BS65" s="2" t="s">
        <v>13538</v>
      </c>
      <c r="BT65" s="2" t="str">
        <f>HYPERLINK("https%3A%2F%2Fwww.webofscience.com%2Fwos%2Fwoscc%2Ffull-record%2FWOS:000360994500014","View Full Record in Web of Science")</f>
        <v>View Full Record in Web of Science</v>
      </c>
    </row>
    <row r="66" ht="12.75" customHeight="1">
      <c r="A66" s="2" t="s">
        <v>23</v>
      </c>
      <c r="B66" s="2" t="s">
        <v>13539</v>
      </c>
      <c r="C66" s="2" t="s">
        <v>12129</v>
      </c>
      <c r="D66" s="2" t="s">
        <v>12129</v>
      </c>
      <c r="E66" s="2" t="s">
        <v>12129</v>
      </c>
      <c r="F66" s="2" t="s">
        <v>13540</v>
      </c>
      <c r="G66" s="2" t="s">
        <v>12129</v>
      </c>
      <c r="H66" s="2" t="s">
        <v>12129</v>
      </c>
      <c r="I66" s="2" t="s">
        <v>13541</v>
      </c>
      <c r="J66" s="2" t="s">
        <v>362</v>
      </c>
      <c r="K66" s="2" t="s">
        <v>12129</v>
      </c>
      <c r="L66" s="2" t="s">
        <v>12129</v>
      </c>
      <c r="M66" s="2" t="s">
        <v>3263</v>
      </c>
      <c r="N66" s="2" t="s">
        <v>35</v>
      </c>
      <c r="O66" s="2" t="s">
        <v>12129</v>
      </c>
      <c r="P66" s="2" t="s">
        <v>12129</v>
      </c>
      <c r="Q66" s="2" t="s">
        <v>12129</v>
      </c>
      <c r="R66" s="2" t="s">
        <v>12129</v>
      </c>
      <c r="S66" s="2" t="s">
        <v>12129</v>
      </c>
      <c r="T66" s="2" t="s">
        <v>12129</v>
      </c>
      <c r="U66" s="2" t="s">
        <v>13542</v>
      </c>
      <c r="V66" s="2" t="s">
        <v>13543</v>
      </c>
      <c r="W66" s="2" t="s">
        <v>13544</v>
      </c>
      <c r="X66" s="2" t="s">
        <v>13545</v>
      </c>
      <c r="Y66" s="2" t="s">
        <v>13546</v>
      </c>
      <c r="Z66" s="2" t="s">
        <v>13547</v>
      </c>
      <c r="AA66" s="2" t="s">
        <v>13548</v>
      </c>
      <c r="AB66" s="2" t="s">
        <v>13549</v>
      </c>
      <c r="AC66" s="2" t="s">
        <v>13550</v>
      </c>
      <c r="AD66" s="2" t="s">
        <v>13551</v>
      </c>
      <c r="AE66" s="2" t="s">
        <v>13552</v>
      </c>
      <c r="AF66" s="2" t="s">
        <v>12129</v>
      </c>
      <c r="AG66" s="2">
        <v>74.0</v>
      </c>
      <c r="AH66" s="2">
        <v>253.0</v>
      </c>
      <c r="AI66" s="2">
        <v>287.0</v>
      </c>
      <c r="AJ66" s="2">
        <v>1.0</v>
      </c>
      <c r="AK66" s="2">
        <v>108.0</v>
      </c>
      <c r="AL66" s="2" t="s">
        <v>12195</v>
      </c>
      <c r="AM66" s="2" t="s">
        <v>12196</v>
      </c>
      <c r="AN66" s="2" t="s">
        <v>12197</v>
      </c>
      <c r="AO66" s="2" t="s">
        <v>1877</v>
      </c>
      <c r="AP66" s="2" t="s">
        <v>12129</v>
      </c>
      <c r="AQ66" s="2" t="s">
        <v>12129</v>
      </c>
      <c r="AR66" s="2" t="s">
        <v>362</v>
      </c>
      <c r="AS66" s="2" t="s">
        <v>12198</v>
      </c>
      <c r="AT66" s="2" t="s">
        <v>13553</v>
      </c>
      <c r="AU66" s="2">
        <v>2015.0</v>
      </c>
      <c r="AV66" s="2">
        <v>10.0</v>
      </c>
      <c r="AW66" s="2">
        <v>8.0</v>
      </c>
      <c r="AX66" s="2" t="s">
        <v>12129</v>
      </c>
      <c r="AY66" s="2" t="s">
        <v>12129</v>
      </c>
      <c r="AZ66" s="2" t="s">
        <v>12129</v>
      </c>
      <c r="BA66" s="2" t="s">
        <v>12129</v>
      </c>
      <c r="BB66" s="2" t="s">
        <v>12129</v>
      </c>
      <c r="BC66" s="2" t="s">
        <v>12129</v>
      </c>
      <c r="BD66" s="2" t="s">
        <v>13554</v>
      </c>
      <c r="BE66" s="2" t="s">
        <v>13555</v>
      </c>
      <c r="BF66" s="15" t="str">
        <f>HYPERLINK("http://dx.doi.org/10.1371/journal.pone.0135152","http://dx.doi.org/10.1371/journal.pone.0135152")</f>
        <v>http://dx.doi.org/10.1371/journal.pone.0135152</v>
      </c>
      <c r="BG66" s="2" t="s">
        <v>12129</v>
      </c>
      <c r="BH66" s="2" t="s">
        <v>12129</v>
      </c>
      <c r="BI66" s="2">
        <v>22.0</v>
      </c>
      <c r="BJ66" s="2" t="s">
        <v>39</v>
      </c>
      <c r="BK66" s="2" t="s">
        <v>12176</v>
      </c>
      <c r="BL66" s="2" t="s">
        <v>12202</v>
      </c>
      <c r="BM66" s="2" t="s">
        <v>13556</v>
      </c>
      <c r="BN66" s="2">
        <v>2.6252495E7</v>
      </c>
      <c r="BO66" s="2" t="s">
        <v>12179</v>
      </c>
      <c r="BP66" s="2" t="s">
        <v>12129</v>
      </c>
      <c r="BQ66" s="2" t="s">
        <v>12129</v>
      </c>
      <c r="BR66" s="2" t="s">
        <v>12152</v>
      </c>
      <c r="BS66" s="2" t="s">
        <v>13557</v>
      </c>
      <c r="BT66" s="2" t="str">
        <f>HYPERLINK("https%3A%2F%2Fwww.webofscience.com%2Fwos%2Fwoscc%2Ffull-record%2FWOS:000359121100125","View Full Record in Web of Science")</f>
        <v>View Full Record in Web of Science</v>
      </c>
    </row>
    <row r="67" ht="12.75" customHeight="1">
      <c r="A67" s="2" t="s">
        <v>23</v>
      </c>
      <c r="B67" s="2" t="s">
        <v>13558</v>
      </c>
      <c r="C67" s="2" t="s">
        <v>12129</v>
      </c>
      <c r="D67" s="2" t="s">
        <v>12129</v>
      </c>
      <c r="E67" s="2" t="s">
        <v>12129</v>
      </c>
      <c r="F67" s="2" t="s">
        <v>13559</v>
      </c>
      <c r="G67" s="2" t="s">
        <v>12129</v>
      </c>
      <c r="H67" s="2" t="s">
        <v>12129</v>
      </c>
      <c r="I67" s="2" t="s">
        <v>13560</v>
      </c>
      <c r="J67" s="2" t="s">
        <v>12692</v>
      </c>
      <c r="K67" s="2" t="s">
        <v>12129</v>
      </c>
      <c r="L67" s="2" t="s">
        <v>12129</v>
      </c>
      <c r="M67" s="2" t="s">
        <v>3263</v>
      </c>
      <c r="N67" s="2" t="s">
        <v>35</v>
      </c>
      <c r="O67" s="2" t="s">
        <v>12129</v>
      </c>
      <c r="P67" s="2" t="s">
        <v>12129</v>
      </c>
      <c r="Q67" s="2" t="s">
        <v>12129</v>
      </c>
      <c r="R67" s="2" t="s">
        <v>12129</v>
      </c>
      <c r="S67" s="2" t="s">
        <v>12129</v>
      </c>
      <c r="T67" s="2" t="s">
        <v>13561</v>
      </c>
      <c r="U67" s="2" t="s">
        <v>13562</v>
      </c>
      <c r="V67" s="2" t="s">
        <v>13563</v>
      </c>
      <c r="W67" s="2" t="s">
        <v>13564</v>
      </c>
      <c r="X67" s="2" t="s">
        <v>13565</v>
      </c>
      <c r="Y67" s="2" t="s">
        <v>13566</v>
      </c>
      <c r="Z67" s="2" t="s">
        <v>13567</v>
      </c>
      <c r="AA67" s="2" t="s">
        <v>13568</v>
      </c>
      <c r="AB67" s="2" t="s">
        <v>13569</v>
      </c>
      <c r="AC67" s="2" t="s">
        <v>13570</v>
      </c>
      <c r="AD67" s="2" t="s">
        <v>13571</v>
      </c>
      <c r="AE67" s="2" t="s">
        <v>13572</v>
      </c>
      <c r="AF67" s="2" t="s">
        <v>12129</v>
      </c>
      <c r="AG67" s="2">
        <v>61.0</v>
      </c>
      <c r="AH67" s="2">
        <v>11.0</v>
      </c>
      <c r="AI67" s="2">
        <v>11.0</v>
      </c>
      <c r="AJ67" s="2">
        <v>0.0</v>
      </c>
      <c r="AK67" s="2">
        <v>37.0</v>
      </c>
      <c r="AL67" s="2" t="s">
        <v>12269</v>
      </c>
      <c r="AM67" s="2" t="s">
        <v>12270</v>
      </c>
      <c r="AN67" s="2" t="s">
        <v>12271</v>
      </c>
      <c r="AO67" s="2" t="s">
        <v>12705</v>
      </c>
      <c r="AP67" s="2" t="s">
        <v>12706</v>
      </c>
      <c r="AQ67" s="2" t="s">
        <v>12129</v>
      </c>
      <c r="AR67" s="2" t="s">
        <v>12707</v>
      </c>
      <c r="AS67" s="2" t="s">
        <v>12708</v>
      </c>
      <c r="AT67" s="2" t="s">
        <v>12459</v>
      </c>
      <c r="AU67" s="2">
        <v>2015.0</v>
      </c>
      <c r="AV67" s="2">
        <v>165.0</v>
      </c>
      <c r="AW67" s="2" t="s">
        <v>12129</v>
      </c>
      <c r="AX67" s="2" t="s">
        <v>12129</v>
      </c>
      <c r="AY67" s="2" t="s">
        <v>12129</v>
      </c>
      <c r="AZ67" s="2" t="s">
        <v>12129</v>
      </c>
      <c r="BA67" s="2" t="s">
        <v>12129</v>
      </c>
      <c r="BB67" s="2">
        <v>63.0</v>
      </c>
      <c r="BC67" s="2">
        <v>70.0</v>
      </c>
      <c r="BD67" s="2" t="s">
        <v>12129</v>
      </c>
      <c r="BE67" s="2" t="s">
        <v>13573</v>
      </c>
      <c r="BF67" s="15" t="str">
        <f>HYPERLINK("http://dx.doi.org/10.1016/j.fishres.2014.12.016","http://dx.doi.org/10.1016/j.fishres.2014.12.016")</f>
        <v>http://dx.doi.org/10.1016/j.fishres.2014.12.016</v>
      </c>
      <c r="BG67" s="2" t="s">
        <v>12129</v>
      </c>
      <c r="BH67" s="2" t="s">
        <v>12129</v>
      </c>
      <c r="BI67" s="2">
        <v>8.0</v>
      </c>
      <c r="BJ67" s="2" t="s">
        <v>3801</v>
      </c>
      <c r="BK67" s="2" t="s">
        <v>12176</v>
      </c>
      <c r="BL67" s="2" t="s">
        <v>3801</v>
      </c>
      <c r="BM67" s="2" t="s">
        <v>13574</v>
      </c>
      <c r="BN67" s="2" t="s">
        <v>12129</v>
      </c>
      <c r="BO67" s="2" t="s">
        <v>12129</v>
      </c>
      <c r="BP67" s="2" t="s">
        <v>12129</v>
      </c>
      <c r="BQ67" s="2" t="s">
        <v>12129</v>
      </c>
      <c r="BR67" s="2" t="s">
        <v>12152</v>
      </c>
      <c r="BS67" s="2" t="s">
        <v>13575</v>
      </c>
      <c r="BT67" s="2" t="str">
        <f>HYPERLINK("https%3A%2F%2Fwww.webofscience.com%2Fwos%2Fwoscc%2Ffull-record%2FWOS:000352748800007","View Full Record in Web of Science")</f>
        <v>View Full Record in Web of Science</v>
      </c>
    </row>
    <row r="68" ht="12.75" customHeight="1">
      <c r="A68" s="2" t="s">
        <v>23</v>
      </c>
      <c r="B68" s="2" t="s">
        <v>13576</v>
      </c>
      <c r="C68" s="2" t="s">
        <v>12129</v>
      </c>
      <c r="D68" s="2" t="s">
        <v>12129</v>
      </c>
      <c r="E68" s="2" t="s">
        <v>12129</v>
      </c>
      <c r="F68" s="2" t="s">
        <v>13577</v>
      </c>
      <c r="G68" s="2" t="s">
        <v>12129</v>
      </c>
      <c r="H68" s="2" t="s">
        <v>12129</v>
      </c>
      <c r="I68" s="2" t="s">
        <v>13578</v>
      </c>
      <c r="J68" s="2" t="s">
        <v>771</v>
      </c>
      <c r="K68" s="2" t="s">
        <v>12129</v>
      </c>
      <c r="L68" s="2" t="s">
        <v>12129</v>
      </c>
      <c r="M68" s="2" t="s">
        <v>3263</v>
      </c>
      <c r="N68" s="2" t="s">
        <v>35</v>
      </c>
      <c r="O68" s="2" t="s">
        <v>12129</v>
      </c>
      <c r="P68" s="2" t="s">
        <v>12129</v>
      </c>
      <c r="Q68" s="2" t="s">
        <v>12129</v>
      </c>
      <c r="R68" s="2" t="s">
        <v>12129</v>
      </c>
      <c r="S68" s="2" t="s">
        <v>12129</v>
      </c>
      <c r="T68" s="2" t="s">
        <v>13579</v>
      </c>
      <c r="U68" s="2" t="s">
        <v>13580</v>
      </c>
      <c r="V68" s="2" t="s">
        <v>13581</v>
      </c>
      <c r="W68" s="2" t="s">
        <v>13582</v>
      </c>
      <c r="X68" s="2" t="s">
        <v>13583</v>
      </c>
      <c r="Y68" s="2" t="s">
        <v>13584</v>
      </c>
      <c r="Z68" s="2" t="s">
        <v>13585</v>
      </c>
      <c r="AA68" s="2" t="s">
        <v>13586</v>
      </c>
      <c r="AB68" s="2" t="s">
        <v>13587</v>
      </c>
      <c r="AC68" s="2" t="s">
        <v>13588</v>
      </c>
      <c r="AD68" s="2" t="s">
        <v>13589</v>
      </c>
      <c r="AE68" s="2" t="s">
        <v>13590</v>
      </c>
      <c r="AF68" s="2" t="s">
        <v>12129</v>
      </c>
      <c r="AG68" s="2">
        <v>65.0</v>
      </c>
      <c r="AH68" s="2">
        <v>730.0</v>
      </c>
      <c r="AI68" s="2">
        <v>845.0</v>
      </c>
      <c r="AJ68" s="2">
        <v>47.0</v>
      </c>
      <c r="AK68" s="2">
        <v>953.0</v>
      </c>
      <c r="AL68" s="2" t="s">
        <v>12243</v>
      </c>
      <c r="AM68" s="2" t="s">
        <v>12244</v>
      </c>
      <c r="AN68" s="2" t="s">
        <v>12245</v>
      </c>
      <c r="AO68" s="2" t="s">
        <v>12783</v>
      </c>
      <c r="AP68" s="2" t="s">
        <v>12784</v>
      </c>
      <c r="AQ68" s="2" t="s">
        <v>12129</v>
      </c>
      <c r="AR68" s="2" t="s">
        <v>12785</v>
      </c>
      <c r="AS68" s="2" t="s">
        <v>12786</v>
      </c>
      <c r="AT68" s="2" t="s">
        <v>12561</v>
      </c>
      <c r="AU68" s="2">
        <v>2015.0</v>
      </c>
      <c r="AV68" s="2">
        <v>21.0</v>
      </c>
      <c r="AW68" s="2">
        <v>4.0</v>
      </c>
      <c r="AX68" s="2" t="s">
        <v>12129</v>
      </c>
      <c r="AY68" s="2" t="s">
        <v>12129</v>
      </c>
      <c r="AZ68" s="2" t="s">
        <v>12129</v>
      </c>
      <c r="BA68" s="2" t="s">
        <v>12129</v>
      </c>
      <c r="BB68" s="2">
        <v>1601.0</v>
      </c>
      <c r="BC68" s="2">
        <v>1609.0</v>
      </c>
      <c r="BD68" s="2" t="s">
        <v>12129</v>
      </c>
      <c r="BE68" s="2" t="s">
        <v>13591</v>
      </c>
      <c r="BF68" s="15" t="str">
        <f>HYPERLINK("http://dx.doi.org/10.1111/gcb.12795","http://dx.doi.org/10.1111/gcb.12795")</f>
        <v>http://dx.doi.org/10.1111/gcb.12795</v>
      </c>
      <c r="BG68" s="2" t="s">
        <v>12129</v>
      </c>
      <c r="BH68" s="2" t="s">
        <v>12129</v>
      </c>
      <c r="BI68" s="2">
        <v>9.0</v>
      </c>
      <c r="BJ68" s="2" t="s">
        <v>252</v>
      </c>
      <c r="BK68" s="2" t="s">
        <v>12176</v>
      </c>
      <c r="BL68" s="2" t="s">
        <v>12376</v>
      </c>
      <c r="BM68" s="2" t="s">
        <v>13592</v>
      </c>
      <c r="BN68" s="2">
        <v>2.5369401E7</v>
      </c>
      <c r="BO68" s="2" t="s">
        <v>12179</v>
      </c>
      <c r="BP68" s="2" t="s">
        <v>12129</v>
      </c>
      <c r="BQ68" s="2" t="s">
        <v>12129</v>
      </c>
      <c r="BR68" s="2" t="s">
        <v>12152</v>
      </c>
      <c r="BS68" s="2" t="s">
        <v>13593</v>
      </c>
      <c r="BT68" s="2" t="str">
        <f>HYPERLINK("https%3A%2F%2Fwww.webofscience.com%2Fwos%2Fwoscc%2Ffull-record%2FWOS:000351214100022","View Full Record in Web of Science")</f>
        <v>View Full Record in Web of Science</v>
      </c>
    </row>
    <row r="69" ht="12.75" customHeight="1">
      <c r="A69" s="2" t="s">
        <v>23</v>
      </c>
      <c r="B69" s="2" t="s">
        <v>13594</v>
      </c>
      <c r="C69" s="2" t="s">
        <v>12129</v>
      </c>
      <c r="D69" s="2" t="s">
        <v>12129</v>
      </c>
      <c r="E69" s="2" t="s">
        <v>12129</v>
      </c>
      <c r="F69" s="2" t="s">
        <v>13595</v>
      </c>
      <c r="G69" s="2" t="s">
        <v>12129</v>
      </c>
      <c r="H69" s="2" t="s">
        <v>12129</v>
      </c>
      <c r="I69" s="2" t="s">
        <v>13596</v>
      </c>
      <c r="J69" s="2" t="s">
        <v>362</v>
      </c>
      <c r="K69" s="2" t="s">
        <v>12129</v>
      </c>
      <c r="L69" s="2" t="s">
        <v>12129</v>
      </c>
      <c r="M69" s="2" t="s">
        <v>3263</v>
      </c>
      <c r="N69" s="2" t="s">
        <v>35</v>
      </c>
      <c r="O69" s="2" t="s">
        <v>12129</v>
      </c>
      <c r="P69" s="2" t="s">
        <v>12129</v>
      </c>
      <c r="Q69" s="2" t="s">
        <v>12129</v>
      </c>
      <c r="R69" s="2" t="s">
        <v>12129</v>
      </c>
      <c r="S69" s="2" t="s">
        <v>12129</v>
      </c>
      <c r="T69" s="2" t="s">
        <v>12129</v>
      </c>
      <c r="U69" s="2" t="s">
        <v>13597</v>
      </c>
      <c r="V69" s="2" t="s">
        <v>13598</v>
      </c>
      <c r="W69" s="2" t="s">
        <v>13599</v>
      </c>
      <c r="X69" s="2" t="s">
        <v>13600</v>
      </c>
      <c r="Y69" s="2" t="s">
        <v>13601</v>
      </c>
      <c r="Z69" s="2" t="s">
        <v>13602</v>
      </c>
      <c r="AA69" s="2" t="s">
        <v>13603</v>
      </c>
      <c r="AB69" s="2" t="s">
        <v>13604</v>
      </c>
      <c r="AC69" s="2" t="s">
        <v>13605</v>
      </c>
      <c r="AD69" s="2" t="s">
        <v>13605</v>
      </c>
      <c r="AE69" s="2" t="s">
        <v>13606</v>
      </c>
      <c r="AF69" s="2" t="s">
        <v>12129</v>
      </c>
      <c r="AG69" s="2">
        <v>35.0</v>
      </c>
      <c r="AH69" s="2">
        <v>77.0</v>
      </c>
      <c r="AI69" s="2">
        <v>89.0</v>
      </c>
      <c r="AJ69" s="2">
        <v>0.0</v>
      </c>
      <c r="AK69" s="2">
        <v>44.0</v>
      </c>
      <c r="AL69" s="2" t="s">
        <v>12195</v>
      </c>
      <c r="AM69" s="2" t="s">
        <v>12196</v>
      </c>
      <c r="AN69" s="2" t="s">
        <v>12197</v>
      </c>
      <c r="AO69" s="2" t="s">
        <v>1877</v>
      </c>
      <c r="AP69" s="2" t="s">
        <v>12129</v>
      </c>
      <c r="AQ69" s="2" t="s">
        <v>12129</v>
      </c>
      <c r="AR69" s="2" t="s">
        <v>362</v>
      </c>
      <c r="AS69" s="2" t="s">
        <v>12198</v>
      </c>
      <c r="AT69" s="2" t="s">
        <v>13607</v>
      </c>
      <c r="AU69" s="2">
        <v>2015.0</v>
      </c>
      <c r="AV69" s="2">
        <v>10.0</v>
      </c>
      <c r="AW69" s="2">
        <v>3.0</v>
      </c>
      <c r="AX69" s="2" t="s">
        <v>12129</v>
      </c>
      <c r="AY69" s="2" t="s">
        <v>12129</v>
      </c>
      <c r="AZ69" s="2" t="s">
        <v>12129</v>
      </c>
      <c r="BA69" s="2" t="s">
        <v>12129</v>
      </c>
      <c r="BB69" s="2" t="s">
        <v>12129</v>
      </c>
      <c r="BC69" s="2" t="s">
        <v>12129</v>
      </c>
      <c r="BD69" s="2" t="s">
        <v>13608</v>
      </c>
      <c r="BE69" s="2" t="s">
        <v>13609</v>
      </c>
      <c r="BF69" s="15" t="str">
        <f>HYPERLINK("http://dx.doi.org/10.1371/journal.pone.0120198","http://dx.doi.org/10.1371/journal.pone.0120198")</f>
        <v>http://dx.doi.org/10.1371/journal.pone.0120198</v>
      </c>
      <c r="BG69" s="2" t="s">
        <v>12129</v>
      </c>
      <c r="BH69" s="2" t="s">
        <v>12129</v>
      </c>
      <c r="BI69" s="2">
        <v>14.0</v>
      </c>
      <c r="BJ69" s="2" t="s">
        <v>39</v>
      </c>
      <c r="BK69" s="2" t="s">
        <v>12176</v>
      </c>
      <c r="BL69" s="2" t="s">
        <v>12202</v>
      </c>
      <c r="BM69" s="2" t="s">
        <v>13610</v>
      </c>
      <c r="BN69" s="2">
        <v>2.5807292E7</v>
      </c>
      <c r="BO69" s="2" t="s">
        <v>12179</v>
      </c>
      <c r="BP69" s="2" t="s">
        <v>12129</v>
      </c>
      <c r="BQ69" s="2" t="s">
        <v>12129</v>
      </c>
      <c r="BR69" s="2" t="s">
        <v>12152</v>
      </c>
      <c r="BS69" s="2" t="s">
        <v>13611</v>
      </c>
      <c r="BT69" s="2" t="str">
        <f>HYPERLINK("https%3A%2F%2Fwww.webofscience.com%2Fwos%2Fwoscc%2Ffull-record%2FWOS:000351880000071","View Full Record in Web of Science")</f>
        <v>View Full Record in Web of Science</v>
      </c>
    </row>
    <row r="70" ht="12.75" customHeight="1">
      <c r="A70" s="2" t="s">
        <v>23</v>
      </c>
      <c r="B70" s="2" t="s">
        <v>13612</v>
      </c>
      <c r="C70" s="2" t="s">
        <v>12129</v>
      </c>
      <c r="D70" s="2" t="s">
        <v>12129</v>
      </c>
      <c r="E70" s="2" t="s">
        <v>12129</v>
      </c>
      <c r="F70" s="2" t="s">
        <v>13613</v>
      </c>
      <c r="G70" s="2" t="s">
        <v>12129</v>
      </c>
      <c r="H70" s="2" t="s">
        <v>12129</v>
      </c>
      <c r="I70" s="2" t="s">
        <v>13614</v>
      </c>
      <c r="J70" s="2" t="s">
        <v>13615</v>
      </c>
      <c r="K70" s="2" t="s">
        <v>12129</v>
      </c>
      <c r="L70" s="2" t="s">
        <v>12129</v>
      </c>
      <c r="M70" s="2" t="s">
        <v>3263</v>
      </c>
      <c r="N70" s="2" t="s">
        <v>35</v>
      </c>
      <c r="O70" s="2" t="s">
        <v>12129</v>
      </c>
      <c r="P70" s="2" t="s">
        <v>12129</v>
      </c>
      <c r="Q70" s="2" t="s">
        <v>12129</v>
      </c>
      <c r="R70" s="2" t="s">
        <v>12129</v>
      </c>
      <c r="S70" s="2" t="s">
        <v>12129</v>
      </c>
      <c r="T70" s="2" t="s">
        <v>13616</v>
      </c>
      <c r="U70" s="2" t="s">
        <v>13617</v>
      </c>
      <c r="V70" s="2" t="s">
        <v>13618</v>
      </c>
      <c r="W70" s="2" t="s">
        <v>13619</v>
      </c>
      <c r="X70" s="2" t="s">
        <v>13620</v>
      </c>
      <c r="Y70" s="2" t="s">
        <v>13621</v>
      </c>
      <c r="Z70" s="2" t="s">
        <v>13622</v>
      </c>
      <c r="AA70" s="2" t="s">
        <v>13623</v>
      </c>
      <c r="AB70" s="2" t="s">
        <v>13624</v>
      </c>
      <c r="AC70" s="2" t="s">
        <v>12129</v>
      </c>
      <c r="AD70" s="2" t="s">
        <v>12129</v>
      </c>
      <c r="AE70" s="2" t="s">
        <v>12129</v>
      </c>
      <c r="AF70" s="2" t="s">
        <v>12129</v>
      </c>
      <c r="AG70" s="2">
        <v>38.0</v>
      </c>
      <c r="AH70" s="2">
        <v>247.0</v>
      </c>
      <c r="AI70" s="2">
        <v>299.0</v>
      </c>
      <c r="AJ70" s="2">
        <v>7.0</v>
      </c>
      <c r="AK70" s="2">
        <v>257.0</v>
      </c>
      <c r="AL70" s="2" t="s">
        <v>13625</v>
      </c>
      <c r="AM70" s="2" t="s">
        <v>12170</v>
      </c>
      <c r="AN70" s="2" t="s">
        <v>13626</v>
      </c>
      <c r="AO70" s="2" t="s">
        <v>13627</v>
      </c>
      <c r="AP70" s="2" t="s">
        <v>13628</v>
      </c>
      <c r="AQ70" s="2" t="s">
        <v>12129</v>
      </c>
      <c r="AR70" s="2" t="s">
        <v>13629</v>
      </c>
      <c r="AS70" s="2" t="s">
        <v>13630</v>
      </c>
      <c r="AT70" s="2" t="s">
        <v>13631</v>
      </c>
      <c r="AU70" s="2">
        <v>2015.0</v>
      </c>
      <c r="AV70" s="2">
        <v>148.0</v>
      </c>
      <c r="AW70" s="2" t="s">
        <v>12129</v>
      </c>
      <c r="AX70" s="2" t="s">
        <v>12129</v>
      </c>
      <c r="AY70" s="2" t="s">
        <v>12129</v>
      </c>
      <c r="AZ70" s="2" t="s">
        <v>13188</v>
      </c>
      <c r="BA70" s="2" t="s">
        <v>12129</v>
      </c>
      <c r="BB70" s="2">
        <v>101.0</v>
      </c>
      <c r="BC70" s="2">
        <v>111.0</v>
      </c>
      <c r="BD70" s="2" t="s">
        <v>12129</v>
      </c>
      <c r="BE70" s="2" t="s">
        <v>13632</v>
      </c>
      <c r="BF70" s="15" t="str">
        <f>HYPERLINK("http://dx.doi.org/10.1016/j.jenvman.2014.01.020","http://dx.doi.org/10.1016/j.jenvman.2014.01.020")</f>
        <v>http://dx.doi.org/10.1016/j.jenvman.2014.01.020</v>
      </c>
      <c r="BG70" s="2" t="s">
        <v>12129</v>
      </c>
      <c r="BH70" s="2" t="s">
        <v>12129</v>
      </c>
      <c r="BI70" s="2">
        <v>11.0</v>
      </c>
      <c r="BJ70" s="2" t="s">
        <v>65</v>
      </c>
      <c r="BK70" s="2" t="s">
        <v>12176</v>
      </c>
      <c r="BL70" s="2" t="s">
        <v>12251</v>
      </c>
      <c r="BM70" s="2" t="s">
        <v>13633</v>
      </c>
      <c r="BN70" s="2">
        <v>2.4735705E7</v>
      </c>
      <c r="BO70" s="2" t="s">
        <v>12129</v>
      </c>
      <c r="BP70" s="2" t="s">
        <v>12129</v>
      </c>
      <c r="BQ70" s="2" t="s">
        <v>12129</v>
      </c>
      <c r="BR70" s="2" t="s">
        <v>12152</v>
      </c>
      <c r="BS70" s="2" t="s">
        <v>13634</v>
      </c>
      <c r="BT70" s="2" t="str">
        <f>HYPERLINK("https%3A%2F%2Fwww.webofscience.com%2Fwos%2Fwoscc%2Ffull-record%2FWOS:000348016400011","View Full Record in Web of Science")</f>
        <v>View Full Record in Web of Science</v>
      </c>
    </row>
    <row r="71" ht="12.75" customHeight="1">
      <c r="A71" s="2" t="s">
        <v>13635</v>
      </c>
      <c r="B71" s="2" t="s">
        <v>13636</v>
      </c>
      <c r="C71" s="2" t="s">
        <v>12129</v>
      </c>
      <c r="D71" s="2" t="s">
        <v>13637</v>
      </c>
      <c r="E71" s="2" t="s">
        <v>12129</v>
      </c>
      <c r="F71" s="2" t="s">
        <v>13638</v>
      </c>
      <c r="G71" s="2" t="s">
        <v>12129</v>
      </c>
      <c r="H71" s="2" t="s">
        <v>12129</v>
      </c>
      <c r="I71" s="2" t="s">
        <v>13639</v>
      </c>
      <c r="J71" s="2" t="s">
        <v>13640</v>
      </c>
      <c r="K71" s="2" t="s">
        <v>12129</v>
      </c>
      <c r="L71" s="2" t="s">
        <v>12129</v>
      </c>
      <c r="M71" s="2" t="s">
        <v>3263</v>
      </c>
      <c r="N71" s="2" t="s">
        <v>13641</v>
      </c>
      <c r="O71" s="2" t="s">
        <v>13642</v>
      </c>
      <c r="P71" s="2" t="s">
        <v>13643</v>
      </c>
      <c r="Q71" s="2" t="s">
        <v>13644</v>
      </c>
      <c r="R71" s="2" t="s">
        <v>13645</v>
      </c>
      <c r="S71" s="2" t="s">
        <v>12129</v>
      </c>
      <c r="T71" s="2" t="s">
        <v>12129</v>
      </c>
      <c r="U71" s="2" t="s">
        <v>13646</v>
      </c>
      <c r="V71" s="2" t="s">
        <v>13647</v>
      </c>
      <c r="W71" s="2" t="s">
        <v>13648</v>
      </c>
      <c r="X71" s="2" t="s">
        <v>13649</v>
      </c>
      <c r="Y71" s="2" t="s">
        <v>13650</v>
      </c>
      <c r="Z71" s="2" t="s">
        <v>13651</v>
      </c>
      <c r="AA71" s="2" t="s">
        <v>13652</v>
      </c>
      <c r="AB71" s="2" t="s">
        <v>12129</v>
      </c>
      <c r="AC71" s="2" t="s">
        <v>12129</v>
      </c>
      <c r="AD71" s="2" t="s">
        <v>12129</v>
      </c>
      <c r="AE71" s="2" t="s">
        <v>12129</v>
      </c>
      <c r="AF71" s="2" t="s">
        <v>12129</v>
      </c>
      <c r="AG71" s="2">
        <v>27.0</v>
      </c>
      <c r="AH71" s="2">
        <v>0.0</v>
      </c>
      <c r="AI71" s="2">
        <v>0.0</v>
      </c>
      <c r="AJ71" s="2">
        <v>0.0</v>
      </c>
      <c r="AK71" s="2">
        <v>41.0</v>
      </c>
      <c r="AL71" s="2" t="s">
        <v>13653</v>
      </c>
      <c r="AM71" s="2" t="s">
        <v>13182</v>
      </c>
      <c r="AN71" s="2" t="s">
        <v>13654</v>
      </c>
      <c r="AO71" s="2" t="s">
        <v>12129</v>
      </c>
      <c r="AP71" s="2" t="s">
        <v>12129</v>
      </c>
      <c r="AQ71" s="2" t="s">
        <v>13655</v>
      </c>
      <c r="AR71" s="2" t="s">
        <v>12129</v>
      </c>
      <c r="AS71" s="2" t="s">
        <v>12129</v>
      </c>
      <c r="AT71" s="2" t="s">
        <v>12129</v>
      </c>
      <c r="AU71" s="2">
        <v>2015.0</v>
      </c>
      <c r="AV71" s="2" t="s">
        <v>12129</v>
      </c>
      <c r="AW71" s="2" t="s">
        <v>12129</v>
      </c>
      <c r="AX71" s="2" t="s">
        <v>12129</v>
      </c>
      <c r="AY71" s="2" t="s">
        <v>12129</v>
      </c>
      <c r="AZ71" s="2" t="s">
        <v>12129</v>
      </c>
      <c r="BA71" s="2" t="s">
        <v>12129</v>
      </c>
      <c r="BB71" s="2">
        <v>303.0</v>
      </c>
      <c r="BC71" s="2">
        <v>320.0</v>
      </c>
      <c r="BD71" s="2" t="s">
        <v>12129</v>
      </c>
      <c r="BE71" s="2" t="s">
        <v>13656</v>
      </c>
      <c r="BF71" s="15" t="str">
        <f>HYPERLINK("http://dx.doi.org/10.1153/9789004284081_018","http://dx.doi.org/10.1153/9789004284081_018")</f>
        <v>http://dx.doi.org/10.1153/9789004284081_018</v>
      </c>
      <c r="BG71" s="2" t="s">
        <v>12129</v>
      </c>
      <c r="BH71" s="2" t="s">
        <v>12129</v>
      </c>
      <c r="BI71" s="2">
        <v>18.0</v>
      </c>
      <c r="BJ71" s="2" t="s">
        <v>13657</v>
      </c>
      <c r="BK71" s="2" t="s">
        <v>13658</v>
      </c>
      <c r="BL71" s="2" t="s">
        <v>13659</v>
      </c>
      <c r="BM71" s="2" t="s">
        <v>13660</v>
      </c>
      <c r="BN71" s="2" t="s">
        <v>12129</v>
      </c>
      <c r="BO71" s="2" t="s">
        <v>12129</v>
      </c>
      <c r="BP71" s="2" t="s">
        <v>12129</v>
      </c>
      <c r="BQ71" s="2" t="s">
        <v>12129</v>
      </c>
      <c r="BR71" s="2" t="s">
        <v>12152</v>
      </c>
      <c r="BS71" s="2" t="s">
        <v>13661</v>
      </c>
      <c r="BT71" s="2" t="str">
        <f>HYPERLINK("https%3A%2F%2Fwww.webofscience.com%2Fwos%2Fwoscc%2Ffull-record%2FWOS:000380540800016","View Full Record in Web of Science")</f>
        <v>View Full Record in Web of Science</v>
      </c>
    </row>
    <row r="72" ht="12.75" customHeight="1">
      <c r="A72" s="2" t="s">
        <v>23</v>
      </c>
      <c r="B72" s="2" t="s">
        <v>13662</v>
      </c>
      <c r="C72" s="2" t="s">
        <v>12129</v>
      </c>
      <c r="D72" s="2" t="s">
        <v>12129</v>
      </c>
      <c r="E72" s="2" t="s">
        <v>12129</v>
      </c>
      <c r="F72" s="2" t="s">
        <v>13663</v>
      </c>
      <c r="G72" s="2" t="s">
        <v>12129</v>
      </c>
      <c r="H72" s="2" t="s">
        <v>12129</v>
      </c>
      <c r="I72" s="2" t="s">
        <v>13664</v>
      </c>
      <c r="J72" s="2" t="s">
        <v>13665</v>
      </c>
      <c r="K72" s="2" t="s">
        <v>12129</v>
      </c>
      <c r="L72" s="2" t="s">
        <v>12129</v>
      </c>
      <c r="M72" s="2" t="s">
        <v>3263</v>
      </c>
      <c r="N72" s="2" t="s">
        <v>35</v>
      </c>
      <c r="O72" s="2" t="s">
        <v>12129</v>
      </c>
      <c r="P72" s="2" t="s">
        <v>12129</v>
      </c>
      <c r="Q72" s="2" t="s">
        <v>12129</v>
      </c>
      <c r="R72" s="2" t="s">
        <v>12129</v>
      </c>
      <c r="S72" s="2" t="s">
        <v>12129</v>
      </c>
      <c r="T72" s="2" t="s">
        <v>13666</v>
      </c>
      <c r="U72" s="2" t="s">
        <v>13667</v>
      </c>
      <c r="V72" s="2" t="s">
        <v>13668</v>
      </c>
      <c r="W72" s="2" t="s">
        <v>13669</v>
      </c>
      <c r="X72" s="2" t="s">
        <v>12129</v>
      </c>
      <c r="Y72" s="2" t="s">
        <v>13670</v>
      </c>
      <c r="Z72" s="2" t="s">
        <v>13671</v>
      </c>
      <c r="AA72" s="2" t="s">
        <v>12129</v>
      </c>
      <c r="AB72" s="2" t="s">
        <v>12129</v>
      </c>
      <c r="AC72" s="2" t="s">
        <v>13672</v>
      </c>
      <c r="AD72" s="2" t="s">
        <v>13672</v>
      </c>
      <c r="AE72" s="2" t="s">
        <v>13673</v>
      </c>
      <c r="AF72" s="2" t="s">
        <v>12129</v>
      </c>
      <c r="AG72" s="2">
        <v>65.0</v>
      </c>
      <c r="AH72" s="2">
        <v>6.0</v>
      </c>
      <c r="AI72" s="2">
        <v>9.0</v>
      </c>
      <c r="AJ72" s="2">
        <v>1.0</v>
      </c>
      <c r="AK72" s="2">
        <v>20.0</v>
      </c>
      <c r="AL72" s="2" t="s">
        <v>13674</v>
      </c>
      <c r="AM72" s="2" t="s">
        <v>13675</v>
      </c>
      <c r="AN72" s="2" t="s">
        <v>13676</v>
      </c>
      <c r="AO72" s="2" t="s">
        <v>13677</v>
      </c>
      <c r="AP72" s="2" t="s">
        <v>13678</v>
      </c>
      <c r="AQ72" s="2" t="s">
        <v>12129</v>
      </c>
      <c r="AR72" s="2" t="s">
        <v>13665</v>
      </c>
      <c r="AS72" s="2" t="s">
        <v>13679</v>
      </c>
      <c r="AT72" s="2" t="s">
        <v>12129</v>
      </c>
      <c r="AU72" s="2">
        <v>2015.0</v>
      </c>
      <c r="AV72" s="2">
        <v>217.0</v>
      </c>
      <c r="AW72" s="2" t="s">
        <v>12129</v>
      </c>
      <c r="AX72" s="2" t="s">
        <v>12129</v>
      </c>
      <c r="AY72" s="2" t="s">
        <v>12129</v>
      </c>
      <c r="AZ72" s="2" t="s">
        <v>12129</v>
      </c>
      <c r="BA72" s="2" t="s">
        <v>12129</v>
      </c>
      <c r="BB72" s="2">
        <v>99.0</v>
      </c>
      <c r="BC72" s="2">
        <v>108.0</v>
      </c>
      <c r="BD72" s="2" t="s">
        <v>12129</v>
      </c>
      <c r="BE72" s="2" t="s">
        <v>13680</v>
      </c>
      <c r="BF72" s="15" t="str">
        <f>HYPERLINK("http://dx.doi.org/10.1016/j.flora.2015.09.013","http://dx.doi.org/10.1016/j.flora.2015.09.013")</f>
        <v>http://dx.doi.org/10.1016/j.flora.2015.09.013</v>
      </c>
      <c r="BG72" s="2" t="s">
        <v>12129</v>
      </c>
      <c r="BH72" s="2" t="s">
        <v>12129</v>
      </c>
      <c r="BI72" s="2">
        <v>10.0</v>
      </c>
      <c r="BJ72" s="2" t="s">
        <v>13681</v>
      </c>
      <c r="BK72" s="2" t="s">
        <v>12176</v>
      </c>
      <c r="BL72" s="2" t="s">
        <v>13682</v>
      </c>
      <c r="BM72" s="2" t="s">
        <v>13683</v>
      </c>
      <c r="BN72" s="2" t="s">
        <v>12129</v>
      </c>
      <c r="BO72" s="2" t="s">
        <v>12129</v>
      </c>
      <c r="BP72" s="2" t="s">
        <v>12129</v>
      </c>
      <c r="BQ72" s="2" t="s">
        <v>12129</v>
      </c>
      <c r="BR72" s="2" t="s">
        <v>12152</v>
      </c>
      <c r="BS72" s="2" t="s">
        <v>13684</v>
      </c>
      <c r="BT72" s="2" t="str">
        <f>HYPERLINK("https%3A%2F%2Fwww.webofscience.com%2Fwos%2Fwoscc%2Ffull-record%2FWOS:000367110300012","View Full Record in Web of Science")</f>
        <v>View Full Record in Web of Science</v>
      </c>
    </row>
    <row r="73" ht="12.75" customHeight="1">
      <c r="A73" s="2" t="s">
        <v>23</v>
      </c>
      <c r="B73" s="2" t="s">
        <v>13685</v>
      </c>
      <c r="C73" s="2" t="s">
        <v>12129</v>
      </c>
      <c r="D73" s="2" t="s">
        <v>12129</v>
      </c>
      <c r="E73" s="2" t="s">
        <v>12129</v>
      </c>
      <c r="F73" s="2" t="s">
        <v>13686</v>
      </c>
      <c r="G73" s="2" t="s">
        <v>12129</v>
      </c>
      <c r="H73" s="2" t="s">
        <v>12129</v>
      </c>
      <c r="I73" s="2" t="s">
        <v>13687</v>
      </c>
      <c r="J73" s="2" t="s">
        <v>13688</v>
      </c>
      <c r="K73" s="2" t="s">
        <v>12129</v>
      </c>
      <c r="L73" s="2" t="s">
        <v>12129</v>
      </c>
      <c r="M73" s="2" t="s">
        <v>3263</v>
      </c>
      <c r="N73" s="2" t="s">
        <v>35</v>
      </c>
      <c r="O73" s="2" t="s">
        <v>12129</v>
      </c>
      <c r="P73" s="2" t="s">
        <v>12129</v>
      </c>
      <c r="Q73" s="2" t="s">
        <v>12129</v>
      </c>
      <c r="R73" s="2" t="s">
        <v>12129</v>
      </c>
      <c r="S73" s="2" t="s">
        <v>12129</v>
      </c>
      <c r="T73" s="2" t="s">
        <v>13689</v>
      </c>
      <c r="U73" s="2" t="s">
        <v>13690</v>
      </c>
      <c r="V73" s="2" t="s">
        <v>13691</v>
      </c>
      <c r="W73" s="2" t="s">
        <v>13692</v>
      </c>
      <c r="X73" s="2" t="s">
        <v>13693</v>
      </c>
      <c r="Y73" s="2" t="s">
        <v>13694</v>
      </c>
      <c r="Z73" s="2" t="s">
        <v>13695</v>
      </c>
      <c r="AA73" s="2" t="s">
        <v>13696</v>
      </c>
      <c r="AB73" s="2" t="s">
        <v>13697</v>
      </c>
      <c r="AC73" s="2" t="s">
        <v>13698</v>
      </c>
      <c r="AD73" s="2" t="s">
        <v>13699</v>
      </c>
      <c r="AE73" s="2" t="s">
        <v>13700</v>
      </c>
      <c r="AF73" s="2" t="s">
        <v>12129</v>
      </c>
      <c r="AG73" s="2">
        <v>64.0</v>
      </c>
      <c r="AH73" s="2">
        <v>21.0</v>
      </c>
      <c r="AI73" s="2">
        <v>25.0</v>
      </c>
      <c r="AJ73" s="2">
        <v>2.0</v>
      </c>
      <c r="AK73" s="2">
        <v>158.0</v>
      </c>
      <c r="AL73" s="2" t="s">
        <v>12243</v>
      </c>
      <c r="AM73" s="2" t="s">
        <v>12244</v>
      </c>
      <c r="AN73" s="2" t="s">
        <v>12245</v>
      </c>
      <c r="AO73" s="2" t="s">
        <v>13701</v>
      </c>
      <c r="AP73" s="2" t="s">
        <v>13702</v>
      </c>
      <c r="AQ73" s="2" t="s">
        <v>12129</v>
      </c>
      <c r="AR73" s="2" t="s">
        <v>13703</v>
      </c>
      <c r="AS73" s="2" t="s">
        <v>13704</v>
      </c>
      <c r="AT73" s="2" t="s">
        <v>12764</v>
      </c>
      <c r="AU73" s="2">
        <v>2014.0</v>
      </c>
      <c r="AV73" s="2">
        <v>69.0</v>
      </c>
      <c r="AW73" s="2">
        <v>4.0</v>
      </c>
      <c r="AX73" s="2" t="s">
        <v>12129</v>
      </c>
      <c r="AY73" s="2" t="s">
        <v>12129</v>
      </c>
      <c r="AZ73" s="2" t="s">
        <v>12129</v>
      </c>
      <c r="BA73" s="2" t="s">
        <v>12129</v>
      </c>
      <c r="BB73" s="2">
        <v>596.0</v>
      </c>
      <c r="BC73" s="2">
        <v>610.0</v>
      </c>
      <c r="BD73" s="2" t="s">
        <v>12129</v>
      </c>
      <c r="BE73" s="2" t="s">
        <v>13705</v>
      </c>
      <c r="BF73" s="15" t="str">
        <f>HYPERLINK("http://dx.doi.org/10.1111/gfs.12073","http://dx.doi.org/10.1111/gfs.12073")</f>
        <v>http://dx.doi.org/10.1111/gfs.12073</v>
      </c>
      <c r="BG73" s="2" t="s">
        <v>12129</v>
      </c>
      <c r="BH73" s="2" t="s">
        <v>12129</v>
      </c>
      <c r="BI73" s="2">
        <v>15.0</v>
      </c>
      <c r="BJ73" s="2" t="s">
        <v>13706</v>
      </c>
      <c r="BK73" s="2" t="s">
        <v>12176</v>
      </c>
      <c r="BL73" s="2" t="s">
        <v>13707</v>
      </c>
      <c r="BM73" s="2" t="s">
        <v>13708</v>
      </c>
      <c r="BN73" s="2" t="s">
        <v>12129</v>
      </c>
      <c r="BO73" s="2" t="s">
        <v>12129</v>
      </c>
      <c r="BP73" s="2" t="s">
        <v>12129</v>
      </c>
      <c r="BQ73" s="2" t="s">
        <v>12129</v>
      </c>
      <c r="BR73" s="2" t="s">
        <v>12152</v>
      </c>
      <c r="BS73" s="2" t="s">
        <v>13709</v>
      </c>
      <c r="BT73" s="2" t="str">
        <f>HYPERLINK("https%3A%2F%2Fwww.webofscience.com%2Fwos%2Fwoscc%2Ffull-record%2FWOS:000343754300004","View Full Record in Web of Science")</f>
        <v>View Full Record in Web of Science</v>
      </c>
    </row>
    <row r="74" ht="12.75" customHeight="1">
      <c r="A74" s="2" t="s">
        <v>23</v>
      </c>
      <c r="B74" s="2" t="s">
        <v>13710</v>
      </c>
      <c r="C74" s="2" t="s">
        <v>12129</v>
      </c>
      <c r="D74" s="2" t="s">
        <v>12129</v>
      </c>
      <c r="E74" s="2" t="s">
        <v>12129</v>
      </c>
      <c r="F74" s="2" t="s">
        <v>13711</v>
      </c>
      <c r="G74" s="2" t="s">
        <v>12129</v>
      </c>
      <c r="H74" s="2" t="s">
        <v>12129</v>
      </c>
      <c r="I74" s="2" t="s">
        <v>13712</v>
      </c>
      <c r="J74" s="2" t="s">
        <v>362</v>
      </c>
      <c r="K74" s="2" t="s">
        <v>12129</v>
      </c>
      <c r="L74" s="2" t="s">
        <v>12129</v>
      </c>
      <c r="M74" s="2" t="s">
        <v>3263</v>
      </c>
      <c r="N74" s="2" t="s">
        <v>35</v>
      </c>
      <c r="O74" s="2" t="s">
        <v>12129</v>
      </c>
      <c r="P74" s="2" t="s">
        <v>12129</v>
      </c>
      <c r="Q74" s="2" t="s">
        <v>12129</v>
      </c>
      <c r="R74" s="2" t="s">
        <v>12129</v>
      </c>
      <c r="S74" s="2" t="s">
        <v>12129</v>
      </c>
      <c r="T74" s="2" t="s">
        <v>12129</v>
      </c>
      <c r="U74" s="2" t="s">
        <v>13713</v>
      </c>
      <c r="V74" s="2" t="s">
        <v>13714</v>
      </c>
      <c r="W74" s="2" t="s">
        <v>13715</v>
      </c>
      <c r="X74" s="2" t="s">
        <v>13716</v>
      </c>
      <c r="Y74" s="2" t="s">
        <v>13717</v>
      </c>
      <c r="Z74" s="2" t="s">
        <v>13718</v>
      </c>
      <c r="AA74" s="2" t="s">
        <v>13719</v>
      </c>
      <c r="AB74" s="2" t="s">
        <v>13720</v>
      </c>
      <c r="AC74" s="2" t="s">
        <v>13721</v>
      </c>
      <c r="AD74" s="2" t="s">
        <v>13722</v>
      </c>
      <c r="AE74" s="2" t="s">
        <v>13723</v>
      </c>
      <c r="AF74" s="2" t="s">
        <v>12129</v>
      </c>
      <c r="AG74" s="2">
        <v>38.0</v>
      </c>
      <c r="AH74" s="2">
        <v>70.0</v>
      </c>
      <c r="AI74" s="2">
        <v>77.0</v>
      </c>
      <c r="AJ74" s="2">
        <v>0.0</v>
      </c>
      <c r="AK74" s="2">
        <v>71.0</v>
      </c>
      <c r="AL74" s="2" t="s">
        <v>12195</v>
      </c>
      <c r="AM74" s="2" t="s">
        <v>12196</v>
      </c>
      <c r="AN74" s="2" t="s">
        <v>12197</v>
      </c>
      <c r="AO74" s="2" t="s">
        <v>1877</v>
      </c>
      <c r="AP74" s="2" t="s">
        <v>12129</v>
      </c>
      <c r="AQ74" s="2" t="s">
        <v>12129</v>
      </c>
      <c r="AR74" s="2" t="s">
        <v>362</v>
      </c>
      <c r="AS74" s="2" t="s">
        <v>12198</v>
      </c>
      <c r="AT74" s="2" t="s">
        <v>13724</v>
      </c>
      <c r="AU74" s="2">
        <v>2014.0</v>
      </c>
      <c r="AV74" s="2">
        <v>9.0</v>
      </c>
      <c r="AW74" s="2">
        <v>11.0</v>
      </c>
      <c r="AX74" s="2" t="s">
        <v>12129</v>
      </c>
      <c r="AY74" s="2" t="s">
        <v>12129</v>
      </c>
      <c r="AZ74" s="2" t="s">
        <v>12129</v>
      </c>
      <c r="BA74" s="2" t="s">
        <v>12129</v>
      </c>
      <c r="BB74" s="2" t="s">
        <v>12129</v>
      </c>
      <c r="BC74" s="2" t="s">
        <v>12129</v>
      </c>
      <c r="BD74" s="2" t="s">
        <v>13725</v>
      </c>
      <c r="BE74" s="2" t="s">
        <v>13726</v>
      </c>
      <c r="BF74" s="15" t="str">
        <f>HYPERLINK("http://dx.doi.org/10.1371/journal.pone.0113934","http://dx.doi.org/10.1371/journal.pone.0113934")</f>
        <v>http://dx.doi.org/10.1371/journal.pone.0113934</v>
      </c>
      <c r="BG74" s="2" t="s">
        <v>12129</v>
      </c>
      <c r="BH74" s="2" t="s">
        <v>12129</v>
      </c>
      <c r="BI74" s="2">
        <v>17.0</v>
      </c>
      <c r="BJ74" s="2" t="s">
        <v>39</v>
      </c>
      <c r="BK74" s="2" t="s">
        <v>12176</v>
      </c>
      <c r="BL74" s="2" t="s">
        <v>12202</v>
      </c>
      <c r="BM74" s="2" t="s">
        <v>13727</v>
      </c>
      <c r="BN74" s="2">
        <v>2.5426636E7</v>
      </c>
      <c r="BO74" s="2" t="s">
        <v>12179</v>
      </c>
      <c r="BP74" s="2" t="s">
        <v>12129</v>
      </c>
      <c r="BQ74" s="2" t="s">
        <v>12129</v>
      </c>
      <c r="BR74" s="2" t="s">
        <v>12152</v>
      </c>
      <c r="BS74" s="2" t="s">
        <v>13728</v>
      </c>
      <c r="BT74" s="2" t="str">
        <f>HYPERLINK("https%3A%2F%2Fwww.webofscience.com%2Fwos%2Fwoscc%2Ffull-record%2FWOS:000349145400104","View Full Record in Web of Science")</f>
        <v>View Full Record in Web of Science</v>
      </c>
    </row>
    <row r="75" ht="12.75" customHeight="1">
      <c r="A75" s="2" t="s">
        <v>23</v>
      </c>
      <c r="B75" s="2" t="s">
        <v>13729</v>
      </c>
      <c r="C75" s="2" t="s">
        <v>12129</v>
      </c>
      <c r="D75" s="2" t="s">
        <v>12129</v>
      </c>
      <c r="E75" s="2" t="s">
        <v>12129</v>
      </c>
      <c r="F75" s="2" t="s">
        <v>13730</v>
      </c>
      <c r="G75" s="2" t="s">
        <v>12129</v>
      </c>
      <c r="H75" s="2" t="s">
        <v>12129</v>
      </c>
      <c r="I75" s="2" t="s">
        <v>13731</v>
      </c>
      <c r="J75" s="2" t="s">
        <v>1052</v>
      </c>
      <c r="K75" s="2" t="s">
        <v>12129</v>
      </c>
      <c r="L75" s="2" t="s">
        <v>12129</v>
      </c>
      <c r="M75" s="2" t="s">
        <v>3263</v>
      </c>
      <c r="N75" s="2" t="s">
        <v>35</v>
      </c>
      <c r="O75" s="2" t="s">
        <v>12129</v>
      </c>
      <c r="P75" s="2" t="s">
        <v>12129</v>
      </c>
      <c r="Q75" s="2" t="s">
        <v>12129</v>
      </c>
      <c r="R75" s="2" t="s">
        <v>12129</v>
      </c>
      <c r="S75" s="2" t="s">
        <v>12129</v>
      </c>
      <c r="T75" s="2" t="s">
        <v>13732</v>
      </c>
      <c r="U75" s="2" t="s">
        <v>13733</v>
      </c>
      <c r="V75" s="2" t="s">
        <v>13734</v>
      </c>
      <c r="W75" s="2" t="s">
        <v>13735</v>
      </c>
      <c r="X75" s="2" t="s">
        <v>13736</v>
      </c>
      <c r="Y75" s="2" t="s">
        <v>13737</v>
      </c>
      <c r="Z75" s="2" t="s">
        <v>13738</v>
      </c>
      <c r="AA75" s="2" t="s">
        <v>13739</v>
      </c>
      <c r="AB75" s="2" t="s">
        <v>13740</v>
      </c>
      <c r="AC75" s="2" t="s">
        <v>13741</v>
      </c>
      <c r="AD75" s="2" t="s">
        <v>13741</v>
      </c>
      <c r="AE75" s="2" t="s">
        <v>13742</v>
      </c>
      <c r="AF75" s="2" t="s">
        <v>12129</v>
      </c>
      <c r="AG75" s="2">
        <v>85.0</v>
      </c>
      <c r="AH75" s="2">
        <v>25.0</v>
      </c>
      <c r="AI75" s="2">
        <v>27.0</v>
      </c>
      <c r="AJ75" s="2">
        <v>0.0</v>
      </c>
      <c r="AK75" s="2">
        <v>34.0</v>
      </c>
      <c r="AL75" s="2" t="s">
        <v>12930</v>
      </c>
      <c r="AM75" s="2" t="s">
        <v>12270</v>
      </c>
      <c r="AN75" s="2" t="s">
        <v>12931</v>
      </c>
      <c r="AO75" s="2" t="s">
        <v>13743</v>
      </c>
      <c r="AP75" s="2" t="s">
        <v>13744</v>
      </c>
      <c r="AQ75" s="2" t="s">
        <v>12129</v>
      </c>
      <c r="AR75" s="2" t="s">
        <v>13745</v>
      </c>
      <c r="AS75" s="2" t="s">
        <v>13746</v>
      </c>
      <c r="AT75" s="2" t="s">
        <v>13517</v>
      </c>
      <c r="AU75" s="2">
        <v>2014.0</v>
      </c>
      <c r="AV75" s="2">
        <v>121.0</v>
      </c>
      <c r="AW75" s="2" t="s">
        <v>12129</v>
      </c>
      <c r="AX75" s="2" t="s">
        <v>12129</v>
      </c>
      <c r="AY75" s="2" t="s">
        <v>12129</v>
      </c>
      <c r="AZ75" s="2" t="s">
        <v>12129</v>
      </c>
      <c r="BA75" s="2" t="s">
        <v>12129</v>
      </c>
      <c r="BB75" s="2">
        <v>64.0</v>
      </c>
      <c r="BC75" s="2">
        <v>77.0</v>
      </c>
      <c r="BD75" s="2" t="s">
        <v>12129</v>
      </c>
      <c r="BE75" s="2" t="s">
        <v>13747</v>
      </c>
      <c r="BF75" s="15" t="str">
        <f>HYPERLINK("http://dx.doi.org/10.1016/j.gloplacha.2014.07.007","http://dx.doi.org/10.1016/j.gloplacha.2014.07.007")</f>
        <v>http://dx.doi.org/10.1016/j.gloplacha.2014.07.007</v>
      </c>
      <c r="BG75" s="2" t="s">
        <v>12129</v>
      </c>
      <c r="BH75" s="2" t="s">
        <v>12129</v>
      </c>
      <c r="BI75" s="2">
        <v>14.0</v>
      </c>
      <c r="BJ75" s="2" t="s">
        <v>1056</v>
      </c>
      <c r="BK75" s="2" t="s">
        <v>12729</v>
      </c>
      <c r="BL75" s="2" t="s">
        <v>13748</v>
      </c>
      <c r="BM75" s="2" t="s">
        <v>13749</v>
      </c>
      <c r="BN75" s="2" t="s">
        <v>12129</v>
      </c>
      <c r="BO75" s="2" t="s">
        <v>12129</v>
      </c>
      <c r="BP75" s="2" t="s">
        <v>12129</v>
      </c>
      <c r="BQ75" s="2" t="s">
        <v>12129</v>
      </c>
      <c r="BR75" s="2" t="s">
        <v>12152</v>
      </c>
      <c r="BS75" s="2" t="s">
        <v>13750</v>
      </c>
      <c r="BT75" s="2" t="str">
        <f>HYPERLINK("https%3A%2F%2Fwww.webofscience.com%2Fwos%2Fwoscc%2Ffull-record%2FWOS:000341558700007","View Full Record in Web of Science")</f>
        <v>View Full Record in Web of Science</v>
      </c>
    </row>
    <row r="76" ht="12.75" customHeight="1">
      <c r="A76" s="2" t="s">
        <v>23</v>
      </c>
      <c r="B76" s="2" t="s">
        <v>13751</v>
      </c>
      <c r="C76" s="2" t="s">
        <v>12129</v>
      </c>
      <c r="D76" s="2" t="s">
        <v>12129</v>
      </c>
      <c r="E76" s="2" t="s">
        <v>12129</v>
      </c>
      <c r="F76" s="2" t="s">
        <v>13752</v>
      </c>
      <c r="G76" s="2" t="s">
        <v>12129</v>
      </c>
      <c r="H76" s="2" t="s">
        <v>12129</v>
      </c>
      <c r="I76" s="2" t="s">
        <v>13753</v>
      </c>
      <c r="J76" s="2" t="s">
        <v>13754</v>
      </c>
      <c r="K76" s="2" t="s">
        <v>12129</v>
      </c>
      <c r="L76" s="2" t="s">
        <v>12129</v>
      </c>
      <c r="M76" s="2" t="s">
        <v>3263</v>
      </c>
      <c r="N76" s="2" t="s">
        <v>35</v>
      </c>
      <c r="O76" s="2" t="s">
        <v>12129</v>
      </c>
      <c r="P76" s="2" t="s">
        <v>12129</v>
      </c>
      <c r="Q76" s="2" t="s">
        <v>12129</v>
      </c>
      <c r="R76" s="2" t="s">
        <v>12129</v>
      </c>
      <c r="S76" s="2" t="s">
        <v>12129</v>
      </c>
      <c r="T76" s="2" t="s">
        <v>13755</v>
      </c>
      <c r="U76" s="2" t="s">
        <v>13756</v>
      </c>
      <c r="V76" s="2" t="s">
        <v>13757</v>
      </c>
      <c r="W76" s="2" t="s">
        <v>13758</v>
      </c>
      <c r="X76" s="2" t="s">
        <v>13759</v>
      </c>
      <c r="Y76" s="2" t="s">
        <v>13760</v>
      </c>
      <c r="Z76" s="2" t="s">
        <v>13761</v>
      </c>
      <c r="AA76" s="2" t="s">
        <v>12129</v>
      </c>
      <c r="AB76" s="2" t="s">
        <v>13762</v>
      </c>
      <c r="AC76" s="2" t="s">
        <v>13763</v>
      </c>
      <c r="AD76" s="2" t="s">
        <v>13763</v>
      </c>
      <c r="AE76" s="2" t="s">
        <v>13764</v>
      </c>
      <c r="AF76" s="2" t="s">
        <v>12129</v>
      </c>
      <c r="AG76" s="2">
        <v>36.0</v>
      </c>
      <c r="AH76" s="2">
        <v>6.0</v>
      </c>
      <c r="AI76" s="2">
        <v>7.0</v>
      </c>
      <c r="AJ76" s="2">
        <v>0.0</v>
      </c>
      <c r="AK76" s="2">
        <v>36.0</v>
      </c>
      <c r="AL76" s="2" t="s">
        <v>13754</v>
      </c>
      <c r="AM76" s="2" t="s">
        <v>13765</v>
      </c>
      <c r="AN76" s="2" t="s">
        <v>13766</v>
      </c>
      <c r="AO76" s="2" t="s">
        <v>13767</v>
      </c>
      <c r="AP76" s="2" t="s">
        <v>13768</v>
      </c>
      <c r="AQ76" s="2" t="s">
        <v>12129</v>
      </c>
      <c r="AR76" s="2" t="s">
        <v>13769</v>
      </c>
      <c r="AS76" s="2" t="s">
        <v>13770</v>
      </c>
      <c r="AT76" s="2" t="s">
        <v>12249</v>
      </c>
      <c r="AU76" s="2">
        <v>2014.0</v>
      </c>
      <c r="AV76" s="2">
        <v>62.0</v>
      </c>
      <c r="AW76" s="2" t="s">
        <v>12129</v>
      </c>
      <c r="AX76" s="2" t="s">
        <v>12129</v>
      </c>
      <c r="AY76" s="2">
        <v>3.0</v>
      </c>
      <c r="AZ76" s="2" t="s">
        <v>12129</v>
      </c>
      <c r="BA76" s="2" t="s">
        <v>12129</v>
      </c>
      <c r="BB76" s="2">
        <v>273.0</v>
      </c>
      <c r="BC76" s="2">
        <v>286.0</v>
      </c>
      <c r="BD76" s="2" t="s">
        <v>12129</v>
      </c>
      <c r="BE76" s="2" t="s">
        <v>13771</v>
      </c>
      <c r="BF76" s="15" t="str">
        <f>HYPERLINK("http://dx.doi.org/10.15517/rbt.v62i0.15922","http://dx.doi.org/10.15517/rbt.v62i0.15922")</f>
        <v>http://dx.doi.org/10.15517/rbt.v62i0.15922</v>
      </c>
      <c r="BG76" s="2" t="s">
        <v>12129</v>
      </c>
      <c r="BH76" s="2" t="s">
        <v>12129</v>
      </c>
      <c r="BI76" s="2">
        <v>14.0</v>
      </c>
      <c r="BJ76" s="2" t="s">
        <v>185</v>
      </c>
      <c r="BK76" s="2" t="s">
        <v>12176</v>
      </c>
      <c r="BL76" s="2" t="s">
        <v>13772</v>
      </c>
      <c r="BM76" s="2" t="s">
        <v>13773</v>
      </c>
      <c r="BN76" s="2" t="s">
        <v>12129</v>
      </c>
      <c r="BO76" s="2" t="s">
        <v>13774</v>
      </c>
      <c r="BP76" s="2" t="s">
        <v>12129</v>
      </c>
      <c r="BQ76" s="2" t="s">
        <v>12129</v>
      </c>
      <c r="BR76" s="2" t="s">
        <v>12152</v>
      </c>
      <c r="BS76" s="2" t="s">
        <v>13775</v>
      </c>
      <c r="BT76" s="2" t="str">
        <f>HYPERLINK("https%3A%2F%2Fwww.webofscience.com%2Fwos%2Fwoscc%2Ffull-record%2FWOS:000209580800026","View Full Record in Web of Science")</f>
        <v>View Full Record in Web of Science</v>
      </c>
    </row>
    <row r="77" ht="12.75" customHeight="1">
      <c r="A77" s="2" t="s">
        <v>23</v>
      </c>
      <c r="B77" s="2" t="s">
        <v>13776</v>
      </c>
      <c r="C77" s="2" t="s">
        <v>12129</v>
      </c>
      <c r="D77" s="2" t="s">
        <v>12129</v>
      </c>
      <c r="E77" s="2" t="s">
        <v>12129</v>
      </c>
      <c r="F77" s="2" t="s">
        <v>13777</v>
      </c>
      <c r="G77" s="2" t="s">
        <v>12129</v>
      </c>
      <c r="H77" s="2" t="s">
        <v>12129</v>
      </c>
      <c r="I77" s="2" t="s">
        <v>13778</v>
      </c>
      <c r="J77" s="2" t="s">
        <v>13779</v>
      </c>
      <c r="K77" s="2" t="s">
        <v>12129</v>
      </c>
      <c r="L77" s="2" t="s">
        <v>12129</v>
      </c>
      <c r="M77" s="2" t="s">
        <v>3263</v>
      </c>
      <c r="N77" s="2" t="s">
        <v>35</v>
      </c>
      <c r="O77" s="2" t="s">
        <v>12129</v>
      </c>
      <c r="P77" s="2" t="s">
        <v>12129</v>
      </c>
      <c r="Q77" s="2" t="s">
        <v>12129</v>
      </c>
      <c r="R77" s="2" t="s">
        <v>12129</v>
      </c>
      <c r="S77" s="2" t="s">
        <v>12129</v>
      </c>
      <c r="T77" s="2" t="s">
        <v>13780</v>
      </c>
      <c r="U77" s="2" t="s">
        <v>13781</v>
      </c>
      <c r="V77" s="2" t="s">
        <v>13782</v>
      </c>
      <c r="W77" s="2" t="s">
        <v>13783</v>
      </c>
      <c r="X77" s="2" t="s">
        <v>13784</v>
      </c>
      <c r="Y77" s="2" t="s">
        <v>13785</v>
      </c>
      <c r="Z77" s="2" t="s">
        <v>13786</v>
      </c>
      <c r="AA77" s="2" t="s">
        <v>13787</v>
      </c>
      <c r="AB77" s="2" t="s">
        <v>13788</v>
      </c>
      <c r="AC77" s="2" t="s">
        <v>13789</v>
      </c>
      <c r="AD77" s="2" t="s">
        <v>13790</v>
      </c>
      <c r="AE77" s="2" t="s">
        <v>13791</v>
      </c>
      <c r="AF77" s="2" t="s">
        <v>12129</v>
      </c>
      <c r="AG77" s="2">
        <v>58.0</v>
      </c>
      <c r="AH77" s="2">
        <v>93.0</v>
      </c>
      <c r="AI77" s="2">
        <v>104.0</v>
      </c>
      <c r="AJ77" s="2">
        <v>0.0</v>
      </c>
      <c r="AK77" s="2">
        <v>48.0</v>
      </c>
      <c r="AL77" s="2" t="s">
        <v>13792</v>
      </c>
      <c r="AM77" s="2" t="s">
        <v>12295</v>
      </c>
      <c r="AN77" s="2" t="s">
        <v>13793</v>
      </c>
      <c r="AO77" s="2" t="s">
        <v>13794</v>
      </c>
      <c r="AP77" s="2" t="s">
        <v>13795</v>
      </c>
      <c r="AQ77" s="2" t="s">
        <v>12129</v>
      </c>
      <c r="AR77" s="2" t="s">
        <v>13796</v>
      </c>
      <c r="AS77" s="2" t="s">
        <v>13797</v>
      </c>
      <c r="AT77" s="2" t="s">
        <v>13798</v>
      </c>
      <c r="AU77" s="2">
        <v>2014.0</v>
      </c>
      <c r="AV77" s="2">
        <v>71.0</v>
      </c>
      <c r="AW77" s="2">
        <v>7.0</v>
      </c>
      <c r="AX77" s="2" t="s">
        <v>12129</v>
      </c>
      <c r="AY77" s="2" t="s">
        <v>12129</v>
      </c>
      <c r="AZ77" s="2" t="s">
        <v>12129</v>
      </c>
      <c r="BA77" s="2" t="s">
        <v>12129</v>
      </c>
      <c r="BB77" s="2">
        <v>1593.0</v>
      </c>
      <c r="BC77" s="2">
        <v>1603.0</v>
      </c>
      <c r="BD77" s="2" t="s">
        <v>12129</v>
      </c>
      <c r="BE77" s="2" t="s">
        <v>13799</v>
      </c>
      <c r="BF77" s="15" t="str">
        <f>HYPERLINK("http://dx.doi.org/10.1093/icesjms/fst222","http://dx.doi.org/10.1093/icesjms/fst222")</f>
        <v>http://dx.doi.org/10.1093/icesjms/fst222</v>
      </c>
      <c r="BG77" s="2" t="s">
        <v>12129</v>
      </c>
      <c r="BH77" s="2" t="s">
        <v>12129</v>
      </c>
      <c r="BI77" s="2">
        <v>11.0</v>
      </c>
      <c r="BJ77" s="2" t="s">
        <v>13800</v>
      </c>
      <c r="BK77" s="2" t="s">
        <v>12176</v>
      </c>
      <c r="BL77" s="2" t="s">
        <v>13800</v>
      </c>
      <c r="BM77" s="2" t="s">
        <v>13801</v>
      </c>
      <c r="BN77" s="2" t="s">
        <v>12129</v>
      </c>
      <c r="BO77" s="2" t="s">
        <v>12378</v>
      </c>
      <c r="BP77" s="2" t="s">
        <v>12129</v>
      </c>
      <c r="BQ77" s="2" t="s">
        <v>12129</v>
      </c>
      <c r="BR77" s="2" t="s">
        <v>12152</v>
      </c>
      <c r="BS77" s="2" t="s">
        <v>13802</v>
      </c>
      <c r="BT77" s="2" t="str">
        <f>HYPERLINK("https%3A%2F%2Fwww.webofscience.com%2Fwos%2Fwoscc%2Ffull-record%2FWOS:000343315900008","View Full Record in Web of Science")</f>
        <v>View Full Record in Web of Science</v>
      </c>
    </row>
    <row r="78" ht="12.75" customHeight="1">
      <c r="A78" s="2" t="s">
        <v>23</v>
      </c>
      <c r="B78" s="2" t="s">
        <v>13803</v>
      </c>
      <c r="C78" s="2" t="s">
        <v>12129</v>
      </c>
      <c r="D78" s="2" t="s">
        <v>12129</v>
      </c>
      <c r="E78" s="2" t="s">
        <v>12129</v>
      </c>
      <c r="F78" s="2" t="s">
        <v>13804</v>
      </c>
      <c r="G78" s="2" t="s">
        <v>12129</v>
      </c>
      <c r="H78" s="2" t="s">
        <v>12129</v>
      </c>
      <c r="I78" s="2" t="s">
        <v>13805</v>
      </c>
      <c r="J78" s="2" t="s">
        <v>123</v>
      </c>
      <c r="K78" s="2" t="s">
        <v>12129</v>
      </c>
      <c r="L78" s="2" t="s">
        <v>12129</v>
      </c>
      <c r="M78" s="2" t="s">
        <v>3263</v>
      </c>
      <c r="N78" s="2" t="s">
        <v>35</v>
      </c>
      <c r="O78" s="2" t="s">
        <v>12129</v>
      </c>
      <c r="P78" s="2" t="s">
        <v>12129</v>
      </c>
      <c r="Q78" s="2" t="s">
        <v>12129</v>
      </c>
      <c r="R78" s="2" t="s">
        <v>12129</v>
      </c>
      <c r="S78" s="2" t="s">
        <v>12129</v>
      </c>
      <c r="T78" s="2" t="s">
        <v>13806</v>
      </c>
      <c r="U78" s="2" t="s">
        <v>13807</v>
      </c>
      <c r="V78" s="2" t="s">
        <v>13808</v>
      </c>
      <c r="W78" s="2" t="s">
        <v>13809</v>
      </c>
      <c r="X78" s="2" t="s">
        <v>13810</v>
      </c>
      <c r="Y78" s="2" t="s">
        <v>13811</v>
      </c>
      <c r="Z78" s="2" t="s">
        <v>13812</v>
      </c>
      <c r="AA78" s="2" t="s">
        <v>13813</v>
      </c>
      <c r="AB78" s="2" t="s">
        <v>13814</v>
      </c>
      <c r="AC78" s="2" t="s">
        <v>13815</v>
      </c>
      <c r="AD78" s="2" t="s">
        <v>13816</v>
      </c>
      <c r="AE78" s="2" t="s">
        <v>13817</v>
      </c>
      <c r="AF78" s="2" t="s">
        <v>12129</v>
      </c>
      <c r="AG78" s="2">
        <v>65.0</v>
      </c>
      <c r="AH78" s="2">
        <v>39.0</v>
      </c>
      <c r="AI78" s="2">
        <v>44.0</v>
      </c>
      <c r="AJ78" s="2">
        <v>3.0</v>
      </c>
      <c r="AK78" s="2">
        <v>127.0</v>
      </c>
      <c r="AL78" s="2" t="s">
        <v>12243</v>
      </c>
      <c r="AM78" s="2" t="s">
        <v>12244</v>
      </c>
      <c r="AN78" s="2" t="s">
        <v>12245</v>
      </c>
      <c r="AO78" s="2" t="s">
        <v>12908</v>
      </c>
      <c r="AP78" s="2" t="s">
        <v>12909</v>
      </c>
      <c r="AQ78" s="2" t="s">
        <v>12129</v>
      </c>
      <c r="AR78" s="2" t="s">
        <v>12910</v>
      </c>
      <c r="AS78" s="2" t="s">
        <v>12911</v>
      </c>
      <c r="AT78" s="2" t="s">
        <v>12301</v>
      </c>
      <c r="AU78" s="2">
        <v>2014.0</v>
      </c>
      <c r="AV78" s="2">
        <v>59.0</v>
      </c>
      <c r="AW78" s="2">
        <v>8.0</v>
      </c>
      <c r="AX78" s="2" t="s">
        <v>12129</v>
      </c>
      <c r="AY78" s="2" t="s">
        <v>12129</v>
      </c>
      <c r="AZ78" s="2" t="s">
        <v>12129</v>
      </c>
      <c r="BA78" s="2" t="s">
        <v>12129</v>
      </c>
      <c r="BB78" s="2">
        <v>1755.0</v>
      </c>
      <c r="BC78" s="2">
        <v>1767.0</v>
      </c>
      <c r="BD78" s="2" t="s">
        <v>12129</v>
      </c>
      <c r="BE78" s="2" t="s">
        <v>13818</v>
      </c>
      <c r="BF78" s="15" t="str">
        <f>HYPERLINK("http://dx.doi.org/10.1111/fwb.12380","http://dx.doi.org/10.1111/fwb.12380")</f>
        <v>http://dx.doi.org/10.1111/fwb.12380</v>
      </c>
      <c r="BG78" s="2" t="s">
        <v>12129</v>
      </c>
      <c r="BH78" s="2" t="s">
        <v>12129</v>
      </c>
      <c r="BI78" s="2">
        <v>13.0</v>
      </c>
      <c r="BJ78" s="2" t="s">
        <v>127</v>
      </c>
      <c r="BK78" s="2" t="s">
        <v>12176</v>
      </c>
      <c r="BL78" s="2" t="s">
        <v>12303</v>
      </c>
      <c r="BM78" s="2" t="s">
        <v>13819</v>
      </c>
      <c r="BN78" s="2" t="s">
        <v>12129</v>
      </c>
      <c r="BO78" s="2" t="s">
        <v>12129</v>
      </c>
      <c r="BP78" s="2" t="s">
        <v>12129</v>
      </c>
      <c r="BQ78" s="2" t="s">
        <v>12129</v>
      </c>
      <c r="BR78" s="2" t="s">
        <v>12152</v>
      </c>
      <c r="BS78" s="2" t="s">
        <v>13820</v>
      </c>
      <c r="BT78" s="2" t="str">
        <f>HYPERLINK("https%3A%2F%2Fwww.webofscience.com%2Fwos%2Fwoscc%2Ffull-record%2FWOS:000339385100016","View Full Record in Web of Science")</f>
        <v>View Full Record in Web of Science</v>
      </c>
    </row>
    <row r="79" ht="12.75" customHeight="1">
      <c r="A79" s="2" t="s">
        <v>23</v>
      </c>
      <c r="B79" s="2" t="s">
        <v>13821</v>
      </c>
      <c r="C79" s="2" t="s">
        <v>12129</v>
      </c>
      <c r="D79" s="2" t="s">
        <v>12129</v>
      </c>
      <c r="E79" s="2" t="s">
        <v>12129</v>
      </c>
      <c r="F79" s="2" t="s">
        <v>13822</v>
      </c>
      <c r="G79" s="2" t="s">
        <v>12129</v>
      </c>
      <c r="H79" s="2" t="s">
        <v>12129</v>
      </c>
      <c r="I79" s="2" t="s">
        <v>13823</v>
      </c>
      <c r="J79" s="2" t="s">
        <v>771</v>
      </c>
      <c r="K79" s="2" t="s">
        <v>12129</v>
      </c>
      <c r="L79" s="2" t="s">
        <v>12129</v>
      </c>
      <c r="M79" s="2" t="s">
        <v>3263</v>
      </c>
      <c r="N79" s="2" t="s">
        <v>35</v>
      </c>
      <c r="O79" s="2" t="s">
        <v>12129</v>
      </c>
      <c r="P79" s="2" t="s">
        <v>12129</v>
      </c>
      <c r="Q79" s="2" t="s">
        <v>12129</v>
      </c>
      <c r="R79" s="2" t="s">
        <v>12129</v>
      </c>
      <c r="S79" s="2" t="s">
        <v>12129</v>
      </c>
      <c r="T79" s="2" t="s">
        <v>13824</v>
      </c>
      <c r="U79" s="2" t="s">
        <v>13825</v>
      </c>
      <c r="V79" s="2" t="s">
        <v>13826</v>
      </c>
      <c r="W79" s="2" t="s">
        <v>13827</v>
      </c>
      <c r="X79" s="2" t="s">
        <v>13828</v>
      </c>
      <c r="Y79" s="2" t="s">
        <v>13829</v>
      </c>
      <c r="Z79" s="2" t="s">
        <v>13830</v>
      </c>
      <c r="AA79" s="2" t="s">
        <v>13831</v>
      </c>
      <c r="AB79" s="2" t="s">
        <v>12129</v>
      </c>
      <c r="AC79" s="2" t="s">
        <v>13832</v>
      </c>
      <c r="AD79" s="2" t="s">
        <v>12129</v>
      </c>
      <c r="AE79" s="2" t="s">
        <v>13833</v>
      </c>
      <c r="AF79" s="2" t="s">
        <v>12129</v>
      </c>
      <c r="AG79" s="2">
        <v>88.0</v>
      </c>
      <c r="AH79" s="2">
        <v>84.0</v>
      </c>
      <c r="AI79" s="2">
        <v>93.0</v>
      </c>
      <c r="AJ79" s="2">
        <v>5.0</v>
      </c>
      <c r="AK79" s="2">
        <v>203.0</v>
      </c>
      <c r="AL79" s="2" t="s">
        <v>12243</v>
      </c>
      <c r="AM79" s="2" t="s">
        <v>12244</v>
      </c>
      <c r="AN79" s="2" t="s">
        <v>12245</v>
      </c>
      <c r="AO79" s="2" t="s">
        <v>12783</v>
      </c>
      <c r="AP79" s="2" t="s">
        <v>12784</v>
      </c>
      <c r="AQ79" s="2" t="s">
        <v>12129</v>
      </c>
      <c r="AR79" s="2" t="s">
        <v>12785</v>
      </c>
      <c r="AS79" s="2" t="s">
        <v>12786</v>
      </c>
      <c r="AT79" s="2" t="s">
        <v>12301</v>
      </c>
      <c r="AU79" s="2">
        <v>2014.0</v>
      </c>
      <c r="AV79" s="2">
        <v>20.0</v>
      </c>
      <c r="AW79" s="2">
        <v>8.0</v>
      </c>
      <c r="AX79" s="2" t="s">
        <v>12129</v>
      </c>
      <c r="AY79" s="2" t="s">
        <v>12129</v>
      </c>
      <c r="AZ79" s="2" t="s">
        <v>12129</v>
      </c>
      <c r="BA79" s="2" t="s">
        <v>12129</v>
      </c>
      <c r="BB79" s="2">
        <v>2596.0</v>
      </c>
      <c r="BC79" s="2">
        <v>2606.0</v>
      </c>
      <c r="BD79" s="2" t="s">
        <v>12129</v>
      </c>
      <c r="BE79" s="2" t="s">
        <v>13834</v>
      </c>
      <c r="BF79" s="15" t="str">
        <f>HYPERLINK("http://dx.doi.org/10.1111/gcb.12588","http://dx.doi.org/10.1111/gcb.12588")</f>
        <v>http://dx.doi.org/10.1111/gcb.12588</v>
      </c>
      <c r="BG79" s="2" t="s">
        <v>12129</v>
      </c>
      <c r="BH79" s="2" t="s">
        <v>12129</v>
      </c>
      <c r="BI79" s="2">
        <v>11.0</v>
      </c>
      <c r="BJ79" s="2" t="s">
        <v>252</v>
      </c>
      <c r="BK79" s="2" t="s">
        <v>12176</v>
      </c>
      <c r="BL79" s="2" t="s">
        <v>12376</v>
      </c>
      <c r="BM79" s="2" t="s">
        <v>13835</v>
      </c>
      <c r="BN79" s="2">
        <v>2.4687944E7</v>
      </c>
      <c r="BO79" s="2" t="s">
        <v>12129</v>
      </c>
      <c r="BP79" s="2" t="s">
        <v>12129</v>
      </c>
      <c r="BQ79" s="2" t="s">
        <v>12129</v>
      </c>
      <c r="BR79" s="2" t="s">
        <v>12152</v>
      </c>
      <c r="BS79" s="2" t="s">
        <v>13836</v>
      </c>
      <c r="BT79" s="2" t="str">
        <f>HYPERLINK("https%3A%2F%2Fwww.webofscience.com%2Fwos%2Fwoscc%2Ffull-record%2FWOS:000339100200021","View Full Record in Web of Science")</f>
        <v>View Full Record in Web of Science</v>
      </c>
    </row>
    <row r="80" ht="12.75" customHeight="1">
      <c r="A80" s="2" t="s">
        <v>23</v>
      </c>
      <c r="B80" s="2" t="s">
        <v>13837</v>
      </c>
      <c r="C80" s="2" t="s">
        <v>12129</v>
      </c>
      <c r="D80" s="2" t="s">
        <v>12129</v>
      </c>
      <c r="E80" s="2" t="s">
        <v>12129</v>
      </c>
      <c r="F80" s="2" t="s">
        <v>13838</v>
      </c>
      <c r="G80" s="2" t="s">
        <v>12129</v>
      </c>
      <c r="H80" s="2" t="s">
        <v>12129</v>
      </c>
      <c r="I80" s="2" t="s">
        <v>13839</v>
      </c>
      <c r="J80" s="2" t="s">
        <v>123</v>
      </c>
      <c r="K80" s="2" t="s">
        <v>12129</v>
      </c>
      <c r="L80" s="2" t="s">
        <v>12129</v>
      </c>
      <c r="M80" s="2" t="s">
        <v>3263</v>
      </c>
      <c r="N80" s="2" t="s">
        <v>35</v>
      </c>
      <c r="O80" s="2" t="s">
        <v>12129</v>
      </c>
      <c r="P80" s="2" t="s">
        <v>12129</v>
      </c>
      <c r="Q80" s="2" t="s">
        <v>12129</v>
      </c>
      <c r="R80" s="2" t="s">
        <v>12129</v>
      </c>
      <c r="S80" s="2" t="s">
        <v>12129</v>
      </c>
      <c r="T80" s="2" t="s">
        <v>13840</v>
      </c>
      <c r="U80" s="2" t="s">
        <v>13841</v>
      </c>
      <c r="V80" s="2" t="s">
        <v>13842</v>
      </c>
      <c r="W80" s="2" t="s">
        <v>13843</v>
      </c>
      <c r="X80" s="2" t="s">
        <v>13844</v>
      </c>
      <c r="Y80" s="2" t="s">
        <v>13845</v>
      </c>
      <c r="Z80" s="2" t="s">
        <v>13846</v>
      </c>
      <c r="AA80" s="2" t="s">
        <v>13847</v>
      </c>
      <c r="AB80" s="2" t="s">
        <v>13848</v>
      </c>
      <c r="AC80" s="2" t="s">
        <v>12129</v>
      </c>
      <c r="AD80" s="2" t="s">
        <v>12129</v>
      </c>
      <c r="AE80" s="2" t="s">
        <v>12129</v>
      </c>
      <c r="AF80" s="2" t="s">
        <v>12129</v>
      </c>
      <c r="AG80" s="2">
        <v>54.0</v>
      </c>
      <c r="AH80" s="2">
        <v>19.0</v>
      </c>
      <c r="AI80" s="2">
        <v>24.0</v>
      </c>
      <c r="AJ80" s="2">
        <v>2.0</v>
      </c>
      <c r="AK80" s="2">
        <v>108.0</v>
      </c>
      <c r="AL80" s="2" t="s">
        <v>12243</v>
      </c>
      <c r="AM80" s="2" t="s">
        <v>12244</v>
      </c>
      <c r="AN80" s="2" t="s">
        <v>12245</v>
      </c>
      <c r="AO80" s="2" t="s">
        <v>12908</v>
      </c>
      <c r="AP80" s="2" t="s">
        <v>12909</v>
      </c>
      <c r="AQ80" s="2" t="s">
        <v>12129</v>
      </c>
      <c r="AR80" s="2" t="s">
        <v>12910</v>
      </c>
      <c r="AS80" s="2" t="s">
        <v>12911</v>
      </c>
      <c r="AT80" s="2" t="s">
        <v>12352</v>
      </c>
      <c r="AU80" s="2">
        <v>2014.0</v>
      </c>
      <c r="AV80" s="2">
        <v>59.0</v>
      </c>
      <c r="AW80" s="2">
        <v>7.0</v>
      </c>
      <c r="AX80" s="2" t="s">
        <v>12129</v>
      </c>
      <c r="AY80" s="2" t="s">
        <v>12129</v>
      </c>
      <c r="AZ80" s="2" t="s">
        <v>12129</v>
      </c>
      <c r="BA80" s="2" t="s">
        <v>12129</v>
      </c>
      <c r="BB80" s="2">
        <v>1389.0</v>
      </c>
      <c r="BC80" s="2">
        <v>1405.0</v>
      </c>
      <c r="BD80" s="2" t="s">
        <v>12129</v>
      </c>
      <c r="BE80" s="2" t="s">
        <v>13849</v>
      </c>
      <c r="BF80" s="15" t="str">
        <f>HYPERLINK("http://dx.doi.org/10.1111/fwb.12353","http://dx.doi.org/10.1111/fwb.12353")</f>
        <v>http://dx.doi.org/10.1111/fwb.12353</v>
      </c>
      <c r="BG80" s="2" t="s">
        <v>12129</v>
      </c>
      <c r="BH80" s="2" t="s">
        <v>12129</v>
      </c>
      <c r="BI80" s="2">
        <v>17.0</v>
      </c>
      <c r="BJ80" s="2" t="s">
        <v>127</v>
      </c>
      <c r="BK80" s="2" t="s">
        <v>12176</v>
      </c>
      <c r="BL80" s="2" t="s">
        <v>12303</v>
      </c>
      <c r="BM80" s="2" t="s">
        <v>13850</v>
      </c>
      <c r="BN80" s="2" t="s">
        <v>12129</v>
      </c>
      <c r="BO80" s="2" t="s">
        <v>12538</v>
      </c>
      <c r="BP80" s="2" t="s">
        <v>12129</v>
      </c>
      <c r="BQ80" s="2" t="s">
        <v>12129</v>
      </c>
      <c r="BR80" s="2" t="s">
        <v>12152</v>
      </c>
      <c r="BS80" s="2" t="s">
        <v>13851</v>
      </c>
      <c r="BT80" s="2" t="str">
        <f>HYPERLINK("https%3A%2F%2Fwww.webofscience.com%2Fwos%2Fwoscc%2Ffull-record%2FWOS:000337528600004","View Full Record in Web of Science")</f>
        <v>View Full Record in Web of Science</v>
      </c>
    </row>
    <row r="81" ht="12.75" customHeight="1">
      <c r="A81" s="2" t="s">
        <v>23</v>
      </c>
      <c r="B81" s="2" t="s">
        <v>13852</v>
      </c>
      <c r="C81" s="2" t="s">
        <v>12129</v>
      </c>
      <c r="D81" s="2" t="s">
        <v>12129</v>
      </c>
      <c r="E81" s="2" t="s">
        <v>12129</v>
      </c>
      <c r="F81" s="2" t="s">
        <v>13853</v>
      </c>
      <c r="G81" s="2" t="s">
        <v>12129</v>
      </c>
      <c r="H81" s="2" t="s">
        <v>12129</v>
      </c>
      <c r="I81" s="2" t="s">
        <v>13854</v>
      </c>
      <c r="J81" s="2" t="s">
        <v>13855</v>
      </c>
      <c r="K81" s="2" t="s">
        <v>12129</v>
      </c>
      <c r="L81" s="2" t="s">
        <v>12129</v>
      </c>
      <c r="M81" s="2" t="s">
        <v>3263</v>
      </c>
      <c r="N81" s="2" t="s">
        <v>35</v>
      </c>
      <c r="O81" s="2" t="s">
        <v>12129</v>
      </c>
      <c r="P81" s="2" t="s">
        <v>12129</v>
      </c>
      <c r="Q81" s="2" t="s">
        <v>12129</v>
      </c>
      <c r="R81" s="2" t="s">
        <v>12129</v>
      </c>
      <c r="S81" s="2" t="s">
        <v>12129</v>
      </c>
      <c r="T81" s="2" t="s">
        <v>13856</v>
      </c>
      <c r="U81" s="2" t="s">
        <v>13857</v>
      </c>
      <c r="V81" s="2" t="s">
        <v>13858</v>
      </c>
      <c r="W81" s="2" t="s">
        <v>13859</v>
      </c>
      <c r="X81" s="2" t="s">
        <v>13860</v>
      </c>
      <c r="Y81" s="2" t="s">
        <v>13861</v>
      </c>
      <c r="Z81" s="2" t="s">
        <v>13862</v>
      </c>
      <c r="AA81" s="2" t="s">
        <v>13863</v>
      </c>
      <c r="AB81" s="2" t="s">
        <v>13864</v>
      </c>
      <c r="AC81" s="2" t="s">
        <v>13865</v>
      </c>
      <c r="AD81" s="2" t="s">
        <v>13866</v>
      </c>
      <c r="AE81" s="2" t="s">
        <v>13867</v>
      </c>
      <c r="AF81" s="2" t="s">
        <v>12129</v>
      </c>
      <c r="AG81" s="2">
        <v>64.0</v>
      </c>
      <c r="AH81" s="2">
        <v>563.0</v>
      </c>
      <c r="AI81" s="2">
        <v>707.0</v>
      </c>
      <c r="AJ81" s="2">
        <v>24.0</v>
      </c>
      <c r="AK81" s="2">
        <v>1274.0</v>
      </c>
      <c r="AL81" s="2" t="s">
        <v>12930</v>
      </c>
      <c r="AM81" s="2" t="s">
        <v>12270</v>
      </c>
      <c r="AN81" s="2" t="s">
        <v>12931</v>
      </c>
      <c r="AO81" s="2" t="s">
        <v>13868</v>
      </c>
      <c r="AP81" s="2" t="s">
        <v>13869</v>
      </c>
      <c r="AQ81" s="2" t="s">
        <v>12129</v>
      </c>
      <c r="AR81" s="2" t="s">
        <v>13870</v>
      </c>
      <c r="AS81" s="2" t="s">
        <v>13871</v>
      </c>
      <c r="AT81" s="2" t="s">
        <v>13872</v>
      </c>
      <c r="AU81" s="2">
        <v>2014.0</v>
      </c>
      <c r="AV81" s="2">
        <v>189.0</v>
      </c>
      <c r="AW81" s="2" t="s">
        <v>12129</v>
      </c>
      <c r="AX81" s="2" t="s">
        <v>12129</v>
      </c>
      <c r="AY81" s="2" t="s">
        <v>12129</v>
      </c>
      <c r="AZ81" s="2" t="s">
        <v>12129</v>
      </c>
      <c r="BA81" s="2" t="s">
        <v>12129</v>
      </c>
      <c r="BB81" s="2">
        <v>11.0</v>
      </c>
      <c r="BC81" s="2">
        <v>18.0</v>
      </c>
      <c r="BD81" s="2" t="s">
        <v>12129</v>
      </c>
      <c r="BE81" s="2" t="s">
        <v>13873</v>
      </c>
      <c r="BF81" s="15" t="str">
        <f>HYPERLINK("http://dx.doi.org/10.1016/j.agrformet.2014.01.002","http://dx.doi.org/10.1016/j.agrformet.2014.01.002")</f>
        <v>http://dx.doi.org/10.1016/j.agrformet.2014.01.002</v>
      </c>
      <c r="BG81" s="2" t="s">
        <v>12129</v>
      </c>
      <c r="BH81" s="2" t="s">
        <v>12129</v>
      </c>
      <c r="BI81" s="2">
        <v>8.0</v>
      </c>
      <c r="BJ81" s="2" t="s">
        <v>13874</v>
      </c>
      <c r="BK81" s="2" t="s">
        <v>12176</v>
      </c>
      <c r="BL81" s="2" t="s">
        <v>13875</v>
      </c>
      <c r="BM81" s="2" t="s">
        <v>13876</v>
      </c>
      <c r="BN81" s="2" t="s">
        <v>12129</v>
      </c>
      <c r="BO81" s="2" t="s">
        <v>12129</v>
      </c>
      <c r="BP81" s="2" t="s">
        <v>12129</v>
      </c>
      <c r="BQ81" s="2" t="s">
        <v>12129</v>
      </c>
      <c r="BR81" s="2" t="s">
        <v>12152</v>
      </c>
      <c r="BS81" s="2" t="s">
        <v>13877</v>
      </c>
      <c r="BT81" s="2" t="str">
        <f>HYPERLINK("https%3A%2F%2Fwww.webofscience.com%2Fwos%2Fwoscc%2Ffull-record%2FWOS:000333852900003","View Full Record in Web of Science")</f>
        <v>View Full Record in Web of Science</v>
      </c>
    </row>
    <row r="82" ht="12.75" customHeight="1">
      <c r="A82" s="2" t="s">
        <v>23</v>
      </c>
      <c r="B82" s="2" t="s">
        <v>13878</v>
      </c>
      <c r="C82" s="2" t="s">
        <v>12129</v>
      </c>
      <c r="D82" s="2" t="s">
        <v>12129</v>
      </c>
      <c r="E82" s="2" t="s">
        <v>12129</v>
      </c>
      <c r="F82" s="2" t="s">
        <v>13879</v>
      </c>
      <c r="G82" s="2" t="s">
        <v>12129</v>
      </c>
      <c r="H82" s="2" t="s">
        <v>12129</v>
      </c>
      <c r="I82" s="2" t="s">
        <v>13880</v>
      </c>
      <c r="J82" s="2" t="s">
        <v>465</v>
      </c>
      <c r="K82" s="2" t="s">
        <v>12129</v>
      </c>
      <c r="L82" s="2" t="s">
        <v>12129</v>
      </c>
      <c r="M82" s="2" t="s">
        <v>3263</v>
      </c>
      <c r="N82" s="2" t="s">
        <v>35</v>
      </c>
      <c r="O82" s="2" t="s">
        <v>12129</v>
      </c>
      <c r="P82" s="2" t="s">
        <v>12129</v>
      </c>
      <c r="Q82" s="2" t="s">
        <v>12129</v>
      </c>
      <c r="R82" s="2" t="s">
        <v>12129</v>
      </c>
      <c r="S82" s="2" t="s">
        <v>12129</v>
      </c>
      <c r="T82" s="2" t="s">
        <v>13881</v>
      </c>
      <c r="U82" s="2" t="s">
        <v>13882</v>
      </c>
      <c r="V82" s="2" t="s">
        <v>13883</v>
      </c>
      <c r="W82" s="2" t="s">
        <v>13884</v>
      </c>
      <c r="X82" s="2" t="s">
        <v>13885</v>
      </c>
      <c r="Y82" s="2" t="s">
        <v>13886</v>
      </c>
      <c r="Z82" s="2" t="s">
        <v>13887</v>
      </c>
      <c r="AA82" s="2" t="s">
        <v>13888</v>
      </c>
      <c r="AB82" s="2" t="s">
        <v>13889</v>
      </c>
      <c r="AC82" s="2" t="s">
        <v>13890</v>
      </c>
      <c r="AD82" s="2" t="s">
        <v>13891</v>
      </c>
      <c r="AE82" s="2" t="s">
        <v>13892</v>
      </c>
      <c r="AF82" s="2" t="s">
        <v>12129</v>
      </c>
      <c r="AG82" s="2">
        <v>63.0</v>
      </c>
      <c r="AH82" s="2">
        <v>32.0</v>
      </c>
      <c r="AI82" s="2">
        <v>43.0</v>
      </c>
      <c r="AJ82" s="2">
        <v>3.0</v>
      </c>
      <c r="AK82" s="2">
        <v>82.0</v>
      </c>
      <c r="AL82" s="2" t="s">
        <v>13893</v>
      </c>
      <c r="AM82" s="2" t="s">
        <v>13894</v>
      </c>
      <c r="AN82" s="2" t="s">
        <v>13895</v>
      </c>
      <c r="AO82" s="2" t="s">
        <v>13896</v>
      </c>
      <c r="AP82" s="2" t="s">
        <v>13897</v>
      </c>
      <c r="AQ82" s="2" t="s">
        <v>12129</v>
      </c>
      <c r="AR82" s="2" t="s">
        <v>13898</v>
      </c>
      <c r="AS82" s="2" t="s">
        <v>13899</v>
      </c>
      <c r="AT82" s="2" t="s">
        <v>12561</v>
      </c>
      <c r="AU82" s="2">
        <v>2014.0</v>
      </c>
      <c r="AV82" s="2">
        <v>225.0</v>
      </c>
      <c r="AW82" s="2">
        <v>4.0</v>
      </c>
      <c r="AX82" s="2" t="s">
        <v>12129</v>
      </c>
      <c r="AY82" s="2" t="s">
        <v>12129</v>
      </c>
      <c r="AZ82" s="2" t="s">
        <v>12129</v>
      </c>
      <c r="BA82" s="2" t="s">
        <v>12129</v>
      </c>
      <c r="BB82" s="2" t="s">
        <v>12129</v>
      </c>
      <c r="BC82" s="2" t="s">
        <v>12129</v>
      </c>
      <c r="BD82" s="2">
        <v>1925.0</v>
      </c>
      <c r="BE82" s="2" t="s">
        <v>13900</v>
      </c>
      <c r="BF82" s="15" t="str">
        <f>HYPERLINK("http://dx.doi.org/10.1007/s11270-014-1925-x","http://dx.doi.org/10.1007/s11270-014-1925-x")</f>
        <v>http://dx.doi.org/10.1007/s11270-014-1925-x</v>
      </c>
      <c r="BG82" s="2" t="s">
        <v>12129</v>
      </c>
      <c r="BH82" s="2" t="s">
        <v>12129</v>
      </c>
      <c r="BI82" s="2">
        <v>15.0</v>
      </c>
      <c r="BJ82" s="2" t="s">
        <v>469</v>
      </c>
      <c r="BK82" s="2" t="s">
        <v>12176</v>
      </c>
      <c r="BL82" s="2" t="s">
        <v>13901</v>
      </c>
      <c r="BM82" s="2" t="s">
        <v>13902</v>
      </c>
      <c r="BN82" s="2" t="s">
        <v>12129</v>
      </c>
      <c r="BO82" s="2" t="s">
        <v>12129</v>
      </c>
      <c r="BP82" s="2" t="s">
        <v>12129</v>
      </c>
      <c r="BQ82" s="2" t="s">
        <v>12129</v>
      </c>
      <c r="BR82" s="2" t="s">
        <v>12152</v>
      </c>
      <c r="BS82" s="2" t="s">
        <v>13903</v>
      </c>
      <c r="BT82" s="2" t="str">
        <f>HYPERLINK("https%3A%2F%2Fwww.webofscience.com%2Fwos%2Fwoscc%2Ffull-record%2FWOS:000334578300016","View Full Record in Web of Science")</f>
        <v>View Full Record in Web of Science</v>
      </c>
    </row>
    <row r="83" ht="12.75" customHeight="1">
      <c r="A83" s="2" t="s">
        <v>23</v>
      </c>
      <c r="B83" s="2" t="s">
        <v>13904</v>
      </c>
      <c r="C83" s="2" t="s">
        <v>12129</v>
      </c>
      <c r="D83" s="2" t="s">
        <v>12129</v>
      </c>
      <c r="E83" s="2" t="s">
        <v>12129</v>
      </c>
      <c r="F83" s="2" t="s">
        <v>13905</v>
      </c>
      <c r="G83" s="2" t="s">
        <v>12129</v>
      </c>
      <c r="H83" s="2" t="s">
        <v>12129</v>
      </c>
      <c r="I83" s="2" t="s">
        <v>13906</v>
      </c>
      <c r="J83" s="2" t="s">
        <v>61</v>
      </c>
      <c r="K83" s="2" t="s">
        <v>12129</v>
      </c>
      <c r="L83" s="2" t="s">
        <v>12129</v>
      </c>
      <c r="M83" s="2" t="s">
        <v>3263</v>
      </c>
      <c r="N83" s="2" t="s">
        <v>35</v>
      </c>
      <c r="O83" s="2" t="s">
        <v>12129</v>
      </c>
      <c r="P83" s="2" t="s">
        <v>12129</v>
      </c>
      <c r="Q83" s="2" t="s">
        <v>12129</v>
      </c>
      <c r="R83" s="2" t="s">
        <v>12129</v>
      </c>
      <c r="S83" s="2" t="s">
        <v>12129</v>
      </c>
      <c r="T83" s="2" t="s">
        <v>13907</v>
      </c>
      <c r="U83" s="2" t="s">
        <v>13908</v>
      </c>
      <c r="V83" s="2" t="s">
        <v>13909</v>
      </c>
      <c r="W83" s="2" t="s">
        <v>13910</v>
      </c>
      <c r="X83" s="2" t="s">
        <v>13911</v>
      </c>
      <c r="Y83" s="2" t="s">
        <v>13912</v>
      </c>
      <c r="Z83" s="2" t="s">
        <v>13913</v>
      </c>
      <c r="AA83" s="2" t="s">
        <v>13914</v>
      </c>
      <c r="AB83" s="2" t="s">
        <v>13915</v>
      </c>
      <c r="AC83" s="2" t="s">
        <v>13916</v>
      </c>
      <c r="AD83" s="2" t="s">
        <v>12502</v>
      </c>
      <c r="AE83" s="2" t="s">
        <v>13917</v>
      </c>
      <c r="AF83" s="2" t="s">
        <v>12129</v>
      </c>
      <c r="AG83" s="2">
        <v>42.0</v>
      </c>
      <c r="AH83" s="2">
        <v>144.0</v>
      </c>
      <c r="AI83" s="2">
        <v>168.0</v>
      </c>
      <c r="AJ83" s="2">
        <v>6.0</v>
      </c>
      <c r="AK83" s="2">
        <v>262.0</v>
      </c>
      <c r="AL83" s="2" t="s">
        <v>12269</v>
      </c>
      <c r="AM83" s="2" t="s">
        <v>12270</v>
      </c>
      <c r="AN83" s="2" t="s">
        <v>12271</v>
      </c>
      <c r="AO83" s="2" t="s">
        <v>6141</v>
      </c>
      <c r="AP83" s="2" t="s">
        <v>12932</v>
      </c>
      <c r="AQ83" s="2" t="s">
        <v>12129</v>
      </c>
      <c r="AR83" s="2" t="s">
        <v>12933</v>
      </c>
      <c r="AS83" s="2" t="s">
        <v>12934</v>
      </c>
      <c r="AT83" s="2" t="s">
        <v>13918</v>
      </c>
      <c r="AU83" s="2">
        <v>2014.0</v>
      </c>
      <c r="AV83" s="2">
        <v>472.0</v>
      </c>
      <c r="AW83" s="2" t="s">
        <v>12129</v>
      </c>
      <c r="AX83" s="2" t="s">
        <v>12129</v>
      </c>
      <c r="AY83" s="2" t="s">
        <v>12129</v>
      </c>
      <c r="AZ83" s="2" t="s">
        <v>12129</v>
      </c>
      <c r="BA83" s="2" t="s">
        <v>12129</v>
      </c>
      <c r="BB83" s="2">
        <v>397.0</v>
      </c>
      <c r="BC83" s="2">
        <v>406.0</v>
      </c>
      <c r="BD83" s="2" t="s">
        <v>12129</v>
      </c>
      <c r="BE83" s="2" t="s">
        <v>13919</v>
      </c>
      <c r="BF83" s="15" t="str">
        <f>HYPERLINK("http://dx.doi.org/10.1016/j.scitotenv.2013.10.128","http://dx.doi.org/10.1016/j.scitotenv.2013.10.128")</f>
        <v>http://dx.doi.org/10.1016/j.scitotenv.2013.10.128</v>
      </c>
      <c r="BG83" s="2" t="s">
        <v>12129</v>
      </c>
      <c r="BH83" s="2" t="s">
        <v>12129</v>
      </c>
      <c r="BI83" s="2">
        <v>10.0</v>
      </c>
      <c r="BJ83" s="2" t="s">
        <v>65</v>
      </c>
      <c r="BK83" s="2" t="s">
        <v>12176</v>
      </c>
      <c r="BL83" s="2" t="s">
        <v>12251</v>
      </c>
      <c r="BM83" s="2" t="s">
        <v>13920</v>
      </c>
      <c r="BN83" s="2">
        <v>2.4295756E7</v>
      </c>
      <c r="BO83" s="2" t="s">
        <v>12129</v>
      </c>
      <c r="BP83" s="2" t="s">
        <v>12129</v>
      </c>
      <c r="BQ83" s="2" t="s">
        <v>12129</v>
      </c>
      <c r="BR83" s="2" t="s">
        <v>12152</v>
      </c>
      <c r="BS83" s="2" t="s">
        <v>13921</v>
      </c>
      <c r="BT83" s="2" t="str">
        <f>HYPERLINK("https%3A%2F%2Fwww.webofscience.com%2Fwos%2Fwoscc%2Ffull-record%2FWOS:000331916100047","View Full Record in Web of Science")</f>
        <v>View Full Record in Web of Science</v>
      </c>
    </row>
    <row r="84" ht="12.75" customHeight="1">
      <c r="A84" s="2" t="s">
        <v>23</v>
      </c>
      <c r="B84" s="2" t="s">
        <v>13922</v>
      </c>
      <c r="C84" s="2" t="s">
        <v>12129</v>
      </c>
      <c r="D84" s="2" t="s">
        <v>12129</v>
      </c>
      <c r="E84" s="2" t="s">
        <v>12129</v>
      </c>
      <c r="F84" s="2" t="s">
        <v>13923</v>
      </c>
      <c r="G84" s="2" t="s">
        <v>12129</v>
      </c>
      <c r="H84" s="2" t="s">
        <v>12129</v>
      </c>
      <c r="I84" s="2" t="s">
        <v>13924</v>
      </c>
      <c r="J84" s="2" t="s">
        <v>13925</v>
      </c>
      <c r="K84" s="2" t="s">
        <v>12129</v>
      </c>
      <c r="L84" s="2" t="s">
        <v>12129</v>
      </c>
      <c r="M84" s="2" t="s">
        <v>3263</v>
      </c>
      <c r="N84" s="2" t="s">
        <v>35</v>
      </c>
      <c r="O84" s="2" t="s">
        <v>12129</v>
      </c>
      <c r="P84" s="2" t="s">
        <v>12129</v>
      </c>
      <c r="Q84" s="2" t="s">
        <v>12129</v>
      </c>
      <c r="R84" s="2" t="s">
        <v>12129</v>
      </c>
      <c r="S84" s="2" t="s">
        <v>12129</v>
      </c>
      <c r="T84" s="2" t="s">
        <v>13926</v>
      </c>
      <c r="U84" s="2" t="s">
        <v>13927</v>
      </c>
      <c r="V84" s="2" t="s">
        <v>13928</v>
      </c>
      <c r="W84" s="2" t="s">
        <v>13929</v>
      </c>
      <c r="X84" s="2" t="s">
        <v>13930</v>
      </c>
      <c r="Y84" s="2" t="s">
        <v>13931</v>
      </c>
      <c r="Z84" s="2" t="s">
        <v>13932</v>
      </c>
      <c r="AA84" s="2" t="s">
        <v>13933</v>
      </c>
      <c r="AB84" s="2" t="s">
        <v>13934</v>
      </c>
      <c r="AC84" s="2" t="s">
        <v>13935</v>
      </c>
      <c r="AD84" s="2" t="s">
        <v>13935</v>
      </c>
      <c r="AE84" s="2" t="s">
        <v>13936</v>
      </c>
      <c r="AF84" s="2" t="s">
        <v>12129</v>
      </c>
      <c r="AG84" s="2">
        <v>69.0</v>
      </c>
      <c r="AH84" s="2">
        <v>28.0</v>
      </c>
      <c r="AI84" s="2">
        <v>29.0</v>
      </c>
      <c r="AJ84" s="2">
        <v>0.0</v>
      </c>
      <c r="AK84" s="2">
        <v>85.0</v>
      </c>
      <c r="AL84" s="2" t="s">
        <v>12269</v>
      </c>
      <c r="AM84" s="2" t="s">
        <v>12270</v>
      </c>
      <c r="AN84" s="2" t="s">
        <v>12271</v>
      </c>
      <c r="AO84" s="2" t="s">
        <v>13937</v>
      </c>
      <c r="AP84" s="2" t="s">
        <v>13938</v>
      </c>
      <c r="AQ84" s="2" t="s">
        <v>12129</v>
      </c>
      <c r="AR84" s="2" t="s">
        <v>13939</v>
      </c>
      <c r="AS84" s="2" t="s">
        <v>13940</v>
      </c>
      <c r="AT84" s="2" t="s">
        <v>13941</v>
      </c>
      <c r="AU84" s="2">
        <v>2014.0</v>
      </c>
      <c r="AV84" s="2">
        <v>273.0</v>
      </c>
      <c r="AW84" s="2" t="s">
        <v>12129</v>
      </c>
      <c r="AX84" s="2" t="s">
        <v>12129</v>
      </c>
      <c r="AY84" s="2" t="s">
        <v>12129</v>
      </c>
      <c r="AZ84" s="2" t="s">
        <v>12129</v>
      </c>
      <c r="BA84" s="2" t="s">
        <v>12129</v>
      </c>
      <c r="BB84" s="2">
        <v>140.0</v>
      </c>
      <c r="BC84" s="2">
        <v>150.0</v>
      </c>
      <c r="BD84" s="2" t="s">
        <v>12129</v>
      </c>
      <c r="BE84" s="2" t="s">
        <v>13942</v>
      </c>
      <c r="BF84" s="15" t="str">
        <f>HYPERLINK("http://dx.doi.org/10.1016/j.ecolmodel.2013.11.004","http://dx.doi.org/10.1016/j.ecolmodel.2013.11.004")</f>
        <v>http://dx.doi.org/10.1016/j.ecolmodel.2013.11.004</v>
      </c>
      <c r="BG84" s="2" t="s">
        <v>12129</v>
      </c>
      <c r="BH84" s="2" t="s">
        <v>12129</v>
      </c>
      <c r="BI84" s="2">
        <v>11.0</v>
      </c>
      <c r="BJ84" s="2" t="s">
        <v>814</v>
      </c>
      <c r="BK84" s="2" t="s">
        <v>12176</v>
      </c>
      <c r="BL84" s="2" t="s">
        <v>12251</v>
      </c>
      <c r="BM84" s="2" t="s">
        <v>13943</v>
      </c>
      <c r="BN84" s="2" t="s">
        <v>12129</v>
      </c>
      <c r="BO84" s="2" t="s">
        <v>12129</v>
      </c>
      <c r="BP84" s="2" t="s">
        <v>12129</v>
      </c>
      <c r="BQ84" s="2" t="s">
        <v>12129</v>
      </c>
      <c r="BR84" s="2" t="s">
        <v>12152</v>
      </c>
      <c r="BS84" s="2" t="s">
        <v>13944</v>
      </c>
      <c r="BT84" s="2" t="str">
        <f>HYPERLINK("https%3A%2F%2Fwww.webofscience.com%2Fwos%2Fwoscc%2Ffull-record%2FWOS:000331673800014","View Full Record in Web of Science")</f>
        <v>View Full Record in Web of Science</v>
      </c>
    </row>
    <row r="85" ht="12.75" customHeight="1">
      <c r="A85" s="2" t="s">
        <v>23</v>
      </c>
      <c r="B85" s="2" t="s">
        <v>13945</v>
      </c>
      <c r="C85" s="2" t="s">
        <v>12129</v>
      </c>
      <c r="D85" s="2" t="s">
        <v>12129</v>
      </c>
      <c r="E85" s="2" t="s">
        <v>12129</v>
      </c>
      <c r="F85" s="2" t="s">
        <v>13946</v>
      </c>
      <c r="G85" s="2" t="s">
        <v>12129</v>
      </c>
      <c r="H85" s="2" t="s">
        <v>12129</v>
      </c>
      <c r="I85" s="2" t="s">
        <v>13947</v>
      </c>
      <c r="J85" s="2" t="s">
        <v>13948</v>
      </c>
      <c r="K85" s="2" t="s">
        <v>12129</v>
      </c>
      <c r="L85" s="2" t="s">
        <v>12129</v>
      </c>
      <c r="M85" s="2" t="s">
        <v>3263</v>
      </c>
      <c r="N85" s="2" t="s">
        <v>35</v>
      </c>
      <c r="O85" s="2" t="s">
        <v>12129</v>
      </c>
      <c r="P85" s="2" t="s">
        <v>12129</v>
      </c>
      <c r="Q85" s="2" t="s">
        <v>12129</v>
      </c>
      <c r="R85" s="2" t="s">
        <v>12129</v>
      </c>
      <c r="S85" s="2" t="s">
        <v>12129</v>
      </c>
      <c r="T85" s="2" t="s">
        <v>13949</v>
      </c>
      <c r="U85" s="2" t="s">
        <v>13950</v>
      </c>
      <c r="V85" s="2" t="s">
        <v>13951</v>
      </c>
      <c r="W85" s="2" t="s">
        <v>13952</v>
      </c>
      <c r="X85" s="2" t="s">
        <v>13953</v>
      </c>
      <c r="Y85" s="2" t="s">
        <v>13954</v>
      </c>
      <c r="Z85" s="2" t="s">
        <v>13955</v>
      </c>
      <c r="AA85" s="2" t="s">
        <v>13956</v>
      </c>
      <c r="AB85" s="2" t="s">
        <v>13957</v>
      </c>
      <c r="AC85" s="2" t="s">
        <v>13958</v>
      </c>
      <c r="AD85" s="2" t="s">
        <v>13959</v>
      </c>
      <c r="AE85" s="2" t="s">
        <v>13960</v>
      </c>
      <c r="AF85" s="2" t="s">
        <v>12129</v>
      </c>
      <c r="AG85" s="2">
        <v>48.0</v>
      </c>
      <c r="AH85" s="2">
        <v>66.0</v>
      </c>
      <c r="AI85" s="2">
        <v>77.0</v>
      </c>
      <c r="AJ85" s="2">
        <v>6.0</v>
      </c>
      <c r="AK85" s="2">
        <v>167.0</v>
      </c>
      <c r="AL85" s="2" t="s">
        <v>13181</v>
      </c>
      <c r="AM85" s="2" t="s">
        <v>13961</v>
      </c>
      <c r="AN85" s="2" t="s">
        <v>13962</v>
      </c>
      <c r="AO85" s="2" t="s">
        <v>13963</v>
      </c>
      <c r="AP85" s="2" t="s">
        <v>13964</v>
      </c>
      <c r="AQ85" s="2" t="s">
        <v>12129</v>
      </c>
      <c r="AR85" s="2" t="s">
        <v>13965</v>
      </c>
      <c r="AS85" s="2" t="s">
        <v>13966</v>
      </c>
      <c r="AT85" s="2" t="s">
        <v>12660</v>
      </c>
      <c r="AU85" s="2">
        <v>2014.0</v>
      </c>
      <c r="AV85" s="2">
        <v>71.0</v>
      </c>
      <c r="AW85" s="2">
        <v>3.0</v>
      </c>
      <c r="AX85" s="2" t="s">
        <v>12129</v>
      </c>
      <c r="AY85" s="2" t="s">
        <v>12129</v>
      </c>
      <c r="AZ85" s="2" t="s">
        <v>12129</v>
      </c>
      <c r="BA85" s="2" t="s">
        <v>12129</v>
      </c>
      <c r="BB85" s="2">
        <v>1421.0</v>
      </c>
      <c r="BC85" s="2">
        <v>1431.0</v>
      </c>
      <c r="BD85" s="2" t="s">
        <v>12129</v>
      </c>
      <c r="BE85" s="2" t="s">
        <v>13967</v>
      </c>
      <c r="BF85" s="15" t="str">
        <f>HYPERLINK("http://dx.doi.org/10.1007/s12665-013-2547-0","http://dx.doi.org/10.1007/s12665-013-2547-0")</f>
        <v>http://dx.doi.org/10.1007/s12665-013-2547-0</v>
      </c>
      <c r="BG85" s="2" t="s">
        <v>12129</v>
      </c>
      <c r="BH85" s="2" t="s">
        <v>12129</v>
      </c>
      <c r="BI85" s="2">
        <v>11.0</v>
      </c>
      <c r="BJ85" s="2" t="s">
        <v>13968</v>
      </c>
      <c r="BK85" s="2" t="s">
        <v>12176</v>
      </c>
      <c r="BL85" s="2" t="s">
        <v>13969</v>
      </c>
      <c r="BM85" s="2" t="s">
        <v>13970</v>
      </c>
      <c r="BN85" s="2" t="s">
        <v>12129</v>
      </c>
      <c r="BO85" s="2" t="s">
        <v>12129</v>
      </c>
      <c r="BP85" s="2" t="s">
        <v>12129</v>
      </c>
      <c r="BQ85" s="2" t="s">
        <v>12129</v>
      </c>
      <c r="BR85" s="2" t="s">
        <v>12152</v>
      </c>
      <c r="BS85" s="2" t="s">
        <v>13971</v>
      </c>
      <c r="BT85" s="2" t="str">
        <f>HYPERLINK("https%3A%2F%2Fwww.webofscience.com%2Fwos%2Fwoscc%2Ffull-record%2FWOS:000330124100038","View Full Record in Web of Science")</f>
        <v>View Full Record in Web of Science</v>
      </c>
    </row>
    <row r="86" ht="12.75" customHeight="1">
      <c r="A86" s="2" t="s">
        <v>23</v>
      </c>
      <c r="B86" s="2" t="s">
        <v>13972</v>
      </c>
      <c r="C86" s="2" t="s">
        <v>12129</v>
      </c>
      <c r="D86" s="2" t="s">
        <v>12129</v>
      </c>
      <c r="E86" s="2" t="s">
        <v>12129</v>
      </c>
      <c r="F86" s="2" t="s">
        <v>13973</v>
      </c>
      <c r="G86" s="2" t="s">
        <v>12129</v>
      </c>
      <c r="H86" s="2" t="s">
        <v>12129</v>
      </c>
      <c r="I86" s="2" t="s">
        <v>13974</v>
      </c>
      <c r="J86" s="2" t="s">
        <v>12258</v>
      </c>
      <c r="K86" s="2" t="s">
        <v>12129</v>
      </c>
      <c r="L86" s="2" t="s">
        <v>12129</v>
      </c>
      <c r="M86" s="2" t="s">
        <v>3263</v>
      </c>
      <c r="N86" s="2" t="s">
        <v>35</v>
      </c>
      <c r="O86" s="2" t="s">
        <v>12129</v>
      </c>
      <c r="P86" s="2" t="s">
        <v>12129</v>
      </c>
      <c r="Q86" s="2" t="s">
        <v>12129</v>
      </c>
      <c r="R86" s="2" t="s">
        <v>12129</v>
      </c>
      <c r="S86" s="2" t="s">
        <v>12129</v>
      </c>
      <c r="T86" s="2" t="s">
        <v>13975</v>
      </c>
      <c r="U86" s="2" t="s">
        <v>13976</v>
      </c>
      <c r="V86" s="2" t="s">
        <v>13977</v>
      </c>
      <c r="W86" s="2" t="s">
        <v>13978</v>
      </c>
      <c r="X86" s="2" t="s">
        <v>13979</v>
      </c>
      <c r="Y86" s="2" t="s">
        <v>13980</v>
      </c>
      <c r="Z86" s="2" t="s">
        <v>13981</v>
      </c>
      <c r="AA86" s="2" t="s">
        <v>13982</v>
      </c>
      <c r="AB86" s="2" t="s">
        <v>13983</v>
      </c>
      <c r="AC86" s="2" t="s">
        <v>13984</v>
      </c>
      <c r="AD86" s="2" t="s">
        <v>13985</v>
      </c>
      <c r="AE86" s="2" t="s">
        <v>13986</v>
      </c>
      <c r="AF86" s="2" t="s">
        <v>12129</v>
      </c>
      <c r="AG86" s="2">
        <v>83.0</v>
      </c>
      <c r="AH86" s="2">
        <v>17.0</v>
      </c>
      <c r="AI86" s="2">
        <v>24.0</v>
      </c>
      <c r="AJ86" s="2">
        <v>2.0</v>
      </c>
      <c r="AK86" s="2">
        <v>79.0</v>
      </c>
      <c r="AL86" s="2" t="s">
        <v>12269</v>
      </c>
      <c r="AM86" s="2" t="s">
        <v>12270</v>
      </c>
      <c r="AN86" s="2" t="s">
        <v>12271</v>
      </c>
      <c r="AO86" s="2" t="s">
        <v>6011</v>
      </c>
      <c r="AP86" s="2" t="s">
        <v>12272</v>
      </c>
      <c r="AQ86" s="2" t="s">
        <v>12129</v>
      </c>
      <c r="AR86" s="2" t="s">
        <v>12273</v>
      </c>
      <c r="AS86" s="2" t="s">
        <v>12274</v>
      </c>
      <c r="AT86" s="2" t="s">
        <v>13987</v>
      </c>
      <c r="AU86" s="2">
        <v>2014.0</v>
      </c>
      <c r="AV86" s="2">
        <v>313.0</v>
      </c>
      <c r="AW86" s="2" t="s">
        <v>12129</v>
      </c>
      <c r="AX86" s="2" t="s">
        <v>12129</v>
      </c>
      <c r="AY86" s="2" t="s">
        <v>12129</v>
      </c>
      <c r="AZ86" s="2" t="s">
        <v>12129</v>
      </c>
      <c r="BA86" s="2" t="s">
        <v>12129</v>
      </c>
      <c r="BB86" s="2">
        <v>199.0</v>
      </c>
      <c r="BC86" s="2">
        <v>211.0</v>
      </c>
      <c r="BD86" s="2" t="s">
        <v>12129</v>
      </c>
      <c r="BE86" s="2" t="s">
        <v>13988</v>
      </c>
      <c r="BF86" s="15" t="str">
        <f>HYPERLINK("http://dx.doi.org/10.1016/j.foreco.2013.10.039","http://dx.doi.org/10.1016/j.foreco.2013.10.039")</f>
        <v>http://dx.doi.org/10.1016/j.foreco.2013.10.039</v>
      </c>
      <c r="BG86" s="2" t="s">
        <v>12129</v>
      </c>
      <c r="BH86" s="2" t="s">
        <v>12129</v>
      </c>
      <c r="BI86" s="2">
        <v>13.0</v>
      </c>
      <c r="BJ86" s="2" t="s">
        <v>12277</v>
      </c>
      <c r="BK86" s="2" t="s">
        <v>12176</v>
      </c>
      <c r="BL86" s="2" t="s">
        <v>12277</v>
      </c>
      <c r="BM86" s="2" t="s">
        <v>13989</v>
      </c>
      <c r="BN86" s="2" t="s">
        <v>12129</v>
      </c>
      <c r="BO86" s="2" t="s">
        <v>12129</v>
      </c>
      <c r="BP86" s="2" t="s">
        <v>12129</v>
      </c>
      <c r="BQ86" s="2" t="s">
        <v>12129</v>
      </c>
      <c r="BR86" s="2" t="s">
        <v>12152</v>
      </c>
      <c r="BS86" s="2" t="s">
        <v>13990</v>
      </c>
      <c r="BT86" s="2" t="str">
        <f>HYPERLINK("https%3A%2F%2Fwww.webofscience.com%2Fwos%2Fwoscc%2Ffull-record%2FWOS:000331665600023","View Full Record in Web of Science")</f>
        <v>View Full Record in Web of Science</v>
      </c>
    </row>
    <row r="87" ht="12.75" customHeight="1">
      <c r="A87" s="2" t="s">
        <v>23</v>
      </c>
      <c r="B87" s="2" t="s">
        <v>13991</v>
      </c>
      <c r="C87" s="2" t="s">
        <v>12129</v>
      </c>
      <c r="D87" s="2" t="s">
        <v>12129</v>
      </c>
      <c r="E87" s="2" t="s">
        <v>12129</v>
      </c>
      <c r="F87" s="2" t="s">
        <v>13992</v>
      </c>
      <c r="G87" s="2" t="s">
        <v>12129</v>
      </c>
      <c r="H87" s="2" t="s">
        <v>12129</v>
      </c>
      <c r="I87" s="2" t="s">
        <v>13993</v>
      </c>
      <c r="J87" s="2" t="s">
        <v>13994</v>
      </c>
      <c r="K87" s="2" t="s">
        <v>12129</v>
      </c>
      <c r="L87" s="2" t="s">
        <v>12129</v>
      </c>
      <c r="M87" s="2" t="s">
        <v>3263</v>
      </c>
      <c r="N87" s="2" t="s">
        <v>35</v>
      </c>
      <c r="O87" s="2" t="s">
        <v>12129</v>
      </c>
      <c r="P87" s="2" t="s">
        <v>12129</v>
      </c>
      <c r="Q87" s="2" t="s">
        <v>12129</v>
      </c>
      <c r="R87" s="2" t="s">
        <v>12129</v>
      </c>
      <c r="S87" s="2" t="s">
        <v>12129</v>
      </c>
      <c r="T87" s="2" t="s">
        <v>13995</v>
      </c>
      <c r="U87" s="2" t="s">
        <v>13996</v>
      </c>
      <c r="V87" s="2" t="s">
        <v>13997</v>
      </c>
      <c r="W87" s="2" t="s">
        <v>13998</v>
      </c>
      <c r="X87" s="2" t="s">
        <v>13999</v>
      </c>
      <c r="Y87" s="2" t="s">
        <v>13694</v>
      </c>
      <c r="Z87" s="2" t="s">
        <v>13695</v>
      </c>
      <c r="AA87" s="2" t="s">
        <v>14000</v>
      </c>
      <c r="AB87" s="2" t="s">
        <v>14001</v>
      </c>
      <c r="AC87" s="2" t="s">
        <v>14002</v>
      </c>
      <c r="AD87" s="2" t="s">
        <v>14003</v>
      </c>
      <c r="AE87" s="2" t="s">
        <v>14004</v>
      </c>
      <c r="AF87" s="2" t="s">
        <v>12129</v>
      </c>
      <c r="AG87" s="2">
        <v>58.0</v>
      </c>
      <c r="AH87" s="2">
        <v>117.0</v>
      </c>
      <c r="AI87" s="2">
        <v>158.0</v>
      </c>
      <c r="AJ87" s="2">
        <v>13.0</v>
      </c>
      <c r="AK87" s="2">
        <v>293.0</v>
      </c>
      <c r="AL87" s="2" t="s">
        <v>12269</v>
      </c>
      <c r="AM87" s="2" t="s">
        <v>12270</v>
      </c>
      <c r="AN87" s="2" t="s">
        <v>12271</v>
      </c>
      <c r="AO87" s="2" t="s">
        <v>14005</v>
      </c>
      <c r="AP87" s="2" t="s">
        <v>14006</v>
      </c>
      <c r="AQ87" s="2" t="s">
        <v>12129</v>
      </c>
      <c r="AR87" s="2" t="s">
        <v>14007</v>
      </c>
      <c r="AS87" s="2" t="s">
        <v>14008</v>
      </c>
      <c r="AT87" s="2" t="s">
        <v>12660</v>
      </c>
      <c r="AU87" s="2">
        <v>2014.0</v>
      </c>
      <c r="AV87" s="2">
        <v>55.0</v>
      </c>
      <c r="AW87" s="2" t="s">
        <v>12129</v>
      </c>
      <c r="AX87" s="2" t="s">
        <v>12129</v>
      </c>
      <c r="AY87" s="2" t="s">
        <v>12129</v>
      </c>
      <c r="AZ87" s="2" t="s">
        <v>12129</v>
      </c>
      <c r="BA87" s="2" t="s">
        <v>12129</v>
      </c>
      <c r="BB87" s="2">
        <v>86.0</v>
      </c>
      <c r="BC87" s="2">
        <v>96.0</v>
      </c>
      <c r="BD87" s="2" t="s">
        <v>12129</v>
      </c>
      <c r="BE87" s="2" t="s">
        <v>14009</v>
      </c>
      <c r="BF87" s="15" t="str">
        <f>HYPERLINK("http://dx.doi.org/10.1016/j.actao.2013.12.006","http://dx.doi.org/10.1016/j.actao.2013.12.006")</f>
        <v>http://dx.doi.org/10.1016/j.actao.2013.12.006</v>
      </c>
      <c r="BG87" s="2" t="s">
        <v>12129</v>
      </c>
      <c r="BH87" s="2" t="s">
        <v>12129</v>
      </c>
      <c r="BI87" s="2">
        <v>11.0</v>
      </c>
      <c r="BJ87" s="2" t="s">
        <v>814</v>
      </c>
      <c r="BK87" s="2" t="s">
        <v>12176</v>
      </c>
      <c r="BL87" s="2" t="s">
        <v>12251</v>
      </c>
      <c r="BM87" s="2" t="s">
        <v>14010</v>
      </c>
      <c r="BN87" s="2" t="s">
        <v>12129</v>
      </c>
      <c r="BO87" s="2" t="s">
        <v>12129</v>
      </c>
      <c r="BP87" s="2" t="s">
        <v>12129</v>
      </c>
      <c r="BQ87" s="2" t="s">
        <v>12129</v>
      </c>
      <c r="BR87" s="2" t="s">
        <v>12152</v>
      </c>
      <c r="BS87" s="2" t="s">
        <v>14011</v>
      </c>
      <c r="BT87" s="2" t="str">
        <f>HYPERLINK("https%3A%2F%2Fwww.webofscience.com%2Fwos%2Fwoscc%2Ffull-record%2FWOS:000331773100012","View Full Record in Web of Science")</f>
        <v>View Full Record in Web of Science</v>
      </c>
    </row>
    <row r="88" ht="12.75" customHeight="1">
      <c r="A88" s="2" t="s">
        <v>23</v>
      </c>
      <c r="B88" s="2" t="s">
        <v>14012</v>
      </c>
      <c r="C88" s="2" t="s">
        <v>12129</v>
      </c>
      <c r="D88" s="2" t="s">
        <v>12129</v>
      </c>
      <c r="E88" s="2" t="s">
        <v>12129</v>
      </c>
      <c r="F88" s="2" t="s">
        <v>14013</v>
      </c>
      <c r="G88" s="2" t="s">
        <v>12129</v>
      </c>
      <c r="H88" s="2" t="s">
        <v>12129</v>
      </c>
      <c r="I88" s="2" t="s">
        <v>14014</v>
      </c>
      <c r="J88" s="2" t="s">
        <v>14015</v>
      </c>
      <c r="K88" s="2" t="s">
        <v>12129</v>
      </c>
      <c r="L88" s="2" t="s">
        <v>12129</v>
      </c>
      <c r="M88" s="2" t="s">
        <v>3263</v>
      </c>
      <c r="N88" s="2" t="s">
        <v>35</v>
      </c>
      <c r="O88" s="2" t="s">
        <v>12129</v>
      </c>
      <c r="P88" s="2" t="s">
        <v>12129</v>
      </c>
      <c r="Q88" s="2" t="s">
        <v>12129</v>
      </c>
      <c r="R88" s="2" t="s">
        <v>12129</v>
      </c>
      <c r="S88" s="2" t="s">
        <v>12129</v>
      </c>
      <c r="T88" s="2" t="s">
        <v>14016</v>
      </c>
      <c r="U88" s="2" t="s">
        <v>14017</v>
      </c>
      <c r="V88" s="2" t="s">
        <v>14018</v>
      </c>
      <c r="W88" s="2" t="s">
        <v>14019</v>
      </c>
      <c r="X88" s="2" t="s">
        <v>13693</v>
      </c>
      <c r="Y88" s="2" t="s">
        <v>14020</v>
      </c>
      <c r="Z88" s="2" t="s">
        <v>14021</v>
      </c>
      <c r="AA88" s="2" t="s">
        <v>14022</v>
      </c>
      <c r="AB88" s="2" t="s">
        <v>14023</v>
      </c>
      <c r="AC88" s="2" t="s">
        <v>14024</v>
      </c>
      <c r="AD88" s="2" t="s">
        <v>14025</v>
      </c>
      <c r="AE88" s="2" t="s">
        <v>14026</v>
      </c>
      <c r="AF88" s="2" t="s">
        <v>12129</v>
      </c>
      <c r="AG88" s="2">
        <v>50.0</v>
      </c>
      <c r="AH88" s="2">
        <v>43.0</v>
      </c>
      <c r="AI88" s="2">
        <v>59.0</v>
      </c>
      <c r="AJ88" s="2">
        <v>2.0</v>
      </c>
      <c r="AK88" s="2">
        <v>386.0</v>
      </c>
      <c r="AL88" s="2" t="s">
        <v>14027</v>
      </c>
      <c r="AM88" s="2" t="s">
        <v>14028</v>
      </c>
      <c r="AN88" s="2" t="s">
        <v>14029</v>
      </c>
      <c r="AO88" s="2" t="s">
        <v>14030</v>
      </c>
      <c r="AP88" s="2" t="s">
        <v>14031</v>
      </c>
      <c r="AQ88" s="2" t="s">
        <v>12129</v>
      </c>
      <c r="AR88" s="2" t="s">
        <v>14032</v>
      </c>
      <c r="AS88" s="2" t="s">
        <v>14033</v>
      </c>
      <c r="AT88" s="2" t="s">
        <v>12764</v>
      </c>
      <c r="AU88" s="2">
        <v>2013.0</v>
      </c>
      <c r="AV88" s="2">
        <v>5.0</v>
      </c>
      <c r="AW88" s="2">
        <v>4.0</v>
      </c>
      <c r="AX88" s="2" t="s">
        <v>12129</v>
      </c>
      <c r="AY88" s="2" t="s">
        <v>12129</v>
      </c>
      <c r="AZ88" s="2" t="s">
        <v>12129</v>
      </c>
      <c r="BA88" s="2" t="s">
        <v>12129</v>
      </c>
      <c r="BB88" s="2">
        <v>465.0</v>
      </c>
      <c r="BC88" s="2">
        <v>479.0</v>
      </c>
      <c r="BD88" s="2" t="s">
        <v>12129</v>
      </c>
      <c r="BE88" s="2" t="s">
        <v>14034</v>
      </c>
      <c r="BF88" s="15" t="str">
        <f>HYPERLINK("http://dx.doi.org/10.1007/s40333-013-0181-z","http://dx.doi.org/10.1007/s40333-013-0181-z")</f>
        <v>http://dx.doi.org/10.1007/s40333-013-0181-z</v>
      </c>
      <c r="BG88" s="2" t="s">
        <v>12129</v>
      </c>
      <c r="BH88" s="2" t="s">
        <v>12129</v>
      </c>
      <c r="BI88" s="2">
        <v>15.0</v>
      </c>
      <c r="BJ88" s="2" t="s">
        <v>65</v>
      </c>
      <c r="BK88" s="2" t="s">
        <v>12176</v>
      </c>
      <c r="BL88" s="2" t="s">
        <v>12251</v>
      </c>
      <c r="BM88" s="2" t="s">
        <v>14035</v>
      </c>
      <c r="BN88" s="2" t="s">
        <v>12129</v>
      </c>
      <c r="BO88" s="2" t="s">
        <v>12129</v>
      </c>
      <c r="BP88" s="2" t="s">
        <v>12129</v>
      </c>
      <c r="BQ88" s="2" t="s">
        <v>12129</v>
      </c>
      <c r="BR88" s="2" t="s">
        <v>12152</v>
      </c>
      <c r="BS88" s="2" t="s">
        <v>14036</v>
      </c>
      <c r="BT88" s="2" t="str">
        <f>HYPERLINK("https%3A%2F%2Fwww.webofscience.com%2Fwos%2Fwoscc%2Ffull-record%2FWOS:000321558700006","View Full Record in Web of Science")</f>
        <v>View Full Record in Web of Science</v>
      </c>
    </row>
    <row r="89" ht="12.75" customHeight="1">
      <c r="A89" s="2" t="s">
        <v>23</v>
      </c>
      <c r="B89" s="2" t="s">
        <v>14037</v>
      </c>
      <c r="C89" s="2" t="s">
        <v>12129</v>
      </c>
      <c r="D89" s="2" t="s">
        <v>12129</v>
      </c>
      <c r="E89" s="2" t="s">
        <v>12129</v>
      </c>
      <c r="F89" s="2" t="s">
        <v>14038</v>
      </c>
      <c r="G89" s="2" t="s">
        <v>12129</v>
      </c>
      <c r="H89" s="2" t="s">
        <v>12129</v>
      </c>
      <c r="I89" s="2" t="s">
        <v>14039</v>
      </c>
      <c r="J89" s="2" t="s">
        <v>362</v>
      </c>
      <c r="K89" s="2" t="s">
        <v>12129</v>
      </c>
      <c r="L89" s="2" t="s">
        <v>12129</v>
      </c>
      <c r="M89" s="2" t="s">
        <v>3263</v>
      </c>
      <c r="N89" s="2" t="s">
        <v>35</v>
      </c>
      <c r="O89" s="2" t="s">
        <v>12129</v>
      </c>
      <c r="P89" s="2" t="s">
        <v>12129</v>
      </c>
      <c r="Q89" s="2" t="s">
        <v>12129</v>
      </c>
      <c r="R89" s="2" t="s">
        <v>12129</v>
      </c>
      <c r="S89" s="2" t="s">
        <v>12129</v>
      </c>
      <c r="T89" s="2" t="s">
        <v>12129</v>
      </c>
      <c r="U89" s="2" t="s">
        <v>14040</v>
      </c>
      <c r="V89" s="2" t="s">
        <v>14041</v>
      </c>
      <c r="W89" s="2" t="s">
        <v>14042</v>
      </c>
      <c r="X89" s="2" t="s">
        <v>14043</v>
      </c>
      <c r="Y89" s="2" t="s">
        <v>14044</v>
      </c>
      <c r="Z89" s="2" t="s">
        <v>14045</v>
      </c>
      <c r="AA89" s="2" t="s">
        <v>14046</v>
      </c>
      <c r="AB89" s="2" t="s">
        <v>14047</v>
      </c>
      <c r="AC89" s="2" t="s">
        <v>14048</v>
      </c>
      <c r="AD89" s="2" t="s">
        <v>14049</v>
      </c>
      <c r="AE89" s="2" t="s">
        <v>14050</v>
      </c>
      <c r="AF89" s="2" t="s">
        <v>12129</v>
      </c>
      <c r="AG89" s="2">
        <v>57.0</v>
      </c>
      <c r="AH89" s="2">
        <v>261.0</v>
      </c>
      <c r="AI89" s="2">
        <v>297.0</v>
      </c>
      <c r="AJ89" s="2">
        <v>9.0</v>
      </c>
      <c r="AK89" s="2">
        <v>182.0</v>
      </c>
      <c r="AL89" s="2" t="s">
        <v>12195</v>
      </c>
      <c r="AM89" s="2" t="s">
        <v>12196</v>
      </c>
      <c r="AN89" s="2" t="s">
        <v>12197</v>
      </c>
      <c r="AO89" s="2" t="s">
        <v>1877</v>
      </c>
      <c r="AP89" s="2" t="s">
        <v>12129</v>
      </c>
      <c r="AQ89" s="2" t="s">
        <v>12129</v>
      </c>
      <c r="AR89" s="2" t="s">
        <v>362</v>
      </c>
      <c r="AS89" s="2" t="s">
        <v>12198</v>
      </c>
      <c r="AT89" s="2" t="s">
        <v>14051</v>
      </c>
      <c r="AU89" s="2">
        <v>2013.0</v>
      </c>
      <c r="AV89" s="2">
        <v>8.0</v>
      </c>
      <c r="AW89" s="2">
        <v>11.0</v>
      </c>
      <c r="AX89" s="2" t="s">
        <v>12129</v>
      </c>
      <c r="AY89" s="2" t="s">
        <v>12129</v>
      </c>
      <c r="AZ89" s="2" t="s">
        <v>12129</v>
      </c>
      <c r="BA89" s="2" t="s">
        <v>12129</v>
      </c>
      <c r="BB89" s="2" t="s">
        <v>12129</v>
      </c>
      <c r="BC89" s="2" t="s">
        <v>12129</v>
      </c>
      <c r="BD89" s="2" t="s">
        <v>14052</v>
      </c>
      <c r="BE89" s="2" t="s">
        <v>14053</v>
      </c>
      <c r="BF89" s="15" t="str">
        <f>HYPERLINK("http://dx.doi.org/10.1371/journal.pone.0081292","http://dx.doi.org/10.1371/journal.pone.0081292")</f>
        <v>http://dx.doi.org/10.1371/journal.pone.0081292</v>
      </c>
      <c r="BG89" s="2" t="s">
        <v>12129</v>
      </c>
      <c r="BH89" s="2" t="s">
        <v>12129</v>
      </c>
      <c r="BI89" s="2">
        <v>13.0</v>
      </c>
      <c r="BJ89" s="2" t="s">
        <v>39</v>
      </c>
      <c r="BK89" s="2" t="s">
        <v>12176</v>
      </c>
      <c r="BL89" s="2" t="s">
        <v>12202</v>
      </c>
      <c r="BM89" s="2" t="s">
        <v>14054</v>
      </c>
      <c r="BN89" s="2">
        <v>2.428258E7</v>
      </c>
      <c r="BO89" s="2" t="s">
        <v>14055</v>
      </c>
      <c r="BP89" s="2" t="s">
        <v>12129</v>
      </c>
      <c r="BQ89" s="2" t="s">
        <v>12129</v>
      </c>
      <c r="BR89" s="2" t="s">
        <v>12152</v>
      </c>
      <c r="BS89" s="2" t="s">
        <v>14056</v>
      </c>
      <c r="BT89" s="2" t="str">
        <f>HYPERLINK("https%3A%2F%2Fwww.webofscience.com%2Fwos%2Fwoscc%2Ffull-record%2FWOS:000327543500082","View Full Record in Web of Science")</f>
        <v>View Full Record in Web of Science</v>
      </c>
    </row>
    <row r="90" ht="12.75" customHeight="1">
      <c r="A90" s="2" t="s">
        <v>23</v>
      </c>
      <c r="B90" s="2" t="s">
        <v>14057</v>
      </c>
      <c r="C90" s="2" t="s">
        <v>12129</v>
      </c>
      <c r="D90" s="2" t="s">
        <v>12129</v>
      </c>
      <c r="E90" s="2" t="s">
        <v>12129</v>
      </c>
      <c r="F90" s="2" t="s">
        <v>14058</v>
      </c>
      <c r="G90" s="2" t="s">
        <v>12129</v>
      </c>
      <c r="H90" s="2" t="s">
        <v>12129</v>
      </c>
      <c r="I90" s="2" t="s">
        <v>14059</v>
      </c>
      <c r="J90" s="2" t="s">
        <v>248</v>
      </c>
      <c r="K90" s="2" t="s">
        <v>12129</v>
      </c>
      <c r="L90" s="2" t="s">
        <v>12129</v>
      </c>
      <c r="M90" s="2" t="s">
        <v>3263</v>
      </c>
      <c r="N90" s="2" t="s">
        <v>35</v>
      </c>
      <c r="O90" s="2" t="s">
        <v>12129</v>
      </c>
      <c r="P90" s="2" t="s">
        <v>12129</v>
      </c>
      <c r="Q90" s="2" t="s">
        <v>12129</v>
      </c>
      <c r="R90" s="2" t="s">
        <v>12129</v>
      </c>
      <c r="S90" s="2" t="s">
        <v>12129</v>
      </c>
      <c r="T90" s="2" t="s">
        <v>14060</v>
      </c>
      <c r="U90" s="2" t="s">
        <v>14061</v>
      </c>
      <c r="V90" s="2" t="s">
        <v>14062</v>
      </c>
      <c r="W90" s="2" t="s">
        <v>14063</v>
      </c>
      <c r="X90" s="2" t="s">
        <v>14064</v>
      </c>
      <c r="Y90" s="2" t="s">
        <v>14065</v>
      </c>
      <c r="Z90" s="2" t="s">
        <v>14066</v>
      </c>
      <c r="AA90" s="2" t="s">
        <v>14067</v>
      </c>
      <c r="AB90" s="2" t="s">
        <v>14068</v>
      </c>
      <c r="AC90" s="2" t="s">
        <v>14069</v>
      </c>
      <c r="AD90" s="2" t="s">
        <v>14070</v>
      </c>
      <c r="AE90" s="2" t="s">
        <v>14071</v>
      </c>
      <c r="AF90" s="2" t="s">
        <v>12129</v>
      </c>
      <c r="AG90" s="2">
        <v>82.0</v>
      </c>
      <c r="AH90" s="2">
        <v>38.0</v>
      </c>
      <c r="AI90" s="2">
        <v>44.0</v>
      </c>
      <c r="AJ90" s="2">
        <v>1.0</v>
      </c>
      <c r="AK90" s="2">
        <v>39.0</v>
      </c>
      <c r="AL90" s="2" t="s">
        <v>12321</v>
      </c>
      <c r="AM90" s="2" t="s">
        <v>12295</v>
      </c>
      <c r="AN90" s="2" t="s">
        <v>12454</v>
      </c>
      <c r="AO90" s="2" t="s">
        <v>6122</v>
      </c>
      <c r="AP90" s="2" t="s">
        <v>12803</v>
      </c>
      <c r="AQ90" s="2" t="s">
        <v>12129</v>
      </c>
      <c r="AR90" s="2" t="s">
        <v>12804</v>
      </c>
      <c r="AS90" s="2" t="s">
        <v>12805</v>
      </c>
      <c r="AT90" s="2" t="s">
        <v>12787</v>
      </c>
      <c r="AU90" s="2">
        <v>2013.0</v>
      </c>
      <c r="AV90" s="2">
        <v>167.0</v>
      </c>
      <c r="AW90" s="2" t="s">
        <v>12129</v>
      </c>
      <c r="AX90" s="2" t="s">
        <v>12129</v>
      </c>
      <c r="AY90" s="2" t="s">
        <v>12129</v>
      </c>
      <c r="AZ90" s="2" t="s">
        <v>12129</v>
      </c>
      <c r="BA90" s="2" t="s">
        <v>12129</v>
      </c>
      <c r="BB90" s="2">
        <v>1.0</v>
      </c>
      <c r="BC90" s="2">
        <v>8.0</v>
      </c>
      <c r="BD90" s="2" t="s">
        <v>12129</v>
      </c>
      <c r="BE90" s="2" t="s">
        <v>14072</v>
      </c>
      <c r="BF90" s="15" t="str">
        <f>HYPERLINK("http://dx.doi.org/10.1016/j.biocon.2013.07.012","http://dx.doi.org/10.1016/j.biocon.2013.07.012")</f>
        <v>http://dx.doi.org/10.1016/j.biocon.2013.07.012</v>
      </c>
      <c r="BG90" s="2" t="s">
        <v>12129</v>
      </c>
      <c r="BH90" s="2" t="s">
        <v>12129</v>
      </c>
      <c r="BI90" s="2">
        <v>8.0</v>
      </c>
      <c r="BJ90" s="2" t="s">
        <v>252</v>
      </c>
      <c r="BK90" s="2" t="s">
        <v>12729</v>
      </c>
      <c r="BL90" s="2" t="s">
        <v>12376</v>
      </c>
      <c r="BM90" s="2" t="s">
        <v>14073</v>
      </c>
      <c r="BN90" s="2" t="s">
        <v>12129</v>
      </c>
      <c r="BO90" s="2" t="s">
        <v>12129</v>
      </c>
      <c r="BP90" s="2" t="s">
        <v>12129</v>
      </c>
      <c r="BQ90" s="2" t="s">
        <v>12129</v>
      </c>
      <c r="BR90" s="2" t="s">
        <v>12152</v>
      </c>
      <c r="BS90" s="2" t="s">
        <v>14074</v>
      </c>
      <c r="BT90" s="2" t="str">
        <f>HYPERLINK("https%3A%2F%2Fwww.webofscience.com%2Fwos%2Fwoscc%2Ffull-record%2FWOS:000328804300001","View Full Record in Web of Science")</f>
        <v>View Full Record in Web of Science</v>
      </c>
    </row>
    <row r="91" ht="12.75" customHeight="1">
      <c r="A91" s="2" t="s">
        <v>23</v>
      </c>
      <c r="B91" s="2" t="s">
        <v>14075</v>
      </c>
      <c r="C91" s="2" t="s">
        <v>12129</v>
      </c>
      <c r="D91" s="2" t="s">
        <v>12129</v>
      </c>
      <c r="E91" s="2" t="s">
        <v>12129</v>
      </c>
      <c r="F91" s="2" t="s">
        <v>14076</v>
      </c>
      <c r="G91" s="2" t="s">
        <v>12129</v>
      </c>
      <c r="H91" s="2" t="s">
        <v>12129</v>
      </c>
      <c r="I91" s="2" t="s">
        <v>14077</v>
      </c>
      <c r="J91" s="2" t="s">
        <v>1052</v>
      </c>
      <c r="K91" s="2" t="s">
        <v>12129</v>
      </c>
      <c r="L91" s="2" t="s">
        <v>12129</v>
      </c>
      <c r="M91" s="2" t="s">
        <v>3263</v>
      </c>
      <c r="N91" s="2" t="s">
        <v>35</v>
      </c>
      <c r="O91" s="2" t="s">
        <v>12129</v>
      </c>
      <c r="P91" s="2" t="s">
        <v>12129</v>
      </c>
      <c r="Q91" s="2" t="s">
        <v>12129</v>
      </c>
      <c r="R91" s="2" t="s">
        <v>12129</v>
      </c>
      <c r="S91" s="2" t="s">
        <v>12129</v>
      </c>
      <c r="T91" s="2" t="s">
        <v>14078</v>
      </c>
      <c r="U91" s="2" t="s">
        <v>14079</v>
      </c>
      <c r="V91" s="2" t="s">
        <v>14080</v>
      </c>
      <c r="W91" s="2" t="s">
        <v>14081</v>
      </c>
      <c r="X91" s="2" t="s">
        <v>14082</v>
      </c>
      <c r="Y91" s="2" t="s">
        <v>13694</v>
      </c>
      <c r="Z91" s="2" t="s">
        <v>13695</v>
      </c>
      <c r="AA91" s="2" t="s">
        <v>14083</v>
      </c>
      <c r="AB91" s="2" t="s">
        <v>14084</v>
      </c>
      <c r="AC91" s="2" t="s">
        <v>14085</v>
      </c>
      <c r="AD91" s="2" t="s">
        <v>14086</v>
      </c>
      <c r="AE91" s="2" t="s">
        <v>14087</v>
      </c>
      <c r="AF91" s="2" t="s">
        <v>12129</v>
      </c>
      <c r="AG91" s="2">
        <v>59.0</v>
      </c>
      <c r="AH91" s="2">
        <v>168.0</v>
      </c>
      <c r="AI91" s="2">
        <v>207.0</v>
      </c>
      <c r="AJ91" s="2">
        <v>4.0</v>
      </c>
      <c r="AK91" s="2">
        <v>287.0</v>
      </c>
      <c r="AL91" s="2" t="s">
        <v>12269</v>
      </c>
      <c r="AM91" s="2" t="s">
        <v>12270</v>
      </c>
      <c r="AN91" s="2" t="s">
        <v>12271</v>
      </c>
      <c r="AO91" s="2" t="s">
        <v>13743</v>
      </c>
      <c r="AP91" s="2" t="s">
        <v>13744</v>
      </c>
      <c r="AQ91" s="2" t="s">
        <v>12129</v>
      </c>
      <c r="AR91" s="2" t="s">
        <v>13745</v>
      </c>
      <c r="AS91" s="2" t="s">
        <v>13746</v>
      </c>
      <c r="AT91" s="2" t="s">
        <v>12249</v>
      </c>
      <c r="AU91" s="2">
        <v>2013.0</v>
      </c>
      <c r="AV91" s="2">
        <v>108.0</v>
      </c>
      <c r="AW91" s="2" t="s">
        <v>12129</v>
      </c>
      <c r="AX91" s="2" t="s">
        <v>12129</v>
      </c>
      <c r="AY91" s="2" t="s">
        <v>12129</v>
      </c>
      <c r="AZ91" s="2" t="s">
        <v>12129</v>
      </c>
      <c r="BA91" s="2" t="s">
        <v>12129</v>
      </c>
      <c r="BB91" s="2">
        <v>29.0</v>
      </c>
      <c r="BC91" s="2">
        <v>41.0</v>
      </c>
      <c r="BD91" s="2" t="s">
        <v>12129</v>
      </c>
      <c r="BE91" s="2" t="s">
        <v>14088</v>
      </c>
      <c r="BF91" s="15" t="str">
        <f>HYPERLINK("http://dx.doi.org/10.1016/j.gloplacha.2013.06.007","http://dx.doi.org/10.1016/j.gloplacha.2013.06.007")</f>
        <v>http://dx.doi.org/10.1016/j.gloplacha.2013.06.007</v>
      </c>
      <c r="BG91" s="2" t="s">
        <v>12129</v>
      </c>
      <c r="BH91" s="2" t="s">
        <v>12129</v>
      </c>
      <c r="BI91" s="2">
        <v>13.0</v>
      </c>
      <c r="BJ91" s="2" t="s">
        <v>1056</v>
      </c>
      <c r="BK91" s="2" t="s">
        <v>12729</v>
      </c>
      <c r="BL91" s="2" t="s">
        <v>13748</v>
      </c>
      <c r="BM91" s="2" t="s">
        <v>14089</v>
      </c>
      <c r="BN91" s="2" t="s">
        <v>12129</v>
      </c>
      <c r="BO91" s="2" t="s">
        <v>12129</v>
      </c>
      <c r="BP91" s="2" t="s">
        <v>12129</v>
      </c>
      <c r="BQ91" s="2" t="s">
        <v>12129</v>
      </c>
      <c r="BR91" s="2" t="s">
        <v>12152</v>
      </c>
      <c r="BS91" s="2" t="s">
        <v>14090</v>
      </c>
      <c r="BT91" s="2" t="str">
        <f>HYPERLINK("https%3A%2F%2Fwww.webofscience.com%2Fwos%2Fwoscc%2Ffull-record%2FWOS:000323470800003","View Full Record in Web of Science")</f>
        <v>View Full Record in Web of Science</v>
      </c>
    </row>
    <row r="92" ht="12.75" customHeight="1">
      <c r="A92" s="2" t="s">
        <v>23</v>
      </c>
      <c r="B92" s="2" t="s">
        <v>14091</v>
      </c>
      <c r="C92" s="2" t="s">
        <v>12129</v>
      </c>
      <c r="D92" s="2" t="s">
        <v>12129</v>
      </c>
      <c r="E92" s="2" t="s">
        <v>12129</v>
      </c>
      <c r="F92" s="2" t="s">
        <v>14092</v>
      </c>
      <c r="G92" s="2" t="s">
        <v>12129</v>
      </c>
      <c r="H92" s="2" t="s">
        <v>12129</v>
      </c>
      <c r="I92" s="2" t="s">
        <v>14093</v>
      </c>
      <c r="J92" s="2" t="s">
        <v>626</v>
      </c>
      <c r="K92" s="2" t="s">
        <v>12129</v>
      </c>
      <c r="L92" s="2" t="s">
        <v>12129</v>
      </c>
      <c r="M92" s="2" t="s">
        <v>3263</v>
      </c>
      <c r="N92" s="2" t="s">
        <v>27</v>
      </c>
      <c r="O92" s="2" t="s">
        <v>12129</v>
      </c>
      <c r="P92" s="2" t="s">
        <v>12129</v>
      </c>
      <c r="Q92" s="2" t="s">
        <v>12129</v>
      </c>
      <c r="R92" s="2" t="s">
        <v>12129</v>
      </c>
      <c r="S92" s="2" t="s">
        <v>12129</v>
      </c>
      <c r="T92" s="2" t="s">
        <v>14094</v>
      </c>
      <c r="U92" s="2" t="s">
        <v>14095</v>
      </c>
      <c r="V92" s="2" t="s">
        <v>14096</v>
      </c>
      <c r="W92" s="2" t="s">
        <v>14097</v>
      </c>
      <c r="X92" s="2" t="s">
        <v>14098</v>
      </c>
      <c r="Y92" s="2" t="s">
        <v>14099</v>
      </c>
      <c r="Z92" s="2" t="s">
        <v>14100</v>
      </c>
      <c r="AA92" s="2" t="s">
        <v>14101</v>
      </c>
      <c r="AB92" s="2" t="s">
        <v>14102</v>
      </c>
      <c r="AC92" s="2" t="s">
        <v>14103</v>
      </c>
      <c r="AD92" s="2" t="s">
        <v>14103</v>
      </c>
      <c r="AE92" s="2" t="s">
        <v>14104</v>
      </c>
      <c r="AF92" s="2" t="s">
        <v>12129</v>
      </c>
      <c r="AG92" s="2">
        <v>95.0</v>
      </c>
      <c r="AH92" s="2">
        <v>356.0</v>
      </c>
      <c r="AI92" s="2">
        <v>410.0</v>
      </c>
      <c r="AJ92" s="2">
        <v>4.0</v>
      </c>
      <c r="AK92" s="2">
        <v>354.0</v>
      </c>
      <c r="AL92" s="2" t="s">
        <v>14105</v>
      </c>
      <c r="AM92" s="2" t="s">
        <v>12170</v>
      </c>
      <c r="AN92" s="2" t="s">
        <v>14106</v>
      </c>
      <c r="AO92" s="2" t="s">
        <v>14107</v>
      </c>
      <c r="AP92" s="2" t="s">
        <v>14108</v>
      </c>
      <c r="AQ92" s="2" t="s">
        <v>12129</v>
      </c>
      <c r="AR92" s="2" t="s">
        <v>14109</v>
      </c>
      <c r="AS92" s="2" t="s">
        <v>14110</v>
      </c>
      <c r="AT92" s="2" t="s">
        <v>12249</v>
      </c>
      <c r="AU92" s="2">
        <v>2013.0</v>
      </c>
      <c r="AV92" s="2">
        <v>28.0</v>
      </c>
      <c r="AW92" s="2">
        <v>9.0</v>
      </c>
      <c r="AX92" s="2" t="s">
        <v>12129</v>
      </c>
      <c r="AY92" s="2" t="s">
        <v>12129</v>
      </c>
      <c r="AZ92" s="2" t="s">
        <v>12129</v>
      </c>
      <c r="BA92" s="2" t="s">
        <v>12129</v>
      </c>
      <c r="BB92" s="2">
        <v>531.0</v>
      </c>
      <c r="BC92" s="2">
        <v>540.0</v>
      </c>
      <c r="BD92" s="2" t="s">
        <v>12129</v>
      </c>
      <c r="BE92" s="2" t="s">
        <v>14111</v>
      </c>
      <c r="BF92" s="15" t="str">
        <f>HYPERLINK("http://dx.doi.org/10.1016/j.tree.2013.04.005","http://dx.doi.org/10.1016/j.tree.2013.04.005")</f>
        <v>http://dx.doi.org/10.1016/j.tree.2013.04.005</v>
      </c>
      <c r="BG92" s="2" t="s">
        <v>12129</v>
      </c>
      <c r="BH92" s="2" t="s">
        <v>12129</v>
      </c>
      <c r="BI92" s="2">
        <v>10.0</v>
      </c>
      <c r="BJ92" s="2" t="s">
        <v>630</v>
      </c>
      <c r="BK92" s="2" t="s">
        <v>12176</v>
      </c>
      <c r="BL92" s="2" t="s">
        <v>14112</v>
      </c>
      <c r="BM92" s="2" t="s">
        <v>14113</v>
      </c>
      <c r="BN92" s="2">
        <v>2.3764258E7</v>
      </c>
      <c r="BO92" s="2" t="s">
        <v>12129</v>
      </c>
      <c r="BP92" s="2" t="s">
        <v>12129</v>
      </c>
      <c r="BQ92" s="2" t="s">
        <v>12129</v>
      </c>
      <c r="BR92" s="2" t="s">
        <v>12152</v>
      </c>
      <c r="BS92" s="2" t="s">
        <v>14114</v>
      </c>
      <c r="BT92" s="2" t="str">
        <f>HYPERLINK("https%3A%2F%2Fwww.webofscience.com%2Fwos%2Fwoscc%2Ffull-record%2FWOS:000324975700010","View Full Record in Web of Science")</f>
        <v>View Full Record in Web of Science</v>
      </c>
    </row>
    <row r="93" ht="12.75" customHeight="1">
      <c r="A93" s="2" t="s">
        <v>23</v>
      </c>
      <c r="B93" s="2" t="s">
        <v>14115</v>
      </c>
      <c r="C93" s="2" t="s">
        <v>12129</v>
      </c>
      <c r="D93" s="2" t="s">
        <v>12129</v>
      </c>
      <c r="E93" s="2" t="s">
        <v>12129</v>
      </c>
      <c r="F93" s="2" t="s">
        <v>14116</v>
      </c>
      <c r="G93" s="2" t="s">
        <v>12129</v>
      </c>
      <c r="H93" s="2" t="s">
        <v>12129</v>
      </c>
      <c r="I93" s="2" t="s">
        <v>14117</v>
      </c>
      <c r="J93" s="2" t="s">
        <v>12942</v>
      </c>
      <c r="K93" s="2" t="s">
        <v>12129</v>
      </c>
      <c r="L93" s="2" t="s">
        <v>12129</v>
      </c>
      <c r="M93" s="2" t="s">
        <v>3263</v>
      </c>
      <c r="N93" s="2" t="s">
        <v>35</v>
      </c>
      <c r="O93" s="2" t="s">
        <v>12129</v>
      </c>
      <c r="P93" s="2" t="s">
        <v>12129</v>
      </c>
      <c r="Q93" s="2" t="s">
        <v>12129</v>
      </c>
      <c r="R93" s="2" t="s">
        <v>12129</v>
      </c>
      <c r="S93" s="2" t="s">
        <v>12129</v>
      </c>
      <c r="T93" s="2" t="s">
        <v>14118</v>
      </c>
      <c r="U93" s="2" t="s">
        <v>14119</v>
      </c>
      <c r="V93" s="2" t="s">
        <v>14120</v>
      </c>
      <c r="W93" s="2" t="s">
        <v>14121</v>
      </c>
      <c r="X93" s="2" t="s">
        <v>14122</v>
      </c>
      <c r="Y93" s="2" t="s">
        <v>14123</v>
      </c>
      <c r="Z93" s="2" t="s">
        <v>14124</v>
      </c>
      <c r="AA93" s="2" t="s">
        <v>14125</v>
      </c>
      <c r="AB93" s="2" t="s">
        <v>12129</v>
      </c>
      <c r="AC93" s="2" t="s">
        <v>14126</v>
      </c>
      <c r="AD93" s="2" t="s">
        <v>14127</v>
      </c>
      <c r="AE93" s="2" t="s">
        <v>14128</v>
      </c>
      <c r="AF93" s="2" t="s">
        <v>12129</v>
      </c>
      <c r="AG93" s="2">
        <v>62.0</v>
      </c>
      <c r="AH93" s="2">
        <v>100.0</v>
      </c>
      <c r="AI93" s="2">
        <v>124.0</v>
      </c>
      <c r="AJ93" s="2">
        <v>1.0</v>
      </c>
      <c r="AK93" s="2">
        <v>181.0</v>
      </c>
      <c r="AL93" s="2" t="s">
        <v>12954</v>
      </c>
      <c r="AM93" s="2" t="s">
        <v>12955</v>
      </c>
      <c r="AN93" s="2" t="s">
        <v>12956</v>
      </c>
      <c r="AO93" s="2" t="s">
        <v>12957</v>
      </c>
      <c r="AP93" s="2" t="s">
        <v>12129</v>
      </c>
      <c r="AQ93" s="2" t="s">
        <v>12129</v>
      </c>
      <c r="AR93" s="2" t="s">
        <v>12958</v>
      </c>
      <c r="AS93" s="2" t="s">
        <v>12959</v>
      </c>
      <c r="AT93" s="2" t="s">
        <v>12301</v>
      </c>
      <c r="AU93" s="2">
        <v>2013.0</v>
      </c>
      <c r="AV93" s="2">
        <v>5.0</v>
      </c>
      <c r="AW93" s="2">
        <v>8.0</v>
      </c>
      <c r="AX93" s="2" t="s">
        <v>12129</v>
      </c>
      <c r="AY93" s="2" t="s">
        <v>12129</v>
      </c>
      <c r="AZ93" s="2" t="s">
        <v>12129</v>
      </c>
      <c r="BA93" s="2" t="s">
        <v>12129</v>
      </c>
      <c r="BB93" s="2">
        <v>4125.0</v>
      </c>
      <c r="BC93" s="2">
        <v>4144.0</v>
      </c>
      <c r="BD93" s="2" t="s">
        <v>12129</v>
      </c>
      <c r="BE93" s="2" t="s">
        <v>14129</v>
      </c>
      <c r="BF93" s="15" t="str">
        <f>HYPERLINK("http://dx.doi.org/10.3390/rs5084125","http://dx.doi.org/10.3390/rs5084125")</f>
        <v>http://dx.doi.org/10.3390/rs5084125</v>
      </c>
      <c r="BG93" s="2" t="s">
        <v>12129</v>
      </c>
      <c r="BH93" s="2" t="s">
        <v>12129</v>
      </c>
      <c r="BI93" s="2">
        <v>20.0</v>
      </c>
      <c r="BJ93" s="2" t="s">
        <v>12961</v>
      </c>
      <c r="BK93" s="2" t="s">
        <v>12176</v>
      </c>
      <c r="BL93" s="2" t="s">
        <v>12962</v>
      </c>
      <c r="BM93" s="2" t="s">
        <v>14130</v>
      </c>
      <c r="BN93" s="2" t="s">
        <v>12129</v>
      </c>
      <c r="BO93" s="2" t="s">
        <v>12179</v>
      </c>
      <c r="BP93" s="2" t="s">
        <v>12129</v>
      </c>
      <c r="BQ93" s="2" t="s">
        <v>12129</v>
      </c>
      <c r="BR93" s="2" t="s">
        <v>12152</v>
      </c>
      <c r="BS93" s="2" t="s">
        <v>14131</v>
      </c>
      <c r="BT93" s="2" t="str">
        <f>HYPERLINK("https%3A%2F%2Fwww.webofscience.com%2Fwos%2Fwoscc%2Ffull-record%2FWOS:000328626100023","View Full Record in Web of Science")</f>
        <v>View Full Record in Web of Science</v>
      </c>
    </row>
    <row r="94" ht="12.75" customHeight="1">
      <c r="A94" s="2" t="s">
        <v>23</v>
      </c>
      <c r="B94" s="2" t="s">
        <v>14132</v>
      </c>
      <c r="C94" s="2" t="s">
        <v>12129</v>
      </c>
      <c r="D94" s="2" t="s">
        <v>12129</v>
      </c>
      <c r="E94" s="2" t="s">
        <v>12129</v>
      </c>
      <c r="F94" s="2" t="s">
        <v>14133</v>
      </c>
      <c r="G94" s="2" t="s">
        <v>12129</v>
      </c>
      <c r="H94" s="2" t="s">
        <v>12129</v>
      </c>
      <c r="I94" s="2" t="s">
        <v>14134</v>
      </c>
      <c r="J94" s="2" t="s">
        <v>13110</v>
      </c>
      <c r="K94" s="2" t="s">
        <v>12129</v>
      </c>
      <c r="L94" s="2" t="s">
        <v>12129</v>
      </c>
      <c r="M94" s="2" t="s">
        <v>3263</v>
      </c>
      <c r="N94" s="2" t="s">
        <v>35</v>
      </c>
      <c r="O94" s="2" t="s">
        <v>12129</v>
      </c>
      <c r="P94" s="2" t="s">
        <v>12129</v>
      </c>
      <c r="Q94" s="2" t="s">
        <v>12129</v>
      </c>
      <c r="R94" s="2" t="s">
        <v>12129</v>
      </c>
      <c r="S94" s="2" t="s">
        <v>12129</v>
      </c>
      <c r="T94" s="2" t="s">
        <v>14135</v>
      </c>
      <c r="U94" s="2" t="s">
        <v>14136</v>
      </c>
      <c r="V94" s="2" t="s">
        <v>14137</v>
      </c>
      <c r="W94" s="2" t="s">
        <v>14138</v>
      </c>
      <c r="X94" s="2" t="s">
        <v>14139</v>
      </c>
      <c r="Y94" s="2" t="s">
        <v>14140</v>
      </c>
      <c r="Z94" s="2" t="s">
        <v>14141</v>
      </c>
      <c r="AA94" s="2" t="s">
        <v>14142</v>
      </c>
      <c r="AB94" s="2" t="s">
        <v>14143</v>
      </c>
      <c r="AC94" s="2" t="s">
        <v>14144</v>
      </c>
      <c r="AD94" s="2" t="s">
        <v>14145</v>
      </c>
      <c r="AE94" s="2" t="s">
        <v>14146</v>
      </c>
      <c r="AF94" s="2" t="s">
        <v>12129</v>
      </c>
      <c r="AG94" s="2">
        <v>47.0</v>
      </c>
      <c r="AH94" s="2">
        <v>51.0</v>
      </c>
      <c r="AI94" s="2">
        <v>55.0</v>
      </c>
      <c r="AJ94" s="2">
        <v>0.0</v>
      </c>
      <c r="AK94" s="2">
        <v>66.0</v>
      </c>
      <c r="AL94" s="2" t="s">
        <v>12243</v>
      </c>
      <c r="AM94" s="2" t="s">
        <v>12244</v>
      </c>
      <c r="AN94" s="2" t="s">
        <v>12245</v>
      </c>
      <c r="AO94" s="2" t="s">
        <v>13123</v>
      </c>
      <c r="AP94" s="2" t="s">
        <v>13124</v>
      </c>
      <c r="AQ94" s="2" t="s">
        <v>12129</v>
      </c>
      <c r="AR94" s="2" t="s">
        <v>13125</v>
      </c>
      <c r="AS94" s="2" t="s">
        <v>13126</v>
      </c>
      <c r="AT94" s="2" t="s">
        <v>12352</v>
      </c>
      <c r="AU94" s="2">
        <v>2013.0</v>
      </c>
      <c r="AV94" s="2">
        <v>40.0</v>
      </c>
      <c r="AW94" s="2">
        <v>7.0</v>
      </c>
      <c r="AX94" s="2" t="s">
        <v>12129</v>
      </c>
      <c r="AY94" s="2" t="s">
        <v>12129</v>
      </c>
      <c r="AZ94" s="2" t="s">
        <v>12129</v>
      </c>
      <c r="BA94" s="2" t="s">
        <v>12129</v>
      </c>
      <c r="BB94" s="2">
        <v>1252.0</v>
      </c>
      <c r="BC94" s="2">
        <v>1265.0</v>
      </c>
      <c r="BD94" s="2" t="s">
        <v>12129</v>
      </c>
      <c r="BE94" s="2" t="s">
        <v>14147</v>
      </c>
      <c r="BF94" s="15" t="str">
        <f>HYPERLINK("http://dx.doi.org/10.1111/jbi.12105","http://dx.doi.org/10.1111/jbi.12105")</f>
        <v>http://dx.doi.org/10.1111/jbi.12105</v>
      </c>
      <c r="BG94" s="2" t="s">
        <v>12129</v>
      </c>
      <c r="BH94" s="2" t="s">
        <v>12129</v>
      </c>
      <c r="BI94" s="2">
        <v>14.0</v>
      </c>
      <c r="BJ94" s="2" t="s">
        <v>1254</v>
      </c>
      <c r="BK94" s="2" t="s">
        <v>12176</v>
      </c>
      <c r="BL94" s="2" t="s">
        <v>12686</v>
      </c>
      <c r="BM94" s="2" t="s">
        <v>14148</v>
      </c>
      <c r="BN94" s="2" t="s">
        <v>12129</v>
      </c>
      <c r="BO94" s="2" t="s">
        <v>12129</v>
      </c>
      <c r="BP94" s="2" t="s">
        <v>12129</v>
      </c>
      <c r="BQ94" s="2" t="s">
        <v>12129</v>
      </c>
      <c r="BR94" s="2" t="s">
        <v>12152</v>
      </c>
      <c r="BS94" s="2" t="s">
        <v>14149</v>
      </c>
      <c r="BT94" s="2" t="str">
        <f>HYPERLINK("https%3A%2F%2Fwww.webofscience.com%2Fwos%2Fwoscc%2Ffull-record%2FWOS:000320175400005","View Full Record in Web of Science")</f>
        <v>View Full Record in Web of Science</v>
      </c>
    </row>
    <row r="95" ht="12.75" customHeight="1">
      <c r="A95" s="2" t="s">
        <v>23</v>
      </c>
      <c r="B95" s="2" t="s">
        <v>14150</v>
      </c>
      <c r="C95" s="2" t="s">
        <v>12129</v>
      </c>
      <c r="D95" s="2" t="s">
        <v>12129</v>
      </c>
      <c r="E95" s="2" t="s">
        <v>12129</v>
      </c>
      <c r="F95" s="2" t="s">
        <v>14151</v>
      </c>
      <c r="G95" s="2" t="s">
        <v>12129</v>
      </c>
      <c r="H95" s="2" t="s">
        <v>12129</v>
      </c>
      <c r="I95" s="2" t="s">
        <v>14152</v>
      </c>
      <c r="J95" s="2" t="s">
        <v>12643</v>
      </c>
      <c r="K95" s="2" t="s">
        <v>12129</v>
      </c>
      <c r="L95" s="2" t="s">
        <v>12129</v>
      </c>
      <c r="M95" s="2" t="s">
        <v>3263</v>
      </c>
      <c r="N95" s="2" t="s">
        <v>35</v>
      </c>
      <c r="O95" s="2" t="s">
        <v>12129</v>
      </c>
      <c r="P95" s="2" t="s">
        <v>12129</v>
      </c>
      <c r="Q95" s="2" t="s">
        <v>12129</v>
      </c>
      <c r="R95" s="2" t="s">
        <v>12129</v>
      </c>
      <c r="S95" s="2" t="s">
        <v>12129</v>
      </c>
      <c r="T95" s="2" t="s">
        <v>14153</v>
      </c>
      <c r="U95" s="2" t="s">
        <v>14154</v>
      </c>
      <c r="V95" s="2" t="s">
        <v>14155</v>
      </c>
      <c r="W95" s="2" t="s">
        <v>14156</v>
      </c>
      <c r="X95" s="2" t="s">
        <v>14157</v>
      </c>
      <c r="Y95" s="2" t="s">
        <v>14158</v>
      </c>
      <c r="Z95" s="2" t="s">
        <v>14159</v>
      </c>
      <c r="AA95" s="2" t="s">
        <v>14160</v>
      </c>
      <c r="AB95" s="2" t="s">
        <v>14161</v>
      </c>
      <c r="AC95" s="2" t="s">
        <v>14162</v>
      </c>
      <c r="AD95" s="2" t="s">
        <v>14162</v>
      </c>
      <c r="AE95" s="2" t="s">
        <v>14163</v>
      </c>
      <c r="AF95" s="2" t="s">
        <v>12129</v>
      </c>
      <c r="AG95" s="2">
        <v>56.0</v>
      </c>
      <c r="AH95" s="2">
        <v>65.0</v>
      </c>
      <c r="AI95" s="2">
        <v>76.0</v>
      </c>
      <c r="AJ95" s="2">
        <v>2.0</v>
      </c>
      <c r="AK95" s="2">
        <v>105.0</v>
      </c>
      <c r="AL95" s="2" t="s">
        <v>12243</v>
      </c>
      <c r="AM95" s="2" t="s">
        <v>12244</v>
      </c>
      <c r="AN95" s="2" t="s">
        <v>12245</v>
      </c>
      <c r="AO95" s="2" t="s">
        <v>12656</v>
      </c>
      <c r="AP95" s="2" t="s">
        <v>12657</v>
      </c>
      <c r="AQ95" s="2" t="s">
        <v>12129</v>
      </c>
      <c r="AR95" s="2" t="s">
        <v>12658</v>
      </c>
      <c r="AS95" s="2" t="s">
        <v>12659</v>
      </c>
      <c r="AT95" s="2" t="s">
        <v>12436</v>
      </c>
      <c r="AU95" s="2">
        <v>2013.0</v>
      </c>
      <c r="AV95" s="2">
        <v>23.0</v>
      </c>
      <c r="AW95" s="2">
        <v>3.0</v>
      </c>
      <c r="AX95" s="2" t="s">
        <v>12129</v>
      </c>
      <c r="AY95" s="2" t="s">
        <v>12129</v>
      </c>
      <c r="AZ95" s="2" t="s">
        <v>12129</v>
      </c>
      <c r="BA95" s="2" t="s">
        <v>12129</v>
      </c>
      <c r="BB95" s="2">
        <v>405.0</v>
      </c>
      <c r="BC95" s="2">
        <v>417.0</v>
      </c>
      <c r="BD95" s="2" t="s">
        <v>12129</v>
      </c>
      <c r="BE95" s="2" t="s">
        <v>14164</v>
      </c>
      <c r="BF95" s="15" t="str">
        <f>HYPERLINK("http://dx.doi.org/10.1002/aqc.2345","http://dx.doi.org/10.1002/aqc.2345")</f>
        <v>http://dx.doi.org/10.1002/aqc.2345</v>
      </c>
      <c r="BG95" s="2" t="s">
        <v>12129</v>
      </c>
      <c r="BH95" s="2" t="s">
        <v>12129</v>
      </c>
      <c r="BI95" s="2">
        <v>13.0</v>
      </c>
      <c r="BJ95" s="2" t="s">
        <v>12662</v>
      </c>
      <c r="BK95" s="2" t="s">
        <v>12176</v>
      </c>
      <c r="BL95" s="2" t="s">
        <v>12663</v>
      </c>
      <c r="BM95" s="2" t="s">
        <v>14165</v>
      </c>
      <c r="BN95" s="2" t="s">
        <v>12129</v>
      </c>
      <c r="BO95" s="2" t="s">
        <v>12129</v>
      </c>
      <c r="BP95" s="2" t="s">
        <v>12129</v>
      </c>
      <c r="BQ95" s="2" t="s">
        <v>12129</v>
      </c>
      <c r="BR95" s="2" t="s">
        <v>12152</v>
      </c>
      <c r="BS95" s="2" t="s">
        <v>14166</v>
      </c>
      <c r="BT95" s="2" t="str">
        <f>HYPERLINK("https%3A%2F%2Fwww.webofscience.com%2Fwos%2Fwoscc%2Ffull-record%2FWOS:000319873700007","View Full Record in Web of Science")</f>
        <v>View Full Record in Web of Science</v>
      </c>
    </row>
    <row r="96" ht="12.75" customHeight="1">
      <c r="A96" s="2" t="s">
        <v>23</v>
      </c>
      <c r="B96" s="2" t="s">
        <v>14167</v>
      </c>
      <c r="C96" s="2" t="s">
        <v>12129</v>
      </c>
      <c r="D96" s="2" t="s">
        <v>12129</v>
      </c>
      <c r="E96" s="2" t="s">
        <v>12129</v>
      </c>
      <c r="F96" s="2" t="s">
        <v>14168</v>
      </c>
      <c r="G96" s="2" t="s">
        <v>12129</v>
      </c>
      <c r="H96" s="2" t="s">
        <v>12129</v>
      </c>
      <c r="I96" s="2" t="s">
        <v>14169</v>
      </c>
      <c r="J96" s="2" t="s">
        <v>14170</v>
      </c>
      <c r="K96" s="2" t="s">
        <v>12129</v>
      </c>
      <c r="L96" s="2" t="s">
        <v>12129</v>
      </c>
      <c r="M96" s="2" t="s">
        <v>3263</v>
      </c>
      <c r="N96" s="2" t="s">
        <v>35</v>
      </c>
      <c r="O96" s="2" t="s">
        <v>12129</v>
      </c>
      <c r="P96" s="2" t="s">
        <v>12129</v>
      </c>
      <c r="Q96" s="2" t="s">
        <v>12129</v>
      </c>
      <c r="R96" s="2" t="s">
        <v>12129</v>
      </c>
      <c r="S96" s="2" t="s">
        <v>12129</v>
      </c>
      <c r="T96" s="2" t="s">
        <v>12129</v>
      </c>
      <c r="U96" s="2" t="s">
        <v>14171</v>
      </c>
      <c r="V96" s="2" t="s">
        <v>14172</v>
      </c>
      <c r="W96" s="2" t="s">
        <v>14173</v>
      </c>
      <c r="X96" s="2" t="s">
        <v>14174</v>
      </c>
      <c r="Y96" s="2" t="s">
        <v>14175</v>
      </c>
      <c r="Z96" s="2" t="s">
        <v>14176</v>
      </c>
      <c r="AA96" s="2" t="s">
        <v>14177</v>
      </c>
      <c r="AB96" s="2" t="s">
        <v>14178</v>
      </c>
      <c r="AC96" s="2" t="s">
        <v>14179</v>
      </c>
      <c r="AD96" s="2" t="s">
        <v>14180</v>
      </c>
      <c r="AE96" s="2" t="s">
        <v>14181</v>
      </c>
      <c r="AF96" s="2" t="s">
        <v>12129</v>
      </c>
      <c r="AG96" s="2">
        <v>67.0</v>
      </c>
      <c r="AH96" s="2">
        <v>16.0</v>
      </c>
      <c r="AI96" s="2">
        <v>17.0</v>
      </c>
      <c r="AJ96" s="2">
        <v>2.0</v>
      </c>
      <c r="AK96" s="2">
        <v>107.0</v>
      </c>
      <c r="AL96" s="2" t="s">
        <v>12243</v>
      </c>
      <c r="AM96" s="2" t="s">
        <v>12244</v>
      </c>
      <c r="AN96" s="2" t="s">
        <v>12245</v>
      </c>
      <c r="AO96" s="2" t="s">
        <v>14182</v>
      </c>
      <c r="AP96" s="2" t="s">
        <v>14183</v>
      </c>
      <c r="AQ96" s="2" t="s">
        <v>12129</v>
      </c>
      <c r="AR96" s="2" t="s">
        <v>14170</v>
      </c>
      <c r="AS96" s="2" t="s">
        <v>14184</v>
      </c>
      <c r="AT96" s="2" t="s">
        <v>12436</v>
      </c>
      <c r="AU96" s="2">
        <v>2013.0</v>
      </c>
      <c r="AV96" s="2">
        <v>122.0</v>
      </c>
      <c r="AW96" s="2">
        <v>6.0</v>
      </c>
      <c r="AX96" s="2" t="s">
        <v>12129</v>
      </c>
      <c r="AY96" s="2" t="s">
        <v>12129</v>
      </c>
      <c r="AZ96" s="2" t="s">
        <v>12129</v>
      </c>
      <c r="BA96" s="2" t="s">
        <v>12129</v>
      </c>
      <c r="BB96" s="2">
        <v>835.0</v>
      </c>
      <c r="BC96" s="2">
        <v>844.0</v>
      </c>
      <c r="BD96" s="2" t="s">
        <v>12129</v>
      </c>
      <c r="BE96" s="2" t="s">
        <v>14185</v>
      </c>
      <c r="BF96" s="15" t="str">
        <f>HYPERLINK("http://dx.doi.org/10.1111/j.1600-0706.2012.19858.x","http://dx.doi.org/10.1111/j.1600-0706.2012.19858.x")</f>
        <v>http://dx.doi.org/10.1111/j.1600-0706.2012.19858.x</v>
      </c>
      <c r="BG96" s="2" t="s">
        <v>12129</v>
      </c>
      <c r="BH96" s="2" t="s">
        <v>12129</v>
      </c>
      <c r="BI96" s="2">
        <v>10.0</v>
      </c>
      <c r="BJ96" s="2" t="s">
        <v>814</v>
      </c>
      <c r="BK96" s="2" t="s">
        <v>12176</v>
      </c>
      <c r="BL96" s="2" t="s">
        <v>12251</v>
      </c>
      <c r="BM96" s="2" t="s">
        <v>14186</v>
      </c>
      <c r="BN96" s="2" t="s">
        <v>12129</v>
      </c>
      <c r="BO96" s="2" t="s">
        <v>12129</v>
      </c>
      <c r="BP96" s="2" t="s">
        <v>12129</v>
      </c>
      <c r="BQ96" s="2" t="s">
        <v>12129</v>
      </c>
      <c r="BR96" s="2" t="s">
        <v>12152</v>
      </c>
      <c r="BS96" s="2" t="s">
        <v>14187</v>
      </c>
      <c r="BT96" s="2" t="str">
        <f>HYPERLINK("https%3A%2F%2Fwww.webofscience.com%2Fwos%2Fwoscc%2Ffull-record%2FWOS:000319408300004","View Full Record in Web of Science")</f>
        <v>View Full Record in Web of Science</v>
      </c>
    </row>
    <row r="97" ht="12.75" customHeight="1">
      <c r="A97" s="2" t="s">
        <v>23</v>
      </c>
      <c r="B97" s="2" t="s">
        <v>13435</v>
      </c>
      <c r="C97" s="2" t="s">
        <v>12129</v>
      </c>
      <c r="D97" s="2" t="s">
        <v>12129</v>
      </c>
      <c r="E97" s="2" t="s">
        <v>12129</v>
      </c>
      <c r="F97" s="2" t="s">
        <v>13437</v>
      </c>
      <c r="G97" s="2" t="s">
        <v>12129</v>
      </c>
      <c r="H97" s="2" t="s">
        <v>12129</v>
      </c>
      <c r="I97" s="2" t="s">
        <v>14188</v>
      </c>
      <c r="J97" s="2" t="s">
        <v>14189</v>
      </c>
      <c r="K97" s="2" t="s">
        <v>12129</v>
      </c>
      <c r="L97" s="2" t="s">
        <v>12129</v>
      </c>
      <c r="M97" s="2" t="s">
        <v>3263</v>
      </c>
      <c r="N97" s="2" t="s">
        <v>27</v>
      </c>
      <c r="O97" s="2" t="s">
        <v>12129</v>
      </c>
      <c r="P97" s="2" t="s">
        <v>12129</v>
      </c>
      <c r="Q97" s="2" t="s">
        <v>12129</v>
      </c>
      <c r="R97" s="2" t="s">
        <v>12129</v>
      </c>
      <c r="S97" s="2" t="s">
        <v>12129</v>
      </c>
      <c r="T97" s="2" t="s">
        <v>12129</v>
      </c>
      <c r="U97" s="2" t="s">
        <v>13440</v>
      </c>
      <c r="V97" s="2" t="s">
        <v>14190</v>
      </c>
      <c r="W97" s="2" t="s">
        <v>14191</v>
      </c>
      <c r="X97" s="2" t="s">
        <v>13442</v>
      </c>
      <c r="Y97" s="2" t="s">
        <v>14192</v>
      </c>
      <c r="Z97" s="2" t="s">
        <v>13444</v>
      </c>
      <c r="AA97" s="2" t="s">
        <v>14193</v>
      </c>
      <c r="AB97" s="2" t="s">
        <v>14194</v>
      </c>
      <c r="AC97" s="2" t="s">
        <v>12129</v>
      </c>
      <c r="AD97" s="2" t="s">
        <v>12129</v>
      </c>
      <c r="AE97" s="2" t="s">
        <v>12129</v>
      </c>
      <c r="AF97" s="2" t="s">
        <v>12129</v>
      </c>
      <c r="AG97" s="2">
        <v>155.0</v>
      </c>
      <c r="AH97" s="2">
        <v>56.0</v>
      </c>
      <c r="AI97" s="2">
        <v>64.0</v>
      </c>
      <c r="AJ97" s="2">
        <v>0.0</v>
      </c>
      <c r="AK97" s="2">
        <v>57.0</v>
      </c>
      <c r="AL97" s="2" t="s">
        <v>14195</v>
      </c>
      <c r="AM97" s="2" t="s">
        <v>12196</v>
      </c>
      <c r="AN97" s="2" t="s">
        <v>14196</v>
      </c>
      <c r="AO97" s="2" t="s">
        <v>14197</v>
      </c>
      <c r="AP97" s="2" t="s">
        <v>14198</v>
      </c>
      <c r="AQ97" s="2" t="s">
        <v>12129</v>
      </c>
      <c r="AR97" s="2" t="s">
        <v>14199</v>
      </c>
      <c r="AS97" s="2" t="s">
        <v>14200</v>
      </c>
      <c r="AT97" s="2" t="s">
        <v>14201</v>
      </c>
      <c r="AU97" s="2">
        <v>2013.0</v>
      </c>
      <c r="AV97" s="2">
        <v>2.0</v>
      </c>
      <c r="AW97" s="2">
        <v>3.0</v>
      </c>
      <c r="AX97" s="2" t="s">
        <v>12129</v>
      </c>
      <c r="AY97" s="2" t="s">
        <v>12129</v>
      </c>
      <c r="AZ97" s="2" t="s">
        <v>12129</v>
      </c>
      <c r="BA97" s="2" t="s">
        <v>12129</v>
      </c>
      <c r="BB97" s="2">
        <v>282.0</v>
      </c>
      <c r="BC97" s="2">
        <v>303.0</v>
      </c>
      <c r="BD97" s="2" t="s">
        <v>12129</v>
      </c>
      <c r="BE97" s="2" t="s">
        <v>13450</v>
      </c>
      <c r="BF97" s="15" t="str">
        <f>HYPERLINK("http://dx.doi.org/10.1002/wene.41","http://dx.doi.org/10.1002/wene.41")</f>
        <v>http://dx.doi.org/10.1002/wene.41</v>
      </c>
      <c r="BG97" s="2" t="s">
        <v>12129</v>
      </c>
      <c r="BH97" s="2" t="s">
        <v>12129</v>
      </c>
      <c r="BI97" s="2">
        <v>22.0</v>
      </c>
      <c r="BJ97" s="2" t="s">
        <v>14202</v>
      </c>
      <c r="BK97" s="2" t="s">
        <v>12729</v>
      </c>
      <c r="BL97" s="2" t="s">
        <v>14202</v>
      </c>
      <c r="BM97" s="2" t="s">
        <v>14203</v>
      </c>
      <c r="BN97" s="2" t="s">
        <v>12129</v>
      </c>
      <c r="BO97" s="2" t="s">
        <v>12129</v>
      </c>
      <c r="BP97" s="2" t="s">
        <v>12129</v>
      </c>
      <c r="BQ97" s="2" t="s">
        <v>12129</v>
      </c>
      <c r="BR97" s="2" t="s">
        <v>12152</v>
      </c>
      <c r="BS97" s="2" t="s">
        <v>14204</v>
      </c>
      <c r="BT97" s="2" t="str">
        <f>HYPERLINK("https%3A%2F%2Fwww.webofscience.com%2Fwos%2Fwoscc%2Ffull-record%2FWOS:000343208300003","View Full Record in Web of Science")</f>
        <v>View Full Record in Web of Science</v>
      </c>
    </row>
    <row r="98" ht="12.75" customHeight="1">
      <c r="A98" s="2" t="s">
        <v>23</v>
      </c>
      <c r="B98" s="2" t="s">
        <v>14205</v>
      </c>
      <c r="C98" s="2" t="s">
        <v>12129</v>
      </c>
      <c r="D98" s="2" t="s">
        <v>12129</v>
      </c>
      <c r="E98" s="2" t="s">
        <v>12129</v>
      </c>
      <c r="F98" s="2" t="s">
        <v>14206</v>
      </c>
      <c r="G98" s="2" t="s">
        <v>12129</v>
      </c>
      <c r="H98" s="2" t="s">
        <v>12129</v>
      </c>
      <c r="I98" s="2" t="s">
        <v>14207</v>
      </c>
      <c r="J98" s="2" t="s">
        <v>14170</v>
      </c>
      <c r="K98" s="2" t="s">
        <v>12129</v>
      </c>
      <c r="L98" s="2" t="s">
        <v>12129</v>
      </c>
      <c r="M98" s="2" t="s">
        <v>3263</v>
      </c>
      <c r="N98" s="2" t="s">
        <v>35</v>
      </c>
      <c r="O98" s="2" t="s">
        <v>12129</v>
      </c>
      <c r="P98" s="2" t="s">
        <v>12129</v>
      </c>
      <c r="Q98" s="2" t="s">
        <v>12129</v>
      </c>
      <c r="R98" s="2" t="s">
        <v>12129</v>
      </c>
      <c r="S98" s="2" t="s">
        <v>12129</v>
      </c>
      <c r="T98" s="2" t="s">
        <v>12129</v>
      </c>
      <c r="U98" s="2" t="s">
        <v>14208</v>
      </c>
      <c r="V98" s="2" t="s">
        <v>14209</v>
      </c>
      <c r="W98" s="2" t="s">
        <v>14210</v>
      </c>
      <c r="X98" s="2" t="s">
        <v>14211</v>
      </c>
      <c r="Y98" s="2" t="s">
        <v>14212</v>
      </c>
      <c r="Z98" s="2" t="s">
        <v>14213</v>
      </c>
      <c r="AA98" s="2" t="s">
        <v>12129</v>
      </c>
      <c r="AB98" s="2" t="s">
        <v>14214</v>
      </c>
      <c r="AC98" s="2" t="s">
        <v>14215</v>
      </c>
      <c r="AD98" s="2" t="s">
        <v>14216</v>
      </c>
      <c r="AE98" s="2" t="s">
        <v>14217</v>
      </c>
      <c r="AF98" s="2" t="s">
        <v>12129</v>
      </c>
      <c r="AG98" s="2">
        <v>65.0</v>
      </c>
      <c r="AH98" s="2">
        <v>21.0</v>
      </c>
      <c r="AI98" s="2">
        <v>29.0</v>
      </c>
      <c r="AJ98" s="2">
        <v>1.0</v>
      </c>
      <c r="AK98" s="2">
        <v>87.0</v>
      </c>
      <c r="AL98" s="2" t="s">
        <v>12243</v>
      </c>
      <c r="AM98" s="2" t="s">
        <v>12244</v>
      </c>
      <c r="AN98" s="2" t="s">
        <v>12245</v>
      </c>
      <c r="AO98" s="2" t="s">
        <v>14182</v>
      </c>
      <c r="AP98" s="2" t="s">
        <v>14183</v>
      </c>
      <c r="AQ98" s="2" t="s">
        <v>12129</v>
      </c>
      <c r="AR98" s="2" t="s">
        <v>14170</v>
      </c>
      <c r="AS98" s="2" t="s">
        <v>14184</v>
      </c>
      <c r="AT98" s="2" t="s">
        <v>12459</v>
      </c>
      <c r="AU98" s="2">
        <v>2013.0</v>
      </c>
      <c r="AV98" s="2">
        <v>122.0</v>
      </c>
      <c r="AW98" s="2">
        <v>5.0</v>
      </c>
      <c r="AX98" s="2" t="s">
        <v>12129</v>
      </c>
      <c r="AY98" s="2" t="s">
        <v>12129</v>
      </c>
      <c r="AZ98" s="2" t="s">
        <v>12129</v>
      </c>
      <c r="BA98" s="2" t="s">
        <v>12129</v>
      </c>
      <c r="BB98" s="2">
        <v>790.0</v>
      </c>
      <c r="BC98" s="2">
        <v>800.0</v>
      </c>
      <c r="BD98" s="2" t="s">
        <v>12129</v>
      </c>
      <c r="BE98" s="2" t="s">
        <v>14218</v>
      </c>
      <c r="BF98" s="15" t="str">
        <f>HYPERLINK("http://dx.doi.org/10.1111/j.1600-0706.2012.20696.x","http://dx.doi.org/10.1111/j.1600-0706.2012.20696.x")</f>
        <v>http://dx.doi.org/10.1111/j.1600-0706.2012.20696.x</v>
      </c>
      <c r="BG98" s="2" t="s">
        <v>12129</v>
      </c>
      <c r="BH98" s="2" t="s">
        <v>12129</v>
      </c>
      <c r="BI98" s="2">
        <v>11.0</v>
      </c>
      <c r="BJ98" s="2" t="s">
        <v>814</v>
      </c>
      <c r="BK98" s="2" t="s">
        <v>12176</v>
      </c>
      <c r="BL98" s="2" t="s">
        <v>12251</v>
      </c>
      <c r="BM98" s="2" t="s">
        <v>14219</v>
      </c>
      <c r="BN98" s="2" t="s">
        <v>12129</v>
      </c>
      <c r="BO98" s="2" t="s">
        <v>12129</v>
      </c>
      <c r="BP98" s="2" t="s">
        <v>12129</v>
      </c>
      <c r="BQ98" s="2" t="s">
        <v>12129</v>
      </c>
      <c r="BR98" s="2" t="s">
        <v>12152</v>
      </c>
      <c r="BS98" s="2" t="s">
        <v>14220</v>
      </c>
      <c r="BT98" s="2" t="str">
        <f>HYPERLINK("https%3A%2F%2Fwww.webofscience.com%2Fwos%2Fwoscc%2Ffull-record%2FWOS:000317981400015","View Full Record in Web of Science")</f>
        <v>View Full Record in Web of Science</v>
      </c>
    </row>
    <row r="99" ht="12.75" customHeight="1">
      <c r="A99" s="2" t="s">
        <v>23</v>
      </c>
      <c r="B99" s="2" t="s">
        <v>14221</v>
      </c>
      <c r="C99" s="2" t="s">
        <v>12129</v>
      </c>
      <c r="D99" s="2" t="s">
        <v>12129</v>
      </c>
      <c r="E99" s="2" t="s">
        <v>12129</v>
      </c>
      <c r="F99" s="2" t="s">
        <v>14222</v>
      </c>
      <c r="G99" s="2" t="s">
        <v>12129</v>
      </c>
      <c r="H99" s="2" t="s">
        <v>12129</v>
      </c>
      <c r="I99" s="2" t="s">
        <v>14223</v>
      </c>
      <c r="J99" s="2" t="s">
        <v>315</v>
      </c>
      <c r="K99" s="2" t="s">
        <v>12129</v>
      </c>
      <c r="L99" s="2" t="s">
        <v>12129</v>
      </c>
      <c r="M99" s="2" t="s">
        <v>3263</v>
      </c>
      <c r="N99" s="2" t="s">
        <v>35</v>
      </c>
      <c r="O99" s="2" t="s">
        <v>12129</v>
      </c>
      <c r="P99" s="2" t="s">
        <v>12129</v>
      </c>
      <c r="Q99" s="2" t="s">
        <v>12129</v>
      </c>
      <c r="R99" s="2" t="s">
        <v>12129</v>
      </c>
      <c r="S99" s="2" t="s">
        <v>12129</v>
      </c>
      <c r="T99" s="2" t="s">
        <v>14224</v>
      </c>
      <c r="U99" s="2" t="s">
        <v>14225</v>
      </c>
      <c r="V99" s="2" t="s">
        <v>14226</v>
      </c>
      <c r="W99" s="2" t="s">
        <v>14227</v>
      </c>
      <c r="X99" s="2" t="s">
        <v>14228</v>
      </c>
      <c r="Y99" s="2" t="s">
        <v>14229</v>
      </c>
      <c r="Z99" s="2" t="s">
        <v>14230</v>
      </c>
      <c r="AA99" s="2" t="s">
        <v>14231</v>
      </c>
      <c r="AB99" s="2" t="s">
        <v>14232</v>
      </c>
      <c r="AC99" s="2" t="s">
        <v>12129</v>
      </c>
      <c r="AD99" s="2" t="s">
        <v>12129</v>
      </c>
      <c r="AE99" s="2" t="s">
        <v>12129</v>
      </c>
      <c r="AF99" s="2" t="s">
        <v>12129</v>
      </c>
      <c r="AG99" s="2">
        <v>56.0</v>
      </c>
      <c r="AH99" s="2">
        <v>47.0</v>
      </c>
      <c r="AI99" s="2">
        <v>58.0</v>
      </c>
      <c r="AJ99" s="2">
        <v>0.0</v>
      </c>
      <c r="AK99" s="2">
        <v>11.0</v>
      </c>
      <c r="AL99" s="2" t="s">
        <v>12392</v>
      </c>
      <c r="AM99" s="2" t="s">
        <v>12393</v>
      </c>
      <c r="AN99" s="2" t="s">
        <v>12394</v>
      </c>
      <c r="AO99" s="2" t="s">
        <v>5876</v>
      </c>
      <c r="AP99" s="2" t="s">
        <v>12129</v>
      </c>
      <c r="AQ99" s="2" t="s">
        <v>12129</v>
      </c>
      <c r="AR99" s="2" t="s">
        <v>12395</v>
      </c>
      <c r="AS99" s="2" t="s">
        <v>5884</v>
      </c>
      <c r="AT99" s="2" t="s">
        <v>14233</v>
      </c>
      <c r="AU99" s="2">
        <v>2013.0</v>
      </c>
      <c r="AV99" s="2">
        <v>8.0</v>
      </c>
      <c r="AW99" s="2">
        <v>2.0</v>
      </c>
      <c r="AX99" s="2" t="s">
        <v>12129</v>
      </c>
      <c r="AY99" s="2" t="s">
        <v>12129</v>
      </c>
      <c r="AZ99" s="2" t="s">
        <v>12129</v>
      </c>
      <c r="BA99" s="2" t="s">
        <v>12129</v>
      </c>
      <c r="BB99" s="2" t="s">
        <v>12129</v>
      </c>
      <c r="BC99" s="2" t="s">
        <v>12129</v>
      </c>
      <c r="BD99" s="2">
        <v>24034.0</v>
      </c>
      <c r="BE99" s="2" t="s">
        <v>14234</v>
      </c>
      <c r="BF99" s="15" t="str">
        <f>HYPERLINK("http://dx.doi.org/10.1088/1748-9326/8/2/024034","http://dx.doi.org/10.1088/1748-9326/8/2/024034")</f>
        <v>http://dx.doi.org/10.1088/1748-9326/8/2/024034</v>
      </c>
      <c r="BG99" s="2" t="s">
        <v>12129</v>
      </c>
      <c r="BH99" s="2" t="s">
        <v>12129</v>
      </c>
      <c r="BI99" s="2">
        <v>13.0</v>
      </c>
      <c r="BJ99" s="2" t="s">
        <v>319</v>
      </c>
      <c r="BK99" s="2" t="s">
        <v>12176</v>
      </c>
      <c r="BL99" s="2" t="s">
        <v>12397</v>
      </c>
      <c r="BM99" s="2" t="s">
        <v>14235</v>
      </c>
      <c r="BN99" s="2" t="s">
        <v>12129</v>
      </c>
      <c r="BO99" s="2" t="s">
        <v>12399</v>
      </c>
      <c r="BP99" s="2" t="s">
        <v>12129</v>
      </c>
      <c r="BQ99" s="2" t="s">
        <v>12129</v>
      </c>
      <c r="BR99" s="2" t="s">
        <v>12152</v>
      </c>
      <c r="BS99" s="2" t="s">
        <v>14236</v>
      </c>
      <c r="BT99" s="2" t="str">
        <f>HYPERLINK("https%3A%2F%2Fwww.webofscience.com%2Fwos%2Fwoscc%2Ffull-record%2FWOS:000321425100038","View Full Record in Web of Science")</f>
        <v>View Full Record in Web of Science</v>
      </c>
    </row>
    <row r="100" ht="12.75" customHeight="1">
      <c r="A100" s="2" t="s">
        <v>23</v>
      </c>
      <c r="B100" s="2" t="s">
        <v>14237</v>
      </c>
      <c r="C100" s="2" t="s">
        <v>12129</v>
      </c>
      <c r="D100" s="2" t="s">
        <v>12129</v>
      </c>
      <c r="E100" s="2" t="s">
        <v>12129</v>
      </c>
      <c r="F100" s="2" t="s">
        <v>14238</v>
      </c>
      <c r="G100" s="2" t="s">
        <v>12129</v>
      </c>
      <c r="H100" s="2" t="s">
        <v>12129</v>
      </c>
      <c r="I100" s="2" t="s">
        <v>14239</v>
      </c>
      <c r="J100" s="2" t="s">
        <v>14240</v>
      </c>
      <c r="K100" s="2" t="s">
        <v>12129</v>
      </c>
      <c r="L100" s="2" t="s">
        <v>12129</v>
      </c>
      <c r="M100" s="2" t="s">
        <v>3263</v>
      </c>
      <c r="N100" s="2" t="s">
        <v>35</v>
      </c>
      <c r="O100" s="2" t="s">
        <v>12129</v>
      </c>
      <c r="P100" s="2" t="s">
        <v>12129</v>
      </c>
      <c r="Q100" s="2" t="s">
        <v>12129</v>
      </c>
      <c r="R100" s="2" t="s">
        <v>12129</v>
      </c>
      <c r="S100" s="2" t="s">
        <v>12129</v>
      </c>
      <c r="T100" s="2" t="s">
        <v>14241</v>
      </c>
      <c r="U100" s="2" t="s">
        <v>14242</v>
      </c>
      <c r="V100" s="2" t="s">
        <v>14243</v>
      </c>
      <c r="W100" s="2" t="s">
        <v>14244</v>
      </c>
      <c r="X100" s="2" t="s">
        <v>14245</v>
      </c>
      <c r="Y100" s="2" t="s">
        <v>14246</v>
      </c>
      <c r="Z100" s="2" t="s">
        <v>14247</v>
      </c>
      <c r="AA100" s="2" t="s">
        <v>14248</v>
      </c>
      <c r="AB100" s="2" t="s">
        <v>12129</v>
      </c>
      <c r="AC100" s="2" t="s">
        <v>14249</v>
      </c>
      <c r="AD100" s="2" t="s">
        <v>14250</v>
      </c>
      <c r="AE100" s="2" t="s">
        <v>14251</v>
      </c>
      <c r="AF100" s="2" t="s">
        <v>12129</v>
      </c>
      <c r="AG100" s="2">
        <v>48.0</v>
      </c>
      <c r="AH100" s="2">
        <v>9.0</v>
      </c>
      <c r="AI100" s="2">
        <v>15.0</v>
      </c>
      <c r="AJ100" s="2">
        <v>0.0</v>
      </c>
      <c r="AK100" s="2">
        <v>160.0</v>
      </c>
      <c r="AL100" s="2" t="s">
        <v>13181</v>
      </c>
      <c r="AM100" s="2" t="s">
        <v>13961</v>
      </c>
      <c r="AN100" s="2" t="s">
        <v>13962</v>
      </c>
      <c r="AO100" s="2" t="s">
        <v>14252</v>
      </c>
      <c r="AP100" s="2" t="s">
        <v>14253</v>
      </c>
      <c r="AQ100" s="2" t="s">
        <v>12129</v>
      </c>
      <c r="AR100" s="2" t="s">
        <v>14254</v>
      </c>
      <c r="AS100" s="2" t="s">
        <v>14255</v>
      </c>
      <c r="AT100" s="2" t="s">
        <v>13078</v>
      </c>
      <c r="AU100" s="2">
        <v>2013.0</v>
      </c>
      <c r="AV100" s="2">
        <v>7.0</v>
      </c>
      <c r="AW100" s="2">
        <v>1.0</v>
      </c>
      <c r="AX100" s="2" t="s">
        <v>12129</v>
      </c>
      <c r="AY100" s="2" t="s">
        <v>12129</v>
      </c>
      <c r="AZ100" s="2" t="s">
        <v>12129</v>
      </c>
      <c r="BA100" s="2" t="s">
        <v>12129</v>
      </c>
      <c r="BB100" s="2">
        <v>92.0</v>
      </c>
      <c r="BC100" s="2">
        <v>102.0</v>
      </c>
      <c r="BD100" s="2" t="s">
        <v>12129</v>
      </c>
      <c r="BE100" s="2" t="s">
        <v>14256</v>
      </c>
      <c r="BF100" s="15" t="str">
        <f>HYPERLINK("http://dx.doi.org/10.1007/s11707-012-0335-x","http://dx.doi.org/10.1007/s11707-012-0335-x")</f>
        <v>http://dx.doi.org/10.1007/s11707-012-0335-x</v>
      </c>
      <c r="BG100" s="2" t="s">
        <v>12129</v>
      </c>
      <c r="BH100" s="2" t="s">
        <v>12129</v>
      </c>
      <c r="BI100" s="2">
        <v>11.0</v>
      </c>
      <c r="BJ100" s="2" t="s">
        <v>56</v>
      </c>
      <c r="BK100" s="2" t="s">
        <v>12176</v>
      </c>
      <c r="BL100" s="2" t="s">
        <v>14257</v>
      </c>
      <c r="BM100" s="2" t="s">
        <v>14258</v>
      </c>
      <c r="BN100" s="2" t="s">
        <v>12129</v>
      </c>
      <c r="BO100" s="2" t="s">
        <v>12129</v>
      </c>
      <c r="BP100" s="2" t="s">
        <v>12129</v>
      </c>
      <c r="BQ100" s="2" t="s">
        <v>12129</v>
      </c>
      <c r="BR100" s="2" t="s">
        <v>12152</v>
      </c>
      <c r="BS100" s="2" t="s">
        <v>14259</v>
      </c>
      <c r="BT100" s="2" t="str">
        <f>HYPERLINK("https%3A%2F%2Fwww.webofscience.com%2Fwos%2Fwoscc%2Ffull-record%2FWOS:000314279400009","View Full Record in Web of Science")</f>
        <v>View Full Record in Web of Science</v>
      </c>
    </row>
    <row r="101" ht="12.75" customHeight="1">
      <c r="A101" s="2" t="s">
        <v>23</v>
      </c>
      <c r="B101" s="2" t="s">
        <v>14260</v>
      </c>
      <c r="C101" s="2" t="s">
        <v>12129</v>
      </c>
      <c r="D101" s="2" t="s">
        <v>12129</v>
      </c>
      <c r="E101" s="2" t="s">
        <v>12129</v>
      </c>
      <c r="F101" s="2" t="s">
        <v>14261</v>
      </c>
      <c r="G101" s="2" t="s">
        <v>12129</v>
      </c>
      <c r="H101" s="2" t="s">
        <v>12129</v>
      </c>
      <c r="I101" s="2" t="s">
        <v>14262</v>
      </c>
      <c r="J101" s="2" t="s">
        <v>362</v>
      </c>
      <c r="K101" s="2" t="s">
        <v>12129</v>
      </c>
      <c r="L101" s="2" t="s">
        <v>12129</v>
      </c>
      <c r="M101" s="2" t="s">
        <v>3263</v>
      </c>
      <c r="N101" s="2" t="s">
        <v>27</v>
      </c>
      <c r="O101" s="2" t="s">
        <v>12129</v>
      </c>
      <c r="P101" s="2" t="s">
        <v>12129</v>
      </c>
      <c r="Q101" s="2" t="s">
        <v>12129</v>
      </c>
      <c r="R101" s="2" t="s">
        <v>12129</v>
      </c>
      <c r="S101" s="2" t="s">
        <v>12129</v>
      </c>
      <c r="T101" s="2" t="s">
        <v>12129</v>
      </c>
      <c r="U101" s="2" t="s">
        <v>12129</v>
      </c>
      <c r="V101" s="2" t="s">
        <v>14263</v>
      </c>
      <c r="W101" s="2" t="s">
        <v>14264</v>
      </c>
      <c r="X101" s="2" t="s">
        <v>14265</v>
      </c>
      <c r="Y101" s="2" t="s">
        <v>14266</v>
      </c>
      <c r="Z101" s="2" t="s">
        <v>14267</v>
      </c>
      <c r="AA101" s="2" t="s">
        <v>12129</v>
      </c>
      <c r="AB101" s="2" t="s">
        <v>12129</v>
      </c>
      <c r="AC101" s="2" t="s">
        <v>14268</v>
      </c>
      <c r="AD101" s="2" t="s">
        <v>14269</v>
      </c>
      <c r="AE101" s="2" t="s">
        <v>14270</v>
      </c>
      <c r="AF101" s="2" t="s">
        <v>12129</v>
      </c>
      <c r="AG101" s="2">
        <v>63.0</v>
      </c>
      <c r="AH101" s="2">
        <v>346.0</v>
      </c>
      <c r="AI101" s="2">
        <v>399.0</v>
      </c>
      <c r="AJ101" s="2">
        <v>8.0</v>
      </c>
      <c r="AK101" s="2">
        <v>266.0</v>
      </c>
      <c r="AL101" s="2" t="s">
        <v>12195</v>
      </c>
      <c r="AM101" s="2" t="s">
        <v>12196</v>
      </c>
      <c r="AN101" s="2" t="s">
        <v>12197</v>
      </c>
      <c r="AO101" s="2" t="s">
        <v>1877</v>
      </c>
      <c r="AP101" s="2" t="s">
        <v>12129</v>
      </c>
      <c r="AQ101" s="2" t="s">
        <v>12129</v>
      </c>
      <c r="AR101" s="2" t="s">
        <v>362</v>
      </c>
      <c r="AS101" s="2" t="s">
        <v>12198</v>
      </c>
      <c r="AT101" s="2" t="s">
        <v>14271</v>
      </c>
      <c r="AU101" s="2">
        <v>2013.0</v>
      </c>
      <c r="AV101" s="2">
        <v>8.0</v>
      </c>
      <c r="AW101" s="2">
        <v>1.0</v>
      </c>
      <c r="AX101" s="2" t="s">
        <v>12129</v>
      </c>
      <c r="AY101" s="2" t="s">
        <v>12129</v>
      </c>
      <c r="AZ101" s="2" t="s">
        <v>12129</v>
      </c>
      <c r="BA101" s="2" t="s">
        <v>12129</v>
      </c>
      <c r="BB101" s="2" t="s">
        <v>12129</v>
      </c>
      <c r="BC101" s="2" t="s">
        <v>12129</v>
      </c>
      <c r="BD101" s="2" t="s">
        <v>14272</v>
      </c>
      <c r="BE101" s="2" t="s">
        <v>14273</v>
      </c>
      <c r="BF101" s="15" t="str">
        <f>HYPERLINK("http://dx.doi.org/10.1371/journal.pone.0050719","http://dx.doi.org/10.1371/journal.pone.0050719")</f>
        <v>http://dx.doi.org/10.1371/journal.pone.0050719</v>
      </c>
      <c r="BG101" s="2" t="s">
        <v>12129</v>
      </c>
      <c r="BH101" s="2" t="s">
        <v>12129</v>
      </c>
      <c r="BI101" s="2">
        <v>24.0</v>
      </c>
      <c r="BJ101" s="2" t="s">
        <v>39</v>
      </c>
      <c r="BK101" s="2" t="s">
        <v>12176</v>
      </c>
      <c r="BL101" s="2" t="s">
        <v>12202</v>
      </c>
      <c r="BM101" s="2" t="s">
        <v>14274</v>
      </c>
      <c r="BN101" s="2">
        <v>2.3320065E7</v>
      </c>
      <c r="BO101" s="2" t="s">
        <v>12179</v>
      </c>
      <c r="BP101" s="2" t="s">
        <v>12129</v>
      </c>
      <c r="BQ101" s="2" t="s">
        <v>12129</v>
      </c>
      <c r="BR101" s="2" t="s">
        <v>12152</v>
      </c>
      <c r="BS101" s="2" t="s">
        <v>14275</v>
      </c>
      <c r="BT101" s="2" t="str">
        <f>HYPERLINK("https%3A%2F%2Fwww.webofscience.com%2Fwos%2Fwoscc%2Ffull-record%2FWOS:000313429800005","View Full Record in Web of Science")</f>
        <v>View Full Record in Web of Science</v>
      </c>
    </row>
    <row r="102" ht="12.75" customHeight="1">
      <c r="A102" s="2" t="s">
        <v>23</v>
      </c>
      <c r="B102" s="2" t="s">
        <v>14276</v>
      </c>
      <c r="C102" s="2" t="s">
        <v>12129</v>
      </c>
      <c r="D102" s="2" t="s">
        <v>12129</v>
      </c>
      <c r="E102" s="2" t="s">
        <v>12129</v>
      </c>
      <c r="F102" s="2" t="s">
        <v>14277</v>
      </c>
      <c r="G102" s="2" t="s">
        <v>12129</v>
      </c>
      <c r="H102" s="2" t="s">
        <v>12129</v>
      </c>
      <c r="I102" s="2" t="s">
        <v>14278</v>
      </c>
      <c r="J102" s="2" t="s">
        <v>14279</v>
      </c>
      <c r="K102" s="2" t="s">
        <v>12129</v>
      </c>
      <c r="L102" s="2" t="s">
        <v>12129</v>
      </c>
      <c r="M102" s="2" t="s">
        <v>3263</v>
      </c>
      <c r="N102" s="2" t="s">
        <v>27</v>
      </c>
      <c r="O102" s="2" t="s">
        <v>12129</v>
      </c>
      <c r="P102" s="2" t="s">
        <v>12129</v>
      </c>
      <c r="Q102" s="2" t="s">
        <v>12129</v>
      </c>
      <c r="R102" s="2" t="s">
        <v>12129</v>
      </c>
      <c r="S102" s="2" t="s">
        <v>12129</v>
      </c>
      <c r="T102" s="2" t="s">
        <v>14280</v>
      </c>
      <c r="U102" s="2" t="s">
        <v>14281</v>
      </c>
      <c r="V102" s="2" t="s">
        <v>14282</v>
      </c>
      <c r="W102" s="2" t="s">
        <v>14283</v>
      </c>
      <c r="X102" s="2" t="s">
        <v>12129</v>
      </c>
      <c r="Y102" s="2" t="s">
        <v>14284</v>
      </c>
      <c r="Z102" s="2" t="s">
        <v>14285</v>
      </c>
      <c r="AA102" s="2" t="s">
        <v>14286</v>
      </c>
      <c r="AB102" s="2" t="s">
        <v>14287</v>
      </c>
      <c r="AC102" s="2" t="s">
        <v>12129</v>
      </c>
      <c r="AD102" s="2" t="s">
        <v>12129</v>
      </c>
      <c r="AE102" s="2" t="s">
        <v>12129</v>
      </c>
      <c r="AF102" s="2" t="s">
        <v>12129</v>
      </c>
      <c r="AG102" s="2">
        <v>192.0</v>
      </c>
      <c r="AH102" s="2">
        <v>216.0</v>
      </c>
      <c r="AI102" s="2">
        <v>268.0</v>
      </c>
      <c r="AJ102" s="2">
        <v>4.0</v>
      </c>
      <c r="AK102" s="2">
        <v>459.0</v>
      </c>
      <c r="AL102" s="2" t="s">
        <v>12243</v>
      </c>
      <c r="AM102" s="2" t="s">
        <v>12244</v>
      </c>
      <c r="AN102" s="2" t="s">
        <v>12245</v>
      </c>
      <c r="AO102" s="2" t="s">
        <v>14288</v>
      </c>
      <c r="AP102" s="2" t="s">
        <v>14289</v>
      </c>
      <c r="AQ102" s="2" t="s">
        <v>12129</v>
      </c>
      <c r="AR102" s="2" t="s">
        <v>14290</v>
      </c>
      <c r="AS102" s="2" t="s">
        <v>14291</v>
      </c>
      <c r="AT102" s="2" t="s">
        <v>13127</v>
      </c>
      <c r="AU102" s="2">
        <v>2013.0</v>
      </c>
      <c r="AV102" s="2">
        <v>6.0</v>
      </c>
      <c r="AW102" s="2">
        <v>1.0</v>
      </c>
      <c r="AX102" s="2" t="s">
        <v>12129</v>
      </c>
      <c r="AY102" s="2" t="s">
        <v>12129</v>
      </c>
      <c r="AZ102" s="2" t="s">
        <v>12129</v>
      </c>
      <c r="BA102" s="2" t="s">
        <v>12129</v>
      </c>
      <c r="BB102" s="2">
        <v>5.0</v>
      </c>
      <c r="BC102" s="2">
        <v>19.0</v>
      </c>
      <c r="BD102" s="2" t="s">
        <v>12129</v>
      </c>
      <c r="BE102" s="2" t="s">
        <v>14292</v>
      </c>
      <c r="BF102" s="15" t="str">
        <f>HYPERLINK("http://dx.doi.org/10.1111/j.1752-4598.2012.00186.x","http://dx.doi.org/10.1111/j.1752-4598.2012.00186.x")</f>
        <v>http://dx.doi.org/10.1111/j.1752-4598.2012.00186.x</v>
      </c>
      <c r="BG102" s="2" t="s">
        <v>12129</v>
      </c>
      <c r="BH102" s="2" t="s">
        <v>12129</v>
      </c>
      <c r="BI102" s="2">
        <v>15.0</v>
      </c>
      <c r="BJ102" s="2" t="s">
        <v>14293</v>
      </c>
      <c r="BK102" s="2" t="s">
        <v>12176</v>
      </c>
      <c r="BL102" s="2" t="s">
        <v>14294</v>
      </c>
      <c r="BM102" s="2" t="s">
        <v>14295</v>
      </c>
      <c r="BN102" s="2" t="s">
        <v>12129</v>
      </c>
      <c r="BO102" s="2" t="s">
        <v>12129</v>
      </c>
      <c r="BP102" s="2" t="s">
        <v>12129</v>
      </c>
      <c r="BQ102" s="2" t="s">
        <v>12129</v>
      </c>
      <c r="BR102" s="2" t="s">
        <v>12152</v>
      </c>
      <c r="BS102" s="2" t="s">
        <v>14296</v>
      </c>
      <c r="BT102" s="2" t="str">
        <f>HYPERLINK("https%3A%2F%2Fwww.webofscience.com%2Fwos%2Fwoscc%2Ffull-record%2FWOS:000313880200002","View Full Record in Web of Science")</f>
        <v>View Full Record in Web of Science</v>
      </c>
    </row>
    <row r="103" ht="12.75" customHeight="1">
      <c r="A103" s="2" t="s">
        <v>23</v>
      </c>
      <c r="B103" s="2" t="s">
        <v>14297</v>
      </c>
      <c r="C103" s="2" t="s">
        <v>12129</v>
      </c>
      <c r="D103" s="2" t="s">
        <v>12129</v>
      </c>
      <c r="E103" s="2" t="s">
        <v>12129</v>
      </c>
      <c r="F103" s="2" t="s">
        <v>14298</v>
      </c>
      <c r="G103" s="2" t="s">
        <v>12129</v>
      </c>
      <c r="H103" s="2" t="s">
        <v>12129</v>
      </c>
      <c r="I103" s="2" t="s">
        <v>14299</v>
      </c>
      <c r="J103" s="2" t="s">
        <v>13855</v>
      </c>
      <c r="K103" s="2" t="s">
        <v>12129</v>
      </c>
      <c r="L103" s="2" t="s">
        <v>12129</v>
      </c>
      <c r="M103" s="2" t="s">
        <v>3263</v>
      </c>
      <c r="N103" s="2" t="s">
        <v>35</v>
      </c>
      <c r="O103" s="2" t="s">
        <v>12129</v>
      </c>
      <c r="P103" s="2" t="s">
        <v>12129</v>
      </c>
      <c r="Q103" s="2" t="s">
        <v>12129</v>
      </c>
      <c r="R103" s="2" t="s">
        <v>12129</v>
      </c>
      <c r="S103" s="2" t="s">
        <v>12129</v>
      </c>
      <c r="T103" s="2" t="s">
        <v>14300</v>
      </c>
      <c r="U103" s="2" t="s">
        <v>14301</v>
      </c>
      <c r="V103" s="2" t="s">
        <v>14302</v>
      </c>
      <c r="W103" s="2" t="s">
        <v>14303</v>
      </c>
      <c r="X103" s="2" t="s">
        <v>14304</v>
      </c>
      <c r="Y103" s="2" t="s">
        <v>14305</v>
      </c>
      <c r="Z103" s="2" t="s">
        <v>14306</v>
      </c>
      <c r="AA103" s="2" t="s">
        <v>14307</v>
      </c>
      <c r="AB103" s="2" t="s">
        <v>14308</v>
      </c>
      <c r="AC103" s="2" t="s">
        <v>12129</v>
      </c>
      <c r="AD103" s="2" t="s">
        <v>12129</v>
      </c>
      <c r="AE103" s="2" t="s">
        <v>12129</v>
      </c>
      <c r="AF103" s="2" t="s">
        <v>12129</v>
      </c>
      <c r="AG103" s="2">
        <v>42.0</v>
      </c>
      <c r="AH103" s="2">
        <v>65.0</v>
      </c>
      <c r="AI103" s="2">
        <v>80.0</v>
      </c>
      <c r="AJ103" s="2">
        <v>0.0</v>
      </c>
      <c r="AK103" s="2">
        <v>66.0</v>
      </c>
      <c r="AL103" s="2" t="s">
        <v>12269</v>
      </c>
      <c r="AM103" s="2" t="s">
        <v>12270</v>
      </c>
      <c r="AN103" s="2" t="s">
        <v>12271</v>
      </c>
      <c r="AO103" s="2" t="s">
        <v>13868</v>
      </c>
      <c r="AP103" s="2" t="s">
        <v>13869</v>
      </c>
      <c r="AQ103" s="2" t="s">
        <v>12129</v>
      </c>
      <c r="AR103" s="2" t="s">
        <v>13870</v>
      </c>
      <c r="AS103" s="2" t="s">
        <v>13871</v>
      </c>
      <c r="AT103" s="2" t="s">
        <v>14309</v>
      </c>
      <c r="AU103" s="2">
        <v>2012.0</v>
      </c>
      <c r="AV103" s="2">
        <v>166.0</v>
      </c>
      <c r="AW103" s="2" t="s">
        <v>12129</v>
      </c>
      <c r="AX103" s="2" t="s">
        <v>12129</v>
      </c>
      <c r="AY103" s="2" t="s">
        <v>12129</v>
      </c>
      <c r="AZ103" s="2" t="s">
        <v>12129</v>
      </c>
      <c r="BA103" s="2" t="s">
        <v>12129</v>
      </c>
      <c r="BB103" s="2">
        <v>50.0</v>
      </c>
      <c r="BC103" s="2">
        <v>61.0</v>
      </c>
      <c r="BD103" s="2" t="s">
        <v>12129</v>
      </c>
      <c r="BE103" s="2" t="s">
        <v>14310</v>
      </c>
      <c r="BF103" s="15" t="str">
        <f>HYPERLINK("http://dx.doi.org/10.1016/j.agrformet.2012.07.007","http://dx.doi.org/10.1016/j.agrformet.2012.07.007")</f>
        <v>http://dx.doi.org/10.1016/j.agrformet.2012.07.007</v>
      </c>
      <c r="BG103" s="2" t="s">
        <v>12129</v>
      </c>
      <c r="BH103" s="2" t="s">
        <v>12129</v>
      </c>
      <c r="BI103" s="2">
        <v>12.0</v>
      </c>
      <c r="BJ103" s="2" t="s">
        <v>13874</v>
      </c>
      <c r="BK103" s="2" t="s">
        <v>12176</v>
      </c>
      <c r="BL103" s="2" t="s">
        <v>13875</v>
      </c>
      <c r="BM103" s="2" t="s">
        <v>14311</v>
      </c>
      <c r="BN103" s="2" t="s">
        <v>12129</v>
      </c>
      <c r="BO103" s="2" t="s">
        <v>12129</v>
      </c>
      <c r="BP103" s="2" t="s">
        <v>12129</v>
      </c>
      <c r="BQ103" s="2" t="s">
        <v>12129</v>
      </c>
      <c r="BR103" s="2" t="s">
        <v>12152</v>
      </c>
      <c r="BS103" s="2" t="s">
        <v>14312</v>
      </c>
      <c r="BT103" s="2" t="str">
        <f>HYPERLINK("https%3A%2F%2Fwww.webofscience.com%2Fwos%2Fwoscc%2Ffull-record%2FWOS:000313479100007","View Full Record in Web of Science")</f>
        <v>View Full Record in Web of Science</v>
      </c>
    </row>
    <row r="104" ht="12.75" customHeight="1">
      <c r="A104" s="2" t="s">
        <v>23</v>
      </c>
      <c r="B104" s="2" t="s">
        <v>14313</v>
      </c>
      <c r="C104" s="2" t="s">
        <v>12129</v>
      </c>
      <c r="D104" s="2" t="s">
        <v>12129</v>
      </c>
      <c r="E104" s="2" t="s">
        <v>12129</v>
      </c>
      <c r="F104" s="2" t="s">
        <v>14314</v>
      </c>
      <c r="G104" s="2" t="s">
        <v>12129</v>
      </c>
      <c r="H104" s="2" t="s">
        <v>12129</v>
      </c>
      <c r="I104" s="2" t="s">
        <v>14315</v>
      </c>
      <c r="J104" s="2" t="s">
        <v>13360</v>
      </c>
      <c r="K104" s="2" t="s">
        <v>12129</v>
      </c>
      <c r="L104" s="2" t="s">
        <v>12129</v>
      </c>
      <c r="M104" s="2" t="s">
        <v>3263</v>
      </c>
      <c r="N104" s="2" t="s">
        <v>35</v>
      </c>
      <c r="O104" s="2" t="s">
        <v>12129</v>
      </c>
      <c r="P104" s="2" t="s">
        <v>12129</v>
      </c>
      <c r="Q104" s="2" t="s">
        <v>12129</v>
      </c>
      <c r="R104" s="2" t="s">
        <v>12129</v>
      </c>
      <c r="S104" s="2" t="s">
        <v>12129</v>
      </c>
      <c r="T104" s="2" t="s">
        <v>14316</v>
      </c>
      <c r="U104" s="2" t="s">
        <v>14317</v>
      </c>
      <c r="V104" s="2" t="s">
        <v>14318</v>
      </c>
      <c r="W104" s="2" t="s">
        <v>14319</v>
      </c>
      <c r="X104" s="2" t="s">
        <v>14320</v>
      </c>
      <c r="Y104" s="2" t="s">
        <v>14321</v>
      </c>
      <c r="Z104" s="2" t="s">
        <v>14322</v>
      </c>
      <c r="AA104" s="2" t="s">
        <v>12129</v>
      </c>
      <c r="AB104" s="2" t="s">
        <v>12129</v>
      </c>
      <c r="AC104" s="2" t="s">
        <v>14323</v>
      </c>
      <c r="AD104" s="2" t="s">
        <v>14324</v>
      </c>
      <c r="AE104" s="2" t="s">
        <v>14325</v>
      </c>
      <c r="AF104" s="2" t="s">
        <v>12129</v>
      </c>
      <c r="AG104" s="2">
        <v>44.0</v>
      </c>
      <c r="AH104" s="2">
        <v>10.0</v>
      </c>
      <c r="AI104" s="2">
        <v>10.0</v>
      </c>
      <c r="AJ104" s="2">
        <v>1.0</v>
      </c>
      <c r="AK104" s="2">
        <v>22.0</v>
      </c>
      <c r="AL104" s="2" t="s">
        <v>12321</v>
      </c>
      <c r="AM104" s="2" t="s">
        <v>12295</v>
      </c>
      <c r="AN104" s="2" t="s">
        <v>12454</v>
      </c>
      <c r="AO104" s="2" t="s">
        <v>13373</v>
      </c>
      <c r="AP104" s="2" t="s">
        <v>12129</v>
      </c>
      <c r="AQ104" s="2" t="s">
        <v>12129</v>
      </c>
      <c r="AR104" s="2" t="s">
        <v>13374</v>
      </c>
      <c r="AS104" s="2" t="s">
        <v>13375</v>
      </c>
      <c r="AT104" s="2" t="s">
        <v>12764</v>
      </c>
      <c r="AU104" s="2">
        <v>2012.0</v>
      </c>
      <c r="AV104" s="2">
        <v>38.0</v>
      </c>
      <c r="AW104" s="2">
        <v>4.0</v>
      </c>
      <c r="AX104" s="2" t="s">
        <v>12129</v>
      </c>
      <c r="AY104" s="2" t="s">
        <v>12129</v>
      </c>
      <c r="AZ104" s="2" t="s">
        <v>12129</v>
      </c>
      <c r="BA104" s="2" t="s">
        <v>12129</v>
      </c>
      <c r="BB104" s="2">
        <v>720.0</v>
      </c>
      <c r="BC104" s="2">
        <v>729.0</v>
      </c>
      <c r="BD104" s="2" t="s">
        <v>12129</v>
      </c>
      <c r="BE104" s="2" t="s">
        <v>14326</v>
      </c>
      <c r="BF104" s="15" t="str">
        <f>HYPERLINK("http://dx.doi.org/10.1016/j.jglr.2012.09.022","http://dx.doi.org/10.1016/j.jglr.2012.09.022")</f>
        <v>http://dx.doi.org/10.1016/j.jglr.2012.09.022</v>
      </c>
      <c r="BG104" s="2" t="s">
        <v>12129</v>
      </c>
      <c r="BH104" s="2" t="s">
        <v>12129</v>
      </c>
      <c r="BI104" s="2">
        <v>10.0</v>
      </c>
      <c r="BJ104" s="2" t="s">
        <v>13377</v>
      </c>
      <c r="BK104" s="2" t="s">
        <v>12176</v>
      </c>
      <c r="BL104" s="2" t="s">
        <v>12303</v>
      </c>
      <c r="BM104" s="2" t="s">
        <v>14327</v>
      </c>
      <c r="BN104" s="2" t="s">
        <v>12129</v>
      </c>
      <c r="BO104" s="2" t="s">
        <v>12253</v>
      </c>
      <c r="BP104" s="2" t="s">
        <v>12129</v>
      </c>
      <c r="BQ104" s="2" t="s">
        <v>12129</v>
      </c>
      <c r="BR104" s="2" t="s">
        <v>12152</v>
      </c>
      <c r="BS104" s="2" t="s">
        <v>14328</v>
      </c>
      <c r="BT104" s="2" t="str">
        <f>HYPERLINK("https%3A%2F%2Fwww.webofscience.com%2Fwos%2Fwoscc%2Ffull-record%2FWOS:000312183100013","View Full Record in Web of Science")</f>
        <v>View Full Record in Web of Science</v>
      </c>
    </row>
    <row r="105" ht="12.75" customHeight="1">
      <c r="A105" s="2" t="s">
        <v>23</v>
      </c>
      <c r="B105" s="2" t="s">
        <v>14329</v>
      </c>
      <c r="C105" s="2" t="s">
        <v>12129</v>
      </c>
      <c r="D105" s="2" t="s">
        <v>12129</v>
      </c>
      <c r="E105" s="2" t="s">
        <v>12129</v>
      </c>
      <c r="F105" s="2" t="s">
        <v>14330</v>
      </c>
      <c r="G105" s="2" t="s">
        <v>12129</v>
      </c>
      <c r="H105" s="2" t="s">
        <v>12129</v>
      </c>
      <c r="I105" s="2" t="s">
        <v>14331</v>
      </c>
      <c r="J105" s="2" t="s">
        <v>190</v>
      </c>
      <c r="K105" s="2" t="s">
        <v>12129</v>
      </c>
      <c r="L105" s="2" t="s">
        <v>12129</v>
      </c>
      <c r="M105" s="2" t="s">
        <v>3263</v>
      </c>
      <c r="N105" s="2" t="s">
        <v>35</v>
      </c>
      <c r="O105" s="2" t="s">
        <v>12129</v>
      </c>
      <c r="P105" s="2" t="s">
        <v>12129</v>
      </c>
      <c r="Q105" s="2" t="s">
        <v>12129</v>
      </c>
      <c r="R105" s="2" t="s">
        <v>12129</v>
      </c>
      <c r="S105" s="2" t="s">
        <v>12129</v>
      </c>
      <c r="T105" s="2" t="s">
        <v>14332</v>
      </c>
      <c r="U105" s="2" t="s">
        <v>14333</v>
      </c>
      <c r="V105" s="2" t="s">
        <v>14334</v>
      </c>
      <c r="W105" s="2" t="s">
        <v>14335</v>
      </c>
      <c r="X105" s="2" t="s">
        <v>14336</v>
      </c>
      <c r="Y105" s="2" t="s">
        <v>14337</v>
      </c>
      <c r="Z105" s="2" t="s">
        <v>14338</v>
      </c>
      <c r="AA105" s="2" t="s">
        <v>14339</v>
      </c>
      <c r="AB105" s="2" t="s">
        <v>14340</v>
      </c>
      <c r="AC105" s="2" t="s">
        <v>14341</v>
      </c>
      <c r="AD105" s="2" t="s">
        <v>14342</v>
      </c>
      <c r="AE105" s="2" t="s">
        <v>14343</v>
      </c>
      <c r="AF105" s="2" t="s">
        <v>12129</v>
      </c>
      <c r="AG105" s="2">
        <v>43.0</v>
      </c>
      <c r="AH105" s="2">
        <v>33.0</v>
      </c>
      <c r="AI105" s="2">
        <v>35.0</v>
      </c>
      <c r="AJ105" s="2">
        <v>2.0</v>
      </c>
      <c r="AK105" s="2">
        <v>121.0</v>
      </c>
      <c r="AL105" s="2" t="s">
        <v>12321</v>
      </c>
      <c r="AM105" s="2" t="s">
        <v>12295</v>
      </c>
      <c r="AN105" s="2" t="s">
        <v>12454</v>
      </c>
      <c r="AO105" s="2" t="s">
        <v>14344</v>
      </c>
      <c r="AP105" s="2" t="s">
        <v>14345</v>
      </c>
      <c r="AQ105" s="2" t="s">
        <v>12129</v>
      </c>
      <c r="AR105" s="2" t="s">
        <v>14346</v>
      </c>
      <c r="AS105" s="2" t="s">
        <v>14347</v>
      </c>
      <c r="AT105" s="2" t="s">
        <v>12764</v>
      </c>
      <c r="AU105" s="2">
        <v>2012.0</v>
      </c>
      <c r="AV105" s="2">
        <v>37.0</v>
      </c>
      <c r="AW105" s="2" t="s">
        <v>12129</v>
      </c>
      <c r="AX105" s="2" t="s">
        <v>12129</v>
      </c>
      <c r="AY105" s="2" t="s">
        <v>12129</v>
      </c>
      <c r="AZ105" s="2" t="s">
        <v>12129</v>
      </c>
      <c r="BA105" s="2" t="s">
        <v>12129</v>
      </c>
      <c r="BB105" s="2">
        <v>107.0</v>
      </c>
      <c r="BC105" s="2">
        <v>114.0</v>
      </c>
      <c r="BD105" s="2" t="s">
        <v>12129</v>
      </c>
      <c r="BE105" s="2" t="s">
        <v>14348</v>
      </c>
      <c r="BF105" s="15" t="str">
        <f>HYPERLINK("http://dx.doi.org/10.1016/j.jclepro.2012.06.016","http://dx.doi.org/10.1016/j.jclepro.2012.06.016")</f>
        <v>http://dx.doi.org/10.1016/j.jclepro.2012.06.016</v>
      </c>
      <c r="BG105" s="2" t="s">
        <v>12129</v>
      </c>
      <c r="BH105" s="2" t="s">
        <v>12129</v>
      </c>
      <c r="BI105" s="2">
        <v>8.0</v>
      </c>
      <c r="BJ105" s="2" t="s">
        <v>194</v>
      </c>
      <c r="BK105" s="2" t="s">
        <v>12729</v>
      </c>
      <c r="BL105" s="2" t="s">
        <v>14349</v>
      </c>
      <c r="BM105" s="2" t="s">
        <v>14350</v>
      </c>
      <c r="BN105" s="2" t="s">
        <v>12129</v>
      </c>
      <c r="BO105" s="2" t="s">
        <v>12538</v>
      </c>
      <c r="BP105" s="2" t="s">
        <v>12129</v>
      </c>
      <c r="BQ105" s="2" t="s">
        <v>12129</v>
      </c>
      <c r="BR105" s="2" t="s">
        <v>12152</v>
      </c>
      <c r="BS105" s="2" t="s">
        <v>14351</v>
      </c>
      <c r="BT105" s="2" t="str">
        <f>HYPERLINK("https%3A%2F%2Fwww.webofscience.com%2Fwos%2Fwoscc%2Ffull-record%2FWOS:000309375200010","View Full Record in Web of Science")</f>
        <v>View Full Record in Web of Science</v>
      </c>
    </row>
    <row r="106" ht="12.75" customHeight="1">
      <c r="A106" s="2" t="s">
        <v>23</v>
      </c>
      <c r="B106" s="2" t="s">
        <v>14352</v>
      </c>
      <c r="C106" s="2" t="s">
        <v>12129</v>
      </c>
      <c r="D106" s="2" t="s">
        <v>12129</v>
      </c>
      <c r="E106" s="2" t="s">
        <v>12129</v>
      </c>
      <c r="F106" s="2" t="s">
        <v>14353</v>
      </c>
      <c r="G106" s="2" t="s">
        <v>12129</v>
      </c>
      <c r="H106" s="2" t="s">
        <v>12129</v>
      </c>
      <c r="I106" s="2" t="s">
        <v>14354</v>
      </c>
      <c r="J106" s="2" t="s">
        <v>14355</v>
      </c>
      <c r="K106" s="2" t="s">
        <v>12129</v>
      </c>
      <c r="L106" s="2" t="s">
        <v>12129</v>
      </c>
      <c r="M106" s="2" t="s">
        <v>3263</v>
      </c>
      <c r="N106" s="2" t="s">
        <v>35</v>
      </c>
      <c r="O106" s="2" t="s">
        <v>12129</v>
      </c>
      <c r="P106" s="2" t="s">
        <v>12129</v>
      </c>
      <c r="Q106" s="2" t="s">
        <v>12129</v>
      </c>
      <c r="R106" s="2" t="s">
        <v>12129</v>
      </c>
      <c r="S106" s="2" t="s">
        <v>12129</v>
      </c>
      <c r="T106" s="2" t="s">
        <v>14356</v>
      </c>
      <c r="U106" s="2" t="s">
        <v>14357</v>
      </c>
      <c r="V106" s="2" t="s">
        <v>14358</v>
      </c>
      <c r="W106" s="2" t="s">
        <v>14359</v>
      </c>
      <c r="X106" s="2" t="s">
        <v>14360</v>
      </c>
      <c r="Y106" s="2" t="s">
        <v>14361</v>
      </c>
      <c r="Z106" s="2" t="s">
        <v>14362</v>
      </c>
      <c r="AA106" s="2" t="s">
        <v>12129</v>
      </c>
      <c r="AB106" s="2" t="s">
        <v>12129</v>
      </c>
      <c r="AC106" s="2" t="s">
        <v>14363</v>
      </c>
      <c r="AD106" s="2" t="s">
        <v>14363</v>
      </c>
      <c r="AE106" s="2" t="s">
        <v>14364</v>
      </c>
      <c r="AF106" s="2" t="s">
        <v>12129</v>
      </c>
      <c r="AG106" s="2">
        <v>68.0</v>
      </c>
      <c r="AH106" s="2">
        <v>30.0</v>
      </c>
      <c r="AI106" s="2">
        <v>38.0</v>
      </c>
      <c r="AJ106" s="2">
        <v>0.0</v>
      </c>
      <c r="AK106" s="2">
        <v>53.0</v>
      </c>
      <c r="AL106" s="2" t="s">
        <v>14365</v>
      </c>
      <c r="AM106" s="2" t="s">
        <v>14366</v>
      </c>
      <c r="AN106" s="2" t="s">
        <v>14367</v>
      </c>
      <c r="AO106" s="2" t="s">
        <v>14368</v>
      </c>
      <c r="AP106" s="2" t="s">
        <v>14369</v>
      </c>
      <c r="AQ106" s="2" t="s">
        <v>12129</v>
      </c>
      <c r="AR106" s="2" t="s">
        <v>14355</v>
      </c>
      <c r="AS106" s="2" t="s">
        <v>3208</v>
      </c>
      <c r="AT106" s="2" t="s">
        <v>13517</v>
      </c>
      <c r="AU106" s="2">
        <v>2012.0</v>
      </c>
      <c r="AV106" s="2">
        <v>46.0</v>
      </c>
      <c r="AW106" s="2">
        <v>4.0</v>
      </c>
      <c r="AX106" s="2" t="s">
        <v>12129</v>
      </c>
      <c r="AY106" s="2" t="s">
        <v>12129</v>
      </c>
      <c r="AZ106" s="2" t="s">
        <v>12129</v>
      </c>
      <c r="BA106" s="2" t="s">
        <v>12129</v>
      </c>
      <c r="BB106" s="2">
        <v>544.0</v>
      </c>
      <c r="BC106" s="2">
        <v>553.0</v>
      </c>
      <c r="BD106" s="2" t="s">
        <v>12129</v>
      </c>
      <c r="BE106" s="2" t="s">
        <v>14370</v>
      </c>
      <c r="BF106" s="15" t="str">
        <f>HYPERLINK("http://dx.doi.org/10.1017/S0030605311000937","http://dx.doi.org/10.1017/S0030605311000937")</f>
        <v>http://dx.doi.org/10.1017/S0030605311000937</v>
      </c>
      <c r="BG106" s="2" t="s">
        <v>12129</v>
      </c>
      <c r="BH106" s="2" t="s">
        <v>12129</v>
      </c>
      <c r="BI106" s="2">
        <v>10.0</v>
      </c>
      <c r="BJ106" s="2" t="s">
        <v>1121</v>
      </c>
      <c r="BK106" s="2" t="s">
        <v>12176</v>
      </c>
      <c r="BL106" s="2" t="s">
        <v>12376</v>
      </c>
      <c r="BM106" s="2" t="s">
        <v>14371</v>
      </c>
      <c r="BN106" s="2" t="s">
        <v>12129</v>
      </c>
      <c r="BO106" s="2" t="s">
        <v>12538</v>
      </c>
      <c r="BP106" s="2" t="s">
        <v>12129</v>
      </c>
      <c r="BQ106" s="2" t="s">
        <v>12129</v>
      </c>
      <c r="BR106" s="2" t="s">
        <v>12152</v>
      </c>
      <c r="BS106" s="2" t="s">
        <v>14372</v>
      </c>
      <c r="BT106" s="2" t="str">
        <f>HYPERLINK("https%3A%2F%2Fwww.webofscience.com%2Fwos%2Fwoscc%2Ffull-record%2FWOS:000309472600015","View Full Record in Web of Science")</f>
        <v>View Full Record in Web of Science</v>
      </c>
    </row>
    <row r="107" ht="12.75" customHeight="1">
      <c r="A107" s="2" t="s">
        <v>23</v>
      </c>
      <c r="B107" s="2" t="s">
        <v>14373</v>
      </c>
      <c r="C107" s="2" t="s">
        <v>12129</v>
      </c>
      <c r="D107" s="2" t="s">
        <v>12129</v>
      </c>
      <c r="E107" s="2" t="s">
        <v>12129</v>
      </c>
      <c r="F107" s="2" t="s">
        <v>14374</v>
      </c>
      <c r="G107" s="2" t="s">
        <v>12129</v>
      </c>
      <c r="H107" s="2" t="s">
        <v>12129</v>
      </c>
      <c r="I107" s="2" t="s">
        <v>14375</v>
      </c>
      <c r="J107" s="2" t="s">
        <v>362</v>
      </c>
      <c r="K107" s="2" t="s">
        <v>12129</v>
      </c>
      <c r="L107" s="2" t="s">
        <v>12129</v>
      </c>
      <c r="M107" s="2" t="s">
        <v>3263</v>
      </c>
      <c r="N107" s="2" t="s">
        <v>35</v>
      </c>
      <c r="O107" s="2" t="s">
        <v>12129</v>
      </c>
      <c r="P107" s="2" t="s">
        <v>12129</v>
      </c>
      <c r="Q107" s="2" t="s">
        <v>12129</v>
      </c>
      <c r="R107" s="2" t="s">
        <v>12129</v>
      </c>
      <c r="S107" s="2" t="s">
        <v>12129</v>
      </c>
      <c r="T107" s="2" t="s">
        <v>12129</v>
      </c>
      <c r="U107" s="2" t="s">
        <v>14376</v>
      </c>
      <c r="V107" s="2" t="s">
        <v>14377</v>
      </c>
      <c r="W107" s="2" t="s">
        <v>14378</v>
      </c>
      <c r="X107" s="2" t="s">
        <v>14379</v>
      </c>
      <c r="Y107" s="2" t="s">
        <v>14380</v>
      </c>
      <c r="Z107" s="2" t="s">
        <v>14381</v>
      </c>
      <c r="AA107" s="2" t="s">
        <v>14382</v>
      </c>
      <c r="AB107" s="2" t="s">
        <v>14383</v>
      </c>
      <c r="AC107" s="2" t="s">
        <v>14384</v>
      </c>
      <c r="AD107" s="2" t="s">
        <v>14384</v>
      </c>
      <c r="AE107" s="2" t="s">
        <v>14385</v>
      </c>
      <c r="AF107" s="2" t="s">
        <v>12129</v>
      </c>
      <c r="AG107" s="2">
        <v>159.0</v>
      </c>
      <c r="AH107" s="2">
        <v>54.0</v>
      </c>
      <c r="AI107" s="2">
        <v>68.0</v>
      </c>
      <c r="AJ107" s="2">
        <v>0.0</v>
      </c>
      <c r="AK107" s="2">
        <v>99.0</v>
      </c>
      <c r="AL107" s="2" t="s">
        <v>12195</v>
      </c>
      <c r="AM107" s="2" t="s">
        <v>12196</v>
      </c>
      <c r="AN107" s="2" t="s">
        <v>12197</v>
      </c>
      <c r="AO107" s="2" t="s">
        <v>1877</v>
      </c>
      <c r="AP107" s="2" t="s">
        <v>12129</v>
      </c>
      <c r="AQ107" s="2" t="s">
        <v>12129</v>
      </c>
      <c r="AR107" s="2" t="s">
        <v>362</v>
      </c>
      <c r="AS107" s="2" t="s">
        <v>12198</v>
      </c>
      <c r="AT107" s="2" t="s">
        <v>14386</v>
      </c>
      <c r="AU107" s="2">
        <v>2012.0</v>
      </c>
      <c r="AV107" s="2">
        <v>7.0</v>
      </c>
      <c r="AW107" s="2">
        <v>7.0</v>
      </c>
      <c r="AX107" s="2" t="s">
        <v>12129</v>
      </c>
      <c r="AY107" s="2" t="s">
        <v>12129</v>
      </c>
      <c r="AZ107" s="2" t="s">
        <v>12129</v>
      </c>
      <c r="BA107" s="2" t="s">
        <v>12129</v>
      </c>
      <c r="BB107" s="2" t="s">
        <v>12129</v>
      </c>
      <c r="BC107" s="2" t="s">
        <v>12129</v>
      </c>
      <c r="BD107" s="2" t="s">
        <v>14387</v>
      </c>
      <c r="BE107" s="2" t="s">
        <v>14388</v>
      </c>
      <c r="BF107" s="15" t="str">
        <f>HYPERLINK("http://dx.doi.org/10.1371/journal.pone.0039825","http://dx.doi.org/10.1371/journal.pone.0039825")</f>
        <v>http://dx.doi.org/10.1371/journal.pone.0039825</v>
      </c>
      <c r="BG107" s="2" t="s">
        <v>12129</v>
      </c>
      <c r="BH107" s="2" t="s">
        <v>12129</v>
      </c>
      <c r="BI107" s="2">
        <v>13.0</v>
      </c>
      <c r="BJ107" s="2" t="s">
        <v>39</v>
      </c>
      <c r="BK107" s="2" t="s">
        <v>12176</v>
      </c>
      <c r="BL107" s="2" t="s">
        <v>12202</v>
      </c>
      <c r="BM107" s="2" t="s">
        <v>14389</v>
      </c>
      <c r="BN107" s="2">
        <v>2.2808066E7</v>
      </c>
      <c r="BO107" s="2" t="s">
        <v>12179</v>
      </c>
      <c r="BP107" s="2" t="s">
        <v>12129</v>
      </c>
      <c r="BQ107" s="2" t="s">
        <v>12129</v>
      </c>
      <c r="BR107" s="2" t="s">
        <v>12152</v>
      </c>
      <c r="BS107" s="2" t="s">
        <v>14390</v>
      </c>
      <c r="BT107" s="2" t="str">
        <f>HYPERLINK("https%3A%2F%2Fwww.webofscience.com%2Fwos%2Fwoscc%2Ffull-record%2FWOS:000306362400022","View Full Record in Web of Science")</f>
        <v>View Full Record in Web of Science</v>
      </c>
    </row>
    <row r="108" ht="12.75" customHeight="1">
      <c r="A108" s="2" t="s">
        <v>23</v>
      </c>
      <c r="B108" s="2" t="s">
        <v>14391</v>
      </c>
      <c r="C108" s="2" t="s">
        <v>12129</v>
      </c>
      <c r="D108" s="2" t="s">
        <v>12129</v>
      </c>
      <c r="E108" s="2" t="s">
        <v>12129</v>
      </c>
      <c r="F108" s="2" t="s">
        <v>14392</v>
      </c>
      <c r="G108" s="2" t="s">
        <v>12129</v>
      </c>
      <c r="H108" s="2" t="s">
        <v>12129</v>
      </c>
      <c r="I108" s="2" t="s">
        <v>14393</v>
      </c>
      <c r="J108" s="2" t="s">
        <v>14394</v>
      </c>
      <c r="K108" s="2" t="s">
        <v>12129</v>
      </c>
      <c r="L108" s="2" t="s">
        <v>12129</v>
      </c>
      <c r="M108" s="2" t="s">
        <v>3263</v>
      </c>
      <c r="N108" s="2" t="s">
        <v>35</v>
      </c>
      <c r="O108" s="2" t="s">
        <v>12129</v>
      </c>
      <c r="P108" s="2" t="s">
        <v>12129</v>
      </c>
      <c r="Q108" s="2" t="s">
        <v>12129</v>
      </c>
      <c r="R108" s="2" t="s">
        <v>12129</v>
      </c>
      <c r="S108" s="2" t="s">
        <v>12129</v>
      </c>
      <c r="T108" s="2" t="s">
        <v>14395</v>
      </c>
      <c r="U108" s="2" t="s">
        <v>14396</v>
      </c>
      <c r="V108" s="2" t="s">
        <v>14397</v>
      </c>
      <c r="W108" s="2" t="s">
        <v>14398</v>
      </c>
      <c r="X108" s="2" t="s">
        <v>14399</v>
      </c>
      <c r="Y108" s="2" t="s">
        <v>14400</v>
      </c>
      <c r="Z108" s="2" t="s">
        <v>14401</v>
      </c>
      <c r="AA108" s="2" t="s">
        <v>14402</v>
      </c>
      <c r="AB108" s="2" t="s">
        <v>14403</v>
      </c>
      <c r="AC108" s="2" t="s">
        <v>14404</v>
      </c>
      <c r="AD108" s="2" t="s">
        <v>14405</v>
      </c>
      <c r="AE108" s="2" t="s">
        <v>14406</v>
      </c>
      <c r="AF108" s="2" t="s">
        <v>12129</v>
      </c>
      <c r="AG108" s="2">
        <v>97.0</v>
      </c>
      <c r="AH108" s="2">
        <v>11.0</v>
      </c>
      <c r="AI108" s="2">
        <v>12.0</v>
      </c>
      <c r="AJ108" s="2">
        <v>1.0</v>
      </c>
      <c r="AK108" s="2">
        <v>21.0</v>
      </c>
      <c r="AL108" s="2" t="s">
        <v>13181</v>
      </c>
      <c r="AM108" s="2" t="s">
        <v>13961</v>
      </c>
      <c r="AN108" s="2" t="s">
        <v>13962</v>
      </c>
      <c r="AO108" s="2" t="s">
        <v>14407</v>
      </c>
      <c r="AP108" s="2" t="s">
        <v>14408</v>
      </c>
      <c r="AQ108" s="2" t="s">
        <v>12129</v>
      </c>
      <c r="AR108" s="2" t="s">
        <v>14409</v>
      </c>
      <c r="AS108" s="2" t="s">
        <v>14410</v>
      </c>
      <c r="AT108" s="2" t="s">
        <v>12352</v>
      </c>
      <c r="AU108" s="2">
        <v>2012.0</v>
      </c>
      <c r="AV108" s="2">
        <v>35.0</v>
      </c>
      <c r="AW108" s="2">
        <v>4.0</v>
      </c>
      <c r="AX108" s="2" t="s">
        <v>12129</v>
      </c>
      <c r="AY108" s="2" t="s">
        <v>12129</v>
      </c>
      <c r="AZ108" s="2" t="s">
        <v>12129</v>
      </c>
      <c r="BA108" s="2" t="s">
        <v>12129</v>
      </c>
      <c r="BB108" s="2">
        <v>1082.0</v>
      </c>
      <c r="BC108" s="2">
        <v>1099.0</v>
      </c>
      <c r="BD108" s="2" t="s">
        <v>12129</v>
      </c>
      <c r="BE108" s="2" t="s">
        <v>14411</v>
      </c>
      <c r="BF108" s="15" t="str">
        <f>HYPERLINK("http://dx.doi.org/10.1007/s12237-012-9506-y","http://dx.doi.org/10.1007/s12237-012-9506-y")</f>
        <v>http://dx.doi.org/10.1007/s12237-012-9506-y</v>
      </c>
      <c r="BG108" s="2" t="s">
        <v>12129</v>
      </c>
      <c r="BH108" s="2" t="s">
        <v>12129</v>
      </c>
      <c r="BI108" s="2">
        <v>18.0</v>
      </c>
      <c r="BJ108" s="2" t="s">
        <v>145</v>
      </c>
      <c r="BK108" s="2" t="s">
        <v>12176</v>
      </c>
      <c r="BL108" s="2" t="s">
        <v>12303</v>
      </c>
      <c r="BM108" s="2" t="s">
        <v>14412</v>
      </c>
      <c r="BN108" s="2" t="s">
        <v>12129</v>
      </c>
      <c r="BO108" s="2" t="s">
        <v>12129</v>
      </c>
      <c r="BP108" s="2" t="s">
        <v>12129</v>
      </c>
      <c r="BQ108" s="2" t="s">
        <v>12129</v>
      </c>
      <c r="BR108" s="2" t="s">
        <v>12152</v>
      </c>
      <c r="BS108" s="2" t="s">
        <v>14413</v>
      </c>
      <c r="BT108" s="2" t="str">
        <f>HYPERLINK("https%3A%2F%2Fwww.webofscience.com%2Fwos%2Fwoscc%2Ffull-record%2FWOS:000304697600014","View Full Record in Web of Science")</f>
        <v>View Full Record in Web of Science</v>
      </c>
    </row>
    <row r="109" ht="12.75" customHeight="1">
      <c r="A109" s="2" t="s">
        <v>23</v>
      </c>
      <c r="B109" s="2" t="s">
        <v>14414</v>
      </c>
      <c r="C109" s="2" t="s">
        <v>12129</v>
      </c>
      <c r="D109" s="2" t="s">
        <v>12129</v>
      </c>
      <c r="E109" s="2" t="s">
        <v>12129</v>
      </c>
      <c r="F109" s="2" t="s">
        <v>14415</v>
      </c>
      <c r="G109" s="2" t="s">
        <v>12129</v>
      </c>
      <c r="H109" s="2" t="s">
        <v>12129</v>
      </c>
      <c r="I109" s="2" t="s">
        <v>14416</v>
      </c>
      <c r="J109" s="2" t="s">
        <v>13779</v>
      </c>
      <c r="K109" s="2" t="s">
        <v>12129</v>
      </c>
      <c r="L109" s="2" t="s">
        <v>12129</v>
      </c>
      <c r="M109" s="2" t="s">
        <v>3263</v>
      </c>
      <c r="N109" s="2" t="s">
        <v>35</v>
      </c>
      <c r="O109" s="2" t="s">
        <v>12129</v>
      </c>
      <c r="P109" s="2" t="s">
        <v>12129</v>
      </c>
      <c r="Q109" s="2" t="s">
        <v>12129</v>
      </c>
      <c r="R109" s="2" t="s">
        <v>12129</v>
      </c>
      <c r="S109" s="2" t="s">
        <v>12129</v>
      </c>
      <c r="T109" s="2" t="s">
        <v>14417</v>
      </c>
      <c r="U109" s="2" t="s">
        <v>14418</v>
      </c>
      <c r="V109" s="2" t="s">
        <v>14419</v>
      </c>
      <c r="W109" s="2" t="s">
        <v>14420</v>
      </c>
      <c r="X109" s="2" t="s">
        <v>14421</v>
      </c>
      <c r="Y109" s="2" t="s">
        <v>14422</v>
      </c>
      <c r="Z109" s="2" t="s">
        <v>14423</v>
      </c>
      <c r="AA109" s="2" t="s">
        <v>14424</v>
      </c>
      <c r="AB109" s="2" t="s">
        <v>14425</v>
      </c>
      <c r="AC109" s="2" t="s">
        <v>14426</v>
      </c>
      <c r="AD109" s="2" t="s">
        <v>14426</v>
      </c>
      <c r="AE109" s="2" t="s">
        <v>14427</v>
      </c>
      <c r="AF109" s="2" t="s">
        <v>12129</v>
      </c>
      <c r="AG109" s="2">
        <v>59.0</v>
      </c>
      <c r="AH109" s="2">
        <v>65.0</v>
      </c>
      <c r="AI109" s="2">
        <v>66.0</v>
      </c>
      <c r="AJ109" s="2">
        <v>1.0</v>
      </c>
      <c r="AK109" s="2">
        <v>72.0</v>
      </c>
      <c r="AL109" s="2" t="s">
        <v>13792</v>
      </c>
      <c r="AM109" s="2" t="s">
        <v>12295</v>
      </c>
      <c r="AN109" s="2" t="s">
        <v>13793</v>
      </c>
      <c r="AO109" s="2" t="s">
        <v>13794</v>
      </c>
      <c r="AP109" s="2" t="s">
        <v>13795</v>
      </c>
      <c r="AQ109" s="2" t="s">
        <v>12129</v>
      </c>
      <c r="AR109" s="2" t="s">
        <v>13796</v>
      </c>
      <c r="AS109" s="2" t="s">
        <v>13797</v>
      </c>
      <c r="AT109" s="2" t="s">
        <v>12352</v>
      </c>
      <c r="AU109" s="2">
        <v>2012.0</v>
      </c>
      <c r="AV109" s="2">
        <v>69.0</v>
      </c>
      <c r="AW109" s="2">
        <v>6.0</v>
      </c>
      <c r="AX109" s="2" t="s">
        <v>12129</v>
      </c>
      <c r="AY109" s="2" t="s">
        <v>12129</v>
      </c>
      <c r="AZ109" s="2" t="s">
        <v>12129</v>
      </c>
      <c r="BA109" s="2" t="s">
        <v>12129</v>
      </c>
      <c r="BB109" s="2">
        <v>961.0</v>
      </c>
      <c r="BC109" s="2">
        <v>970.0</v>
      </c>
      <c r="BD109" s="2" t="s">
        <v>12129</v>
      </c>
      <c r="BE109" s="2" t="s">
        <v>14428</v>
      </c>
      <c r="BF109" s="15" t="str">
        <f>HYPERLINK("http://dx.doi.org/10.1093/icesjms/fss072","http://dx.doi.org/10.1093/icesjms/fss072")</f>
        <v>http://dx.doi.org/10.1093/icesjms/fss072</v>
      </c>
      <c r="BG109" s="2" t="s">
        <v>12129</v>
      </c>
      <c r="BH109" s="2" t="s">
        <v>12129</v>
      </c>
      <c r="BI109" s="2">
        <v>10.0</v>
      </c>
      <c r="BJ109" s="2" t="s">
        <v>13800</v>
      </c>
      <c r="BK109" s="2" t="s">
        <v>12176</v>
      </c>
      <c r="BL109" s="2" t="s">
        <v>13800</v>
      </c>
      <c r="BM109" s="2" t="s">
        <v>14429</v>
      </c>
      <c r="BN109" s="2" t="s">
        <v>12129</v>
      </c>
      <c r="BO109" s="2" t="s">
        <v>12538</v>
      </c>
      <c r="BP109" s="2" t="s">
        <v>12129</v>
      </c>
      <c r="BQ109" s="2" t="s">
        <v>12129</v>
      </c>
      <c r="BR109" s="2" t="s">
        <v>12152</v>
      </c>
      <c r="BS109" s="2" t="s">
        <v>14430</v>
      </c>
      <c r="BT109" s="2" t="str">
        <f>HYPERLINK("https%3A%2F%2Fwww.webofscience.com%2Fwos%2Fwoscc%2Ffull-record%2FWOS:000305461200004","View Full Record in Web of Science")</f>
        <v>View Full Record in Web of Science</v>
      </c>
    </row>
    <row r="110" ht="12.75" customHeight="1">
      <c r="A110" s="2" t="s">
        <v>23</v>
      </c>
      <c r="B110" s="2" t="s">
        <v>14431</v>
      </c>
      <c r="C110" s="2" t="s">
        <v>12129</v>
      </c>
      <c r="D110" s="2" t="s">
        <v>12129</v>
      </c>
      <c r="E110" s="2" t="s">
        <v>12129</v>
      </c>
      <c r="F110" s="2" t="s">
        <v>14432</v>
      </c>
      <c r="G110" s="2" t="s">
        <v>12129</v>
      </c>
      <c r="H110" s="2" t="s">
        <v>12129</v>
      </c>
      <c r="I110" s="2" t="s">
        <v>14433</v>
      </c>
      <c r="J110" s="2" t="s">
        <v>771</v>
      </c>
      <c r="K110" s="2" t="s">
        <v>12129</v>
      </c>
      <c r="L110" s="2" t="s">
        <v>12129</v>
      </c>
      <c r="M110" s="2" t="s">
        <v>3263</v>
      </c>
      <c r="N110" s="2" t="s">
        <v>35</v>
      </c>
      <c r="O110" s="2" t="s">
        <v>12129</v>
      </c>
      <c r="P110" s="2" t="s">
        <v>12129</v>
      </c>
      <c r="Q110" s="2" t="s">
        <v>12129</v>
      </c>
      <c r="R110" s="2" t="s">
        <v>12129</v>
      </c>
      <c r="S110" s="2" t="s">
        <v>12129</v>
      </c>
      <c r="T110" s="2" t="s">
        <v>14434</v>
      </c>
      <c r="U110" s="2" t="s">
        <v>14435</v>
      </c>
      <c r="V110" s="2" t="s">
        <v>14436</v>
      </c>
      <c r="W110" s="2" t="s">
        <v>14437</v>
      </c>
      <c r="X110" s="2" t="s">
        <v>14438</v>
      </c>
      <c r="Y110" s="2" t="s">
        <v>14439</v>
      </c>
      <c r="Z110" s="2" t="s">
        <v>14440</v>
      </c>
      <c r="AA110" s="2" t="s">
        <v>14441</v>
      </c>
      <c r="AB110" s="2" t="s">
        <v>14442</v>
      </c>
      <c r="AC110" s="2" t="s">
        <v>14443</v>
      </c>
      <c r="AD110" s="2" t="s">
        <v>14444</v>
      </c>
      <c r="AE110" s="2" t="s">
        <v>14445</v>
      </c>
      <c r="AF110" s="2" t="s">
        <v>12129</v>
      </c>
      <c r="AG110" s="2">
        <v>64.0</v>
      </c>
      <c r="AH110" s="2">
        <v>99.0</v>
      </c>
      <c r="AI110" s="2">
        <v>107.0</v>
      </c>
      <c r="AJ110" s="2">
        <v>0.0</v>
      </c>
      <c r="AK110" s="2">
        <v>176.0</v>
      </c>
      <c r="AL110" s="2" t="s">
        <v>12243</v>
      </c>
      <c r="AM110" s="2" t="s">
        <v>12244</v>
      </c>
      <c r="AN110" s="2" t="s">
        <v>12245</v>
      </c>
      <c r="AO110" s="2" t="s">
        <v>12783</v>
      </c>
      <c r="AP110" s="2" t="s">
        <v>12784</v>
      </c>
      <c r="AQ110" s="2" t="s">
        <v>12129</v>
      </c>
      <c r="AR110" s="2" t="s">
        <v>12785</v>
      </c>
      <c r="AS110" s="2" t="s">
        <v>12786</v>
      </c>
      <c r="AT110" s="2" t="s">
        <v>12352</v>
      </c>
      <c r="AU110" s="2">
        <v>2012.0</v>
      </c>
      <c r="AV110" s="2">
        <v>18.0</v>
      </c>
      <c r="AW110" s="2">
        <v>7.0</v>
      </c>
      <c r="AX110" s="2" t="s">
        <v>12129</v>
      </c>
      <c r="AY110" s="2" t="s">
        <v>12129</v>
      </c>
      <c r="AZ110" s="2" t="s">
        <v>12129</v>
      </c>
      <c r="BA110" s="2" t="s">
        <v>12129</v>
      </c>
      <c r="BB110" s="2">
        <v>2184.0</v>
      </c>
      <c r="BC110" s="2">
        <v>2194.0</v>
      </c>
      <c r="BD110" s="2" t="s">
        <v>12129</v>
      </c>
      <c r="BE110" s="2" t="s">
        <v>14446</v>
      </c>
      <c r="BF110" s="15" t="str">
        <f>HYPERLINK("http://dx.doi.org/10.1111/j.1365-2486.2012.02662.x","http://dx.doi.org/10.1111/j.1365-2486.2012.02662.x")</f>
        <v>http://dx.doi.org/10.1111/j.1365-2486.2012.02662.x</v>
      </c>
      <c r="BG110" s="2" t="s">
        <v>12129</v>
      </c>
      <c r="BH110" s="2" t="s">
        <v>12129</v>
      </c>
      <c r="BI110" s="2">
        <v>11.0</v>
      </c>
      <c r="BJ110" s="2" t="s">
        <v>252</v>
      </c>
      <c r="BK110" s="2" t="s">
        <v>12176</v>
      </c>
      <c r="BL110" s="2" t="s">
        <v>12376</v>
      </c>
      <c r="BM110" s="2" t="s">
        <v>14447</v>
      </c>
      <c r="BN110" s="2" t="s">
        <v>12129</v>
      </c>
      <c r="BO110" s="2" t="s">
        <v>12129</v>
      </c>
      <c r="BP110" s="2" t="s">
        <v>12129</v>
      </c>
      <c r="BQ110" s="2" t="s">
        <v>12129</v>
      </c>
      <c r="BR110" s="2" t="s">
        <v>12152</v>
      </c>
      <c r="BS110" s="2" t="s">
        <v>14448</v>
      </c>
      <c r="BT110" s="2" t="str">
        <f>HYPERLINK("https%3A%2F%2Fwww.webofscience.com%2Fwos%2Fwoscc%2Ffull-record%2FWOS:000304820300009","View Full Record in Web of Science")</f>
        <v>View Full Record in Web of Science</v>
      </c>
    </row>
    <row r="111" ht="12.75" customHeight="1">
      <c r="A111" s="2" t="s">
        <v>23</v>
      </c>
      <c r="B111" s="2" t="s">
        <v>14449</v>
      </c>
      <c r="C111" s="2" t="s">
        <v>12129</v>
      </c>
      <c r="D111" s="2" t="s">
        <v>12129</v>
      </c>
      <c r="E111" s="2" t="s">
        <v>12129</v>
      </c>
      <c r="F111" s="2" t="s">
        <v>14450</v>
      </c>
      <c r="G111" s="2" t="s">
        <v>12129</v>
      </c>
      <c r="H111" s="2" t="s">
        <v>12129</v>
      </c>
      <c r="I111" s="2" t="s">
        <v>14451</v>
      </c>
      <c r="J111" s="2" t="s">
        <v>14452</v>
      </c>
      <c r="K111" s="2" t="s">
        <v>12129</v>
      </c>
      <c r="L111" s="2" t="s">
        <v>12129</v>
      </c>
      <c r="M111" s="2" t="s">
        <v>3263</v>
      </c>
      <c r="N111" s="2" t="s">
        <v>35</v>
      </c>
      <c r="O111" s="2" t="s">
        <v>12129</v>
      </c>
      <c r="P111" s="2" t="s">
        <v>12129</v>
      </c>
      <c r="Q111" s="2" t="s">
        <v>12129</v>
      </c>
      <c r="R111" s="2" t="s">
        <v>12129</v>
      </c>
      <c r="S111" s="2" t="s">
        <v>12129</v>
      </c>
      <c r="T111" s="2" t="s">
        <v>12129</v>
      </c>
      <c r="U111" s="2" t="s">
        <v>14453</v>
      </c>
      <c r="V111" s="2" t="s">
        <v>14454</v>
      </c>
      <c r="W111" s="2" t="s">
        <v>14455</v>
      </c>
      <c r="X111" s="2" t="s">
        <v>14456</v>
      </c>
      <c r="Y111" s="2" t="s">
        <v>14457</v>
      </c>
      <c r="Z111" s="2" t="s">
        <v>14458</v>
      </c>
      <c r="AA111" s="2" t="s">
        <v>14459</v>
      </c>
      <c r="AB111" s="2" t="s">
        <v>14460</v>
      </c>
      <c r="AC111" s="2" t="s">
        <v>14461</v>
      </c>
      <c r="AD111" s="2" t="s">
        <v>14462</v>
      </c>
      <c r="AE111" s="2" t="s">
        <v>14463</v>
      </c>
      <c r="AF111" s="2" t="s">
        <v>12129</v>
      </c>
      <c r="AG111" s="2">
        <v>84.0</v>
      </c>
      <c r="AH111" s="2">
        <v>53.0</v>
      </c>
      <c r="AI111" s="2">
        <v>63.0</v>
      </c>
      <c r="AJ111" s="2">
        <v>0.0</v>
      </c>
      <c r="AK111" s="2">
        <v>7.0</v>
      </c>
      <c r="AL111" s="2" t="s">
        <v>14464</v>
      </c>
      <c r="AM111" s="2" t="s">
        <v>12632</v>
      </c>
      <c r="AN111" s="2" t="s">
        <v>14465</v>
      </c>
      <c r="AO111" s="2" t="s">
        <v>14466</v>
      </c>
      <c r="AP111" s="2" t="s">
        <v>14467</v>
      </c>
      <c r="AQ111" s="2" t="s">
        <v>12129</v>
      </c>
      <c r="AR111" s="2" t="s">
        <v>14468</v>
      </c>
      <c r="AS111" s="2" t="s">
        <v>14469</v>
      </c>
      <c r="AT111" s="2" t="s">
        <v>14470</v>
      </c>
      <c r="AU111" s="2">
        <v>2012.0</v>
      </c>
      <c r="AV111" s="2">
        <v>117.0</v>
      </c>
      <c r="AW111" s="2" t="s">
        <v>12129</v>
      </c>
      <c r="AX111" s="2" t="s">
        <v>12129</v>
      </c>
      <c r="AY111" s="2" t="s">
        <v>12129</v>
      </c>
      <c r="AZ111" s="2" t="s">
        <v>12129</v>
      </c>
      <c r="BA111" s="2" t="s">
        <v>12129</v>
      </c>
      <c r="BB111" s="2" t="s">
        <v>12129</v>
      </c>
      <c r="BC111" s="2" t="s">
        <v>12129</v>
      </c>
      <c r="BD111" s="2" t="s">
        <v>14471</v>
      </c>
      <c r="BE111" s="2" t="s">
        <v>14472</v>
      </c>
      <c r="BF111" s="15" t="str">
        <f>HYPERLINK("http://dx.doi.org/10.1029/2011JG001930","http://dx.doi.org/10.1029/2011JG001930")</f>
        <v>http://dx.doi.org/10.1029/2011JG001930</v>
      </c>
      <c r="BG111" s="2" t="s">
        <v>12129</v>
      </c>
      <c r="BH111" s="2" t="s">
        <v>12129</v>
      </c>
      <c r="BI111" s="2">
        <v>18.0</v>
      </c>
      <c r="BJ111" s="2" t="s">
        <v>1263</v>
      </c>
      <c r="BK111" s="2" t="s">
        <v>12176</v>
      </c>
      <c r="BL111" s="2" t="s">
        <v>13014</v>
      </c>
      <c r="BM111" s="2" t="s">
        <v>14473</v>
      </c>
      <c r="BN111" s="2" t="s">
        <v>12129</v>
      </c>
      <c r="BO111" s="2" t="s">
        <v>12129</v>
      </c>
      <c r="BP111" s="2" t="s">
        <v>12129</v>
      </c>
      <c r="BQ111" s="2" t="s">
        <v>12129</v>
      </c>
      <c r="BR111" s="2" t="s">
        <v>12152</v>
      </c>
      <c r="BS111" s="2" t="s">
        <v>14474</v>
      </c>
      <c r="BT111" s="2" t="str">
        <f>HYPERLINK("https%3A%2F%2Fwww.webofscience.com%2Fwos%2Fwoscc%2Ffull-record%2FWOS:000305154000001","View Full Record in Web of Science")</f>
        <v>View Full Record in Web of Science</v>
      </c>
    </row>
    <row r="112" ht="12.75" customHeight="1">
      <c r="A112" s="2" t="s">
        <v>23</v>
      </c>
      <c r="B112" s="2" t="s">
        <v>14475</v>
      </c>
      <c r="C112" s="2" t="s">
        <v>12129</v>
      </c>
      <c r="D112" s="2" t="s">
        <v>12129</v>
      </c>
      <c r="E112" s="2" t="s">
        <v>12129</v>
      </c>
      <c r="F112" s="2" t="s">
        <v>14476</v>
      </c>
      <c r="G112" s="2" t="s">
        <v>12129</v>
      </c>
      <c r="H112" s="2" t="s">
        <v>12129</v>
      </c>
      <c r="I112" s="2" t="s">
        <v>14477</v>
      </c>
      <c r="J112" s="2" t="s">
        <v>248</v>
      </c>
      <c r="K112" s="2" t="s">
        <v>12129</v>
      </c>
      <c r="L112" s="2" t="s">
        <v>12129</v>
      </c>
      <c r="M112" s="2" t="s">
        <v>3263</v>
      </c>
      <c r="N112" s="2" t="s">
        <v>35</v>
      </c>
      <c r="O112" s="2" t="s">
        <v>12129</v>
      </c>
      <c r="P112" s="2" t="s">
        <v>12129</v>
      </c>
      <c r="Q112" s="2" t="s">
        <v>12129</v>
      </c>
      <c r="R112" s="2" t="s">
        <v>12129</v>
      </c>
      <c r="S112" s="2" t="s">
        <v>12129</v>
      </c>
      <c r="T112" s="2" t="s">
        <v>14478</v>
      </c>
      <c r="U112" s="2" t="s">
        <v>14479</v>
      </c>
      <c r="V112" s="2" t="s">
        <v>14480</v>
      </c>
      <c r="W112" s="2" t="s">
        <v>14481</v>
      </c>
      <c r="X112" s="2" t="s">
        <v>14482</v>
      </c>
      <c r="Y112" s="2" t="s">
        <v>14483</v>
      </c>
      <c r="Z112" s="2" t="s">
        <v>14484</v>
      </c>
      <c r="AA112" s="2" t="s">
        <v>14485</v>
      </c>
      <c r="AB112" s="2" t="s">
        <v>14486</v>
      </c>
      <c r="AC112" s="2" t="s">
        <v>14487</v>
      </c>
      <c r="AD112" s="2" t="s">
        <v>14488</v>
      </c>
      <c r="AE112" s="2" t="s">
        <v>14489</v>
      </c>
      <c r="AF112" s="2" t="s">
        <v>12129</v>
      </c>
      <c r="AG112" s="2">
        <v>50.0</v>
      </c>
      <c r="AH112" s="2">
        <v>55.0</v>
      </c>
      <c r="AI112" s="2">
        <v>62.0</v>
      </c>
      <c r="AJ112" s="2">
        <v>0.0</v>
      </c>
      <c r="AK112" s="2">
        <v>121.0</v>
      </c>
      <c r="AL112" s="2" t="s">
        <v>12321</v>
      </c>
      <c r="AM112" s="2" t="s">
        <v>12295</v>
      </c>
      <c r="AN112" s="2" t="s">
        <v>12454</v>
      </c>
      <c r="AO112" s="2" t="s">
        <v>6122</v>
      </c>
      <c r="AP112" s="2" t="s">
        <v>12803</v>
      </c>
      <c r="AQ112" s="2" t="s">
        <v>12129</v>
      </c>
      <c r="AR112" s="2" t="s">
        <v>12804</v>
      </c>
      <c r="AS112" s="2" t="s">
        <v>12805</v>
      </c>
      <c r="AT112" s="2" t="s">
        <v>12561</v>
      </c>
      <c r="AU112" s="2">
        <v>2012.0</v>
      </c>
      <c r="AV112" s="2">
        <v>148.0</v>
      </c>
      <c r="AW112" s="2">
        <v>1.0</v>
      </c>
      <c r="AX112" s="2" t="s">
        <v>12129</v>
      </c>
      <c r="AY112" s="2" t="s">
        <v>12129</v>
      </c>
      <c r="AZ112" s="2" t="s">
        <v>12129</v>
      </c>
      <c r="BA112" s="2" t="s">
        <v>12129</v>
      </c>
      <c r="BB112" s="2">
        <v>61.0</v>
      </c>
      <c r="BC112" s="2">
        <v>68.0</v>
      </c>
      <c r="BD112" s="2" t="s">
        <v>12129</v>
      </c>
      <c r="BE112" s="2" t="s">
        <v>14490</v>
      </c>
      <c r="BF112" s="15" t="str">
        <f>HYPERLINK("http://dx.doi.org/10.1016/j.biocon.2012.01.062","http://dx.doi.org/10.1016/j.biocon.2012.01.062")</f>
        <v>http://dx.doi.org/10.1016/j.biocon.2012.01.062</v>
      </c>
      <c r="BG112" s="2" t="s">
        <v>12129</v>
      </c>
      <c r="BH112" s="2" t="s">
        <v>12129</v>
      </c>
      <c r="BI112" s="2">
        <v>8.0</v>
      </c>
      <c r="BJ112" s="2" t="s">
        <v>252</v>
      </c>
      <c r="BK112" s="2" t="s">
        <v>12176</v>
      </c>
      <c r="BL112" s="2" t="s">
        <v>12376</v>
      </c>
      <c r="BM112" s="2" t="s">
        <v>14491</v>
      </c>
      <c r="BN112" s="2" t="s">
        <v>12129</v>
      </c>
      <c r="BO112" s="2" t="s">
        <v>12129</v>
      </c>
      <c r="BP112" s="2" t="s">
        <v>12129</v>
      </c>
      <c r="BQ112" s="2" t="s">
        <v>12129</v>
      </c>
      <c r="BR112" s="2" t="s">
        <v>12152</v>
      </c>
      <c r="BS112" s="2" t="s">
        <v>14492</v>
      </c>
      <c r="BT112" s="2" t="str">
        <f>HYPERLINK("https%3A%2F%2Fwww.webofscience.com%2Fwos%2Fwoscc%2Ffull-record%2FWOS:000302840100007","View Full Record in Web of Science")</f>
        <v>View Full Record in Web of Science</v>
      </c>
    </row>
    <row r="113" ht="12.75" customHeight="1">
      <c r="A113" s="2" t="s">
        <v>23</v>
      </c>
      <c r="B113" s="2" t="s">
        <v>14493</v>
      </c>
      <c r="C113" s="2" t="s">
        <v>12129</v>
      </c>
      <c r="D113" s="2" t="s">
        <v>12129</v>
      </c>
      <c r="E113" s="2" t="s">
        <v>12129</v>
      </c>
      <c r="F113" s="2" t="s">
        <v>14494</v>
      </c>
      <c r="G113" s="2" t="s">
        <v>12129</v>
      </c>
      <c r="H113" s="2" t="s">
        <v>12129</v>
      </c>
      <c r="I113" s="2" t="s">
        <v>14495</v>
      </c>
      <c r="J113" s="2" t="s">
        <v>14496</v>
      </c>
      <c r="K113" s="2" t="s">
        <v>12129</v>
      </c>
      <c r="L113" s="2" t="s">
        <v>12129</v>
      </c>
      <c r="M113" s="2" t="s">
        <v>3263</v>
      </c>
      <c r="N113" s="2" t="s">
        <v>35</v>
      </c>
      <c r="O113" s="2" t="s">
        <v>12129</v>
      </c>
      <c r="P113" s="2" t="s">
        <v>12129</v>
      </c>
      <c r="Q113" s="2" t="s">
        <v>12129</v>
      </c>
      <c r="R113" s="2" t="s">
        <v>12129</v>
      </c>
      <c r="S113" s="2" t="s">
        <v>12129</v>
      </c>
      <c r="T113" s="2" t="s">
        <v>12129</v>
      </c>
      <c r="U113" s="2" t="s">
        <v>14497</v>
      </c>
      <c r="V113" s="2" t="s">
        <v>14498</v>
      </c>
      <c r="W113" s="2" t="s">
        <v>14499</v>
      </c>
      <c r="X113" s="2" t="s">
        <v>14500</v>
      </c>
      <c r="Y113" s="2" t="s">
        <v>14501</v>
      </c>
      <c r="Z113" s="2" t="s">
        <v>14502</v>
      </c>
      <c r="AA113" s="2" t="s">
        <v>14503</v>
      </c>
      <c r="AB113" s="2" t="s">
        <v>14504</v>
      </c>
      <c r="AC113" s="2" t="s">
        <v>12129</v>
      </c>
      <c r="AD113" s="2" t="s">
        <v>12129</v>
      </c>
      <c r="AE113" s="2" t="s">
        <v>12129</v>
      </c>
      <c r="AF113" s="2" t="s">
        <v>12129</v>
      </c>
      <c r="AG113" s="2">
        <v>77.0</v>
      </c>
      <c r="AH113" s="2">
        <v>920.0</v>
      </c>
      <c r="AI113" s="2">
        <v>1069.0</v>
      </c>
      <c r="AJ113" s="2">
        <v>7.0</v>
      </c>
      <c r="AK113" s="2">
        <v>426.0</v>
      </c>
      <c r="AL113" s="2" t="s">
        <v>14365</v>
      </c>
      <c r="AM113" s="2" t="s">
        <v>13961</v>
      </c>
      <c r="AN113" s="2" t="s">
        <v>14505</v>
      </c>
      <c r="AO113" s="2" t="s">
        <v>14506</v>
      </c>
      <c r="AP113" s="2" t="s">
        <v>14507</v>
      </c>
      <c r="AQ113" s="2" t="s">
        <v>12129</v>
      </c>
      <c r="AR113" s="2" t="s">
        <v>14508</v>
      </c>
      <c r="AS113" s="2" t="s">
        <v>14509</v>
      </c>
      <c r="AT113" s="2" t="s">
        <v>13078</v>
      </c>
      <c r="AU113" s="2">
        <v>2012.0</v>
      </c>
      <c r="AV113" s="2">
        <v>22.0</v>
      </c>
      <c r="AW113" s="2">
        <v>1.0</v>
      </c>
      <c r="AX113" s="2" t="s">
        <v>12129</v>
      </c>
      <c r="AY113" s="2" t="s">
        <v>12129</v>
      </c>
      <c r="AZ113" s="2" t="s">
        <v>12129</v>
      </c>
      <c r="BA113" s="2" t="s">
        <v>12129</v>
      </c>
      <c r="BB113" s="2">
        <v>1.0</v>
      </c>
      <c r="BC113" s="2">
        <v>34.0</v>
      </c>
      <c r="BD113" s="2" t="s">
        <v>12129</v>
      </c>
      <c r="BE113" s="2" t="s">
        <v>14510</v>
      </c>
      <c r="BF113" s="15" t="str">
        <f>HYPERLINK("http://dx.doi.org/10.1017/S0959270912000020","http://dx.doi.org/10.1017/S0959270912000020")</f>
        <v>http://dx.doi.org/10.1017/S0959270912000020</v>
      </c>
      <c r="BG113" s="2" t="s">
        <v>12129</v>
      </c>
      <c r="BH113" s="2" t="s">
        <v>12129</v>
      </c>
      <c r="BI113" s="2">
        <v>34.0</v>
      </c>
      <c r="BJ113" s="2" t="s">
        <v>14511</v>
      </c>
      <c r="BK113" s="2" t="s">
        <v>12176</v>
      </c>
      <c r="BL113" s="2" t="s">
        <v>14512</v>
      </c>
      <c r="BM113" s="2" t="s">
        <v>14513</v>
      </c>
      <c r="BN113" s="2" t="s">
        <v>12129</v>
      </c>
      <c r="BO113" s="2" t="s">
        <v>12538</v>
      </c>
      <c r="BP113" s="2" t="s">
        <v>12129</v>
      </c>
      <c r="BQ113" s="2" t="s">
        <v>12129</v>
      </c>
      <c r="BR113" s="2" t="s">
        <v>12152</v>
      </c>
      <c r="BS113" s="2" t="s">
        <v>14514</v>
      </c>
      <c r="BT113" s="2" t="str">
        <f>HYPERLINK("https%3A%2F%2Fwww.webofscience.com%2Fwos%2Fwoscc%2Ffull-record%2FWOS:000301298900001","View Full Record in Web of Science")</f>
        <v>View Full Record in Web of Science</v>
      </c>
    </row>
    <row r="114" ht="12.75" customHeight="1">
      <c r="A114" s="2" t="s">
        <v>23</v>
      </c>
      <c r="B114" s="2" t="s">
        <v>14515</v>
      </c>
      <c r="C114" s="2" t="s">
        <v>12129</v>
      </c>
      <c r="D114" s="2" t="s">
        <v>12129</v>
      </c>
      <c r="E114" s="2" t="s">
        <v>12129</v>
      </c>
      <c r="F114" s="2" t="s">
        <v>14516</v>
      </c>
      <c r="G114" s="2" t="s">
        <v>12129</v>
      </c>
      <c r="H114" s="2" t="s">
        <v>12129</v>
      </c>
      <c r="I114" s="2" t="s">
        <v>14517</v>
      </c>
      <c r="J114" s="2" t="s">
        <v>771</v>
      </c>
      <c r="K114" s="2" t="s">
        <v>12129</v>
      </c>
      <c r="L114" s="2" t="s">
        <v>12129</v>
      </c>
      <c r="M114" s="2" t="s">
        <v>3263</v>
      </c>
      <c r="N114" s="2" t="s">
        <v>35</v>
      </c>
      <c r="O114" s="2" t="s">
        <v>12129</v>
      </c>
      <c r="P114" s="2" t="s">
        <v>12129</v>
      </c>
      <c r="Q114" s="2" t="s">
        <v>12129</v>
      </c>
      <c r="R114" s="2" t="s">
        <v>12129</v>
      </c>
      <c r="S114" s="2" t="s">
        <v>12129</v>
      </c>
      <c r="T114" s="2" t="s">
        <v>14518</v>
      </c>
      <c r="U114" s="2" t="s">
        <v>14519</v>
      </c>
      <c r="V114" s="2" t="s">
        <v>14520</v>
      </c>
      <c r="W114" s="2" t="s">
        <v>14521</v>
      </c>
      <c r="X114" s="2" t="s">
        <v>14522</v>
      </c>
      <c r="Y114" s="2" t="s">
        <v>14523</v>
      </c>
      <c r="Z114" s="2" t="s">
        <v>14524</v>
      </c>
      <c r="AA114" s="2" t="s">
        <v>14525</v>
      </c>
      <c r="AB114" s="2" t="s">
        <v>14526</v>
      </c>
      <c r="AC114" s="2" t="s">
        <v>14527</v>
      </c>
      <c r="AD114" s="2" t="s">
        <v>14528</v>
      </c>
      <c r="AE114" s="2" t="s">
        <v>14529</v>
      </c>
      <c r="AF114" s="2" t="s">
        <v>12129</v>
      </c>
      <c r="AG114" s="2">
        <v>76.0</v>
      </c>
      <c r="AH114" s="2">
        <v>127.0</v>
      </c>
      <c r="AI114" s="2">
        <v>152.0</v>
      </c>
      <c r="AJ114" s="2">
        <v>12.0</v>
      </c>
      <c r="AK114" s="2">
        <v>376.0</v>
      </c>
      <c r="AL114" s="2" t="s">
        <v>12243</v>
      </c>
      <c r="AM114" s="2" t="s">
        <v>12244</v>
      </c>
      <c r="AN114" s="2" t="s">
        <v>12245</v>
      </c>
      <c r="AO114" s="2" t="s">
        <v>12783</v>
      </c>
      <c r="AP114" s="2" t="s">
        <v>12784</v>
      </c>
      <c r="AQ114" s="2" t="s">
        <v>12129</v>
      </c>
      <c r="AR114" s="2" t="s">
        <v>12785</v>
      </c>
      <c r="AS114" s="2" t="s">
        <v>12786</v>
      </c>
      <c r="AT114" s="2" t="s">
        <v>12660</v>
      </c>
      <c r="AU114" s="2">
        <v>2012.0</v>
      </c>
      <c r="AV114" s="2">
        <v>18.0</v>
      </c>
      <c r="AW114" s="2">
        <v>2.0</v>
      </c>
      <c r="AX114" s="2" t="s">
        <v>12129</v>
      </c>
      <c r="AY114" s="2" t="s">
        <v>12129</v>
      </c>
      <c r="AZ114" s="2" t="s">
        <v>12129</v>
      </c>
      <c r="BA114" s="2" t="s">
        <v>12129</v>
      </c>
      <c r="BB114" s="2">
        <v>504.0</v>
      </c>
      <c r="BC114" s="2">
        <v>514.0</v>
      </c>
      <c r="BD114" s="2" t="s">
        <v>12129</v>
      </c>
      <c r="BE114" s="2" t="s">
        <v>14530</v>
      </c>
      <c r="BF114" s="15" t="str">
        <f>HYPERLINK("http://dx.doi.org/10.1111/j.1365-2486.2011.02540.x","http://dx.doi.org/10.1111/j.1365-2486.2011.02540.x")</f>
        <v>http://dx.doi.org/10.1111/j.1365-2486.2011.02540.x</v>
      </c>
      <c r="BG114" s="2" t="s">
        <v>12129</v>
      </c>
      <c r="BH114" s="2" t="s">
        <v>12129</v>
      </c>
      <c r="BI114" s="2">
        <v>11.0</v>
      </c>
      <c r="BJ114" s="2" t="s">
        <v>252</v>
      </c>
      <c r="BK114" s="2" t="s">
        <v>12176</v>
      </c>
      <c r="BL114" s="2" t="s">
        <v>12376</v>
      </c>
      <c r="BM114" s="2" t="s">
        <v>14531</v>
      </c>
      <c r="BN114" s="2" t="s">
        <v>12129</v>
      </c>
      <c r="BO114" s="2" t="s">
        <v>12129</v>
      </c>
      <c r="BP114" s="2" t="s">
        <v>12129</v>
      </c>
      <c r="BQ114" s="2" t="s">
        <v>12129</v>
      </c>
      <c r="BR114" s="2" t="s">
        <v>12152</v>
      </c>
      <c r="BS114" s="2" t="s">
        <v>14532</v>
      </c>
      <c r="BT114" s="2" t="str">
        <f>HYPERLINK("https%3A%2F%2Fwww.webofscience.com%2Fwos%2Fwoscc%2Ffull-record%2FWOS:000299042500010","View Full Record in Web of Science")</f>
        <v>View Full Record in Web of Science</v>
      </c>
    </row>
    <row r="115" ht="12.75" customHeight="1">
      <c r="A115" s="2" t="s">
        <v>12205</v>
      </c>
      <c r="B115" s="2" t="s">
        <v>14533</v>
      </c>
      <c r="C115" s="2" t="s">
        <v>12129</v>
      </c>
      <c r="D115" s="2" t="s">
        <v>14533</v>
      </c>
      <c r="E115" s="2" t="s">
        <v>12129</v>
      </c>
      <c r="F115" s="2" t="s">
        <v>14534</v>
      </c>
      <c r="G115" s="2" t="s">
        <v>12129</v>
      </c>
      <c r="H115" s="2" t="s">
        <v>12129</v>
      </c>
      <c r="I115" s="2" t="s">
        <v>14535</v>
      </c>
      <c r="J115" s="2" t="s">
        <v>14536</v>
      </c>
      <c r="K115" s="2" t="s">
        <v>14537</v>
      </c>
      <c r="L115" s="2" t="s">
        <v>12129</v>
      </c>
      <c r="M115" s="2" t="s">
        <v>3263</v>
      </c>
      <c r="N115" s="2" t="s">
        <v>12212</v>
      </c>
      <c r="O115" s="2" t="s">
        <v>12129</v>
      </c>
      <c r="P115" s="2" t="s">
        <v>12129</v>
      </c>
      <c r="Q115" s="2" t="s">
        <v>12129</v>
      </c>
      <c r="R115" s="2" t="s">
        <v>12129</v>
      </c>
      <c r="S115" s="2" t="s">
        <v>12129</v>
      </c>
      <c r="T115" s="2" t="s">
        <v>14538</v>
      </c>
      <c r="U115" s="2" t="s">
        <v>14539</v>
      </c>
      <c r="V115" s="2" t="s">
        <v>14540</v>
      </c>
      <c r="W115" s="2" t="s">
        <v>14541</v>
      </c>
      <c r="X115" s="2" t="s">
        <v>14542</v>
      </c>
      <c r="Y115" s="2" t="s">
        <v>14543</v>
      </c>
      <c r="Z115" s="2" t="s">
        <v>12129</v>
      </c>
      <c r="AA115" s="2" t="s">
        <v>14544</v>
      </c>
      <c r="AB115" s="2" t="s">
        <v>14545</v>
      </c>
      <c r="AC115" s="2" t="s">
        <v>12129</v>
      </c>
      <c r="AD115" s="2" t="s">
        <v>12129</v>
      </c>
      <c r="AE115" s="2" t="s">
        <v>12129</v>
      </c>
      <c r="AF115" s="2" t="s">
        <v>12129</v>
      </c>
      <c r="AG115" s="2">
        <v>16.0</v>
      </c>
      <c r="AH115" s="2">
        <v>29.0</v>
      </c>
      <c r="AI115" s="2">
        <v>35.0</v>
      </c>
      <c r="AJ115" s="2">
        <v>0.0</v>
      </c>
      <c r="AK115" s="2">
        <v>7.0</v>
      </c>
      <c r="AL115" s="2" t="s">
        <v>12930</v>
      </c>
      <c r="AM115" s="2" t="s">
        <v>12270</v>
      </c>
      <c r="AN115" s="2" t="s">
        <v>14546</v>
      </c>
      <c r="AO115" s="2" t="s">
        <v>12129</v>
      </c>
      <c r="AP115" s="2" t="s">
        <v>12129</v>
      </c>
      <c r="AQ115" s="2" t="s">
        <v>14547</v>
      </c>
      <c r="AR115" s="2" t="s">
        <v>14548</v>
      </c>
      <c r="AS115" s="2" t="s">
        <v>12129</v>
      </c>
      <c r="AT115" s="2" t="s">
        <v>12129</v>
      </c>
      <c r="AU115" s="2">
        <v>2012.0</v>
      </c>
      <c r="AV115" s="2" t="s">
        <v>12129</v>
      </c>
      <c r="AW115" s="2" t="s">
        <v>12129</v>
      </c>
      <c r="AX115" s="2" t="s">
        <v>12129</v>
      </c>
      <c r="AY115" s="2" t="s">
        <v>12129</v>
      </c>
      <c r="AZ115" s="2" t="s">
        <v>12129</v>
      </c>
      <c r="BA115" s="2" t="s">
        <v>12129</v>
      </c>
      <c r="BB115" s="2">
        <v>871.0</v>
      </c>
      <c r="BC115" s="2">
        <v>890.0</v>
      </c>
      <c r="BD115" s="2" t="s">
        <v>12129</v>
      </c>
      <c r="BE115" s="2" t="s">
        <v>14549</v>
      </c>
      <c r="BF115" s="15" t="str">
        <f>HYPERLINK("http://dx.doi.org/10.1016/B978-0-12-385140-6.00064-5","http://dx.doi.org/10.1016/B978-0-12-385140-6.00064-5")</f>
        <v>http://dx.doi.org/10.1016/B978-0-12-385140-6.00064-5</v>
      </c>
      <c r="BG115" s="2" t="s">
        <v>12129</v>
      </c>
      <c r="BH115" s="2" t="s">
        <v>12129</v>
      </c>
      <c r="BI115" s="2">
        <v>20.0</v>
      </c>
      <c r="BJ115" s="2" t="s">
        <v>56</v>
      </c>
      <c r="BK115" s="2" t="s">
        <v>12223</v>
      </c>
      <c r="BL115" s="2" t="s">
        <v>14257</v>
      </c>
      <c r="BM115" s="2" t="s">
        <v>14550</v>
      </c>
      <c r="BN115" s="2" t="s">
        <v>12129</v>
      </c>
      <c r="BO115" s="2" t="s">
        <v>12129</v>
      </c>
      <c r="BP115" s="2" t="s">
        <v>12129</v>
      </c>
      <c r="BQ115" s="2" t="s">
        <v>12129</v>
      </c>
      <c r="BR115" s="2" t="s">
        <v>12152</v>
      </c>
      <c r="BS115" s="2" t="s">
        <v>14551</v>
      </c>
      <c r="BT115" s="2" t="str">
        <f>HYPERLINK("https%3A%2F%2Fwww.webofscience.com%2Fwos%2Fwoscc%2Ffull-record%2FWOS:000322237000066","View Full Record in Web of Science")</f>
        <v>View Full Record in Web of Science</v>
      </c>
    </row>
    <row r="116" ht="12.75" customHeight="1">
      <c r="A116" s="2" t="s">
        <v>23</v>
      </c>
      <c r="B116" s="2" t="s">
        <v>14552</v>
      </c>
      <c r="C116" s="2" t="s">
        <v>12129</v>
      </c>
      <c r="D116" s="2" t="s">
        <v>12129</v>
      </c>
      <c r="E116" s="2" t="s">
        <v>12129</v>
      </c>
      <c r="F116" s="2" t="s">
        <v>14553</v>
      </c>
      <c r="G116" s="2" t="s">
        <v>12129</v>
      </c>
      <c r="H116" s="2" t="s">
        <v>12129</v>
      </c>
      <c r="I116" s="2" t="s">
        <v>14554</v>
      </c>
      <c r="J116" s="2" t="s">
        <v>13948</v>
      </c>
      <c r="K116" s="2" t="s">
        <v>12129</v>
      </c>
      <c r="L116" s="2" t="s">
        <v>12129</v>
      </c>
      <c r="M116" s="2" t="s">
        <v>3263</v>
      </c>
      <c r="N116" s="2" t="s">
        <v>35</v>
      </c>
      <c r="O116" s="2" t="s">
        <v>12129</v>
      </c>
      <c r="P116" s="2" t="s">
        <v>12129</v>
      </c>
      <c r="Q116" s="2" t="s">
        <v>12129</v>
      </c>
      <c r="R116" s="2" t="s">
        <v>12129</v>
      </c>
      <c r="S116" s="2" t="s">
        <v>12129</v>
      </c>
      <c r="T116" s="2" t="s">
        <v>14555</v>
      </c>
      <c r="U116" s="2" t="s">
        <v>14556</v>
      </c>
      <c r="V116" s="2" t="s">
        <v>14557</v>
      </c>
      <c r="W116" s="2" t="s">
        <v>14558</v>
      </c>
      <c r="X116" s="2" t="s">
        <v>14559</v>
      </c>
      <c r="Y116" s="2" t="s">
        <v>14560</v>
      </c>
      <c r="Z116" s="2" t="s">
        <v>14561</v>
      </c>
      <c r="AA116" s="2" t="s">
        <v>12129</v>
      </c>
      <c r="AB116" s="2" t="s">
        <v>12129</v>
      </c>
      <c r="AC116" s="2" t="s">
        <v>14562</v>
      </c>
      <c r="AD116" s="2" t="s">
        <v>14563</v>
      </c>
      <c r="AE116" s="2" t="s">
        <v>14564</v>
      </c>
      <c r="AF116" s="2" t="s">
        <v>12129</v>
      </c>
      <c r="AG116" s="2">
        <v>60.0</v>
      </c>
      <c r="AH116" s="2">
        <v>53.0</v>
      </c>
      <c r="AI116" s="2">
        <v>58.0</v>
      </c>
      <c r="AJ116" s="2">
        <v>5.0</v>
      </c>
      <c r="AK116" s="2">
        <v>131.0</v>
      </c>
      <c r="AL116" s="2" t="s">
        <v>13181</v>
      </c>
      <c r="AM116" s="2" t="s">
        <v>13961</v>
      </c>
      <c r="AN116" s="2" t="s">
        <v>13962</v>
      </c>
      <c r="AO116" s="2" t="s">
        <v>13963</v>
      </c>
      <c r="AP116" s="2" t="s">
        <v>13964</v>
      </c>
      <c r="AQ116" s="2" t="s">
        <v>12129</v>
      </c>
      <c r="AR116" s="2" t="s">
        <v>13965</v>
      </c>
      <c r="AS116" s="2" t="s">
        <v>13966</v>
      </c>
      <c r="AT116" s="2" t="s">
        <v>12764</v>
      </c>
      <c r="AU116" s="2">
        <v>2011.0</v>
      </c>
      <c r="AV116" s="2">
        <v>64.0</v>
      </c>
      <c r="AW116" s="2">
        <v>8.0</v>
      </c>
      <c r="AX116" s="2" t="s">
        <v>12129</v>
      </c>
      <c r="AY116" s="2" t="s">
        <v>12129</v>
      </c>
      <c r="AZ116" s="2" t="s">
        <v>12129</v>
      </c>
      <c r="BA116" s="2" t="s">
        <v>12129</v>
      </c>
      <c r="BB116" s="2">
        <v>2183.0</v>
      </c>
      <c r="BC116" s="2">
        <v>2193.0</v>
      </c>
      <c r="BD116" s="2" t="s">
        <v>12129</v>
      </c>
      <c r="BE116" s="2" t="s">
        <v>14565</v>
      </c>
      <c r="BF116" s="15" t="str">
        <f>HYPERLINK("http://dx.doi.org/10.1007/s12665-011-1046-4","http://dx.doi.org/10.1007/s12665-011-1046-4")</f>
        <v>http://dx.doi.org/10.1007/s12665-011-1046-4</v>
      </c>
      <c r="BG116" s="2" t="s">
        <v>12129</v>
      </c>
      <c r="BH116" s="2" t="s">
        <v>12129</v>
      </c>
      <c r="BI116" s="2">
        <v>11.0</v>
      </c>
      <c r="BJ116" s="2" t="s">
        <v>13968</v>
      </c>
      <c r="BK116" s="2" t="s">
        <v>12176</v>
      </c>
      <c r="BL116" s="2" t="s">
        <v>13969</v>
      </c>
      <c r="BM116" s="2" t="s">
        <v>14566</v>
      </c>
      <c r="BN116" s="2" t="s">
        <v>12129</v>
      </c>
      <c r="BO116" s="2" t="s">
        <v>12129</v>
      </c>
      <c r="BP116" s="2" t="s">
        <v>12129</v>
      </c>
      <c r="BQ116" s="2" t="s">
        <v>12129</v>
      </c>
      <c r="BR116" s="2" t="s">
        <v>12152</v>
      </c>
      <c r="BS116" s="2" t="s">
        <v>14567</v>
      </c>
      <c r="BT116" s="2" t="str">
        <f>HYPERLINK("https%3A%2F%2Fwww.webofscience.com%2Fwos%2Fwoscc%2Ffull-record%2FWOS:000297165900017","View Full Record in Web of Science")</f>
        <v>View Full Record in Web of Science</v>
      </c>
    </row>
    <row r="117" ht="12.75" customHeight="1">
      <c r="A117" s="2" t="s">
        <v>23</v>
      </c>
      <c r="B117" s="2" t="s">
        <v>14568</v>
      </c>
      <c r="C117" s="2" t="s">
        <v>12129</v>
      </c>
      <c r="D117" s="2" t="s">
        <v>12129</v>
      </c>
      <c r="E117" s="2" t="s">
        <v>12129</v>
      </c>
      <c r="F117" s="2" t="s">
        <v>14569</v>
      </c>
      <c r="G117" s="2" t="s">
        <v>12129</v>
      </c>
      <c r="H117" s="2" t="s">
        <v>12129</v>
      </c>
      <c r="I117" s="2" t="s">
        <v>14570</v>
      </c>
      <c r="J117" s="2" t="s">
        <v>626</v>
      </c>
      <c r="K117" s="2" t="s">
        <v>12129</v>
      </c>
      <c r="L117" s="2" t="s">
        <v>12129</v>
      </c>
      <c r="M117" s="2" t="s">
        <v>3263</v>
      </c>
      <c r="N117" s="2" t="s">
        <v>27</v>
      </c>
      <c r="O117" s="2" t="s">
        <v>12129</v>
      </c>
      <c r="P117" s="2" t="s">
        <v>12129</v>
      </c>
      <c r="Q117" s="2" t="s">
        <v>12129</v>
      </c>
      <c r="R117" s="2" t="s">
        <v>12129</v>
      </c>
      <c r="S117" s="2" t="s">
        <v>12129</v>
      </c>
      <c r="T117" s="2" t="s">
        <v>12129</v>
      </c>
      <c r="U117" s="2" t="s">
        <v>14571</v>
      </c>
      <c r="V117" s="2" t="s">
        <v>14572</v>
      </c>
      <c r="W117" s="2" t="s">
        <v>14573</v>
      </c>
      <c r="X117" s="2" t="s">
        <v>14574</v>
      </c>
      <c r="Y117" s="2" t="s">
        <v>14575</v>
      </c>
      <c r="Z117" s="2" t="s">
        <v>14576</v>
      </c>
      <c r="AA117" s="2" t="s">
        <v>14577</v>
      </c>
      <c r="AB117" s="2" t="s">
        <v>14578</v>
      </c>
      <c r="AC117" s="2" t="s">
        <v>14579</v>
      </c>
      <c r="AD117" s="2" t="s">
        <v>14580</v>
      </c>
      <c r="AE117" s="2" t="s">
        <v>14581</v>
      </c>
      <c r="AF117" s="2" t="s">
        <v>12129</v>
      </c>
      <c r="AG117" s="2">
        <v>97.0</v>
      </c>
      <c r="AH117" s="2">
        <v>326.0</v>
      </c>
      <c r="AI117" s="2">
        <v>357.0</v>
      </c>
      <c r="AJ117" s="2">
        <v>3.0</v>
      </c>
      <c r="AK117" s="2">
        <v>304.0</v>
      </c>
      <c r="AL117" s="2" t="s">
        <v>14105</v>
      </c>
      <c r="AM117" s="2" t="s">
        <v>12170</v>
      </c>
      <c r="AN117" s="2" t="s">
        <v>14106</v>
      </c>
      <c r="AO117" s="2" t="s">
        <v>14107</v>
      </c>
      <c r="AP117" s="2" t="s">
        <v>14108</v>
      </c>
      <c r="AQ117" s="2" t="s">
        <v>12129</v>
      </c>
      <c r="AR117" s="2" t="s">
        <v>14109</v>
      </c>
      <c r="AS117" s="2" t="s">
        <v>14110</v>
      </c>
      <c r="AT117" s="2" t="s">
        <v>12787</v>
      </c>
      <c r="AU117" s="2">
        <v>2011.0</v>
      </c>
      <c r="AV117" s="2">
        <v>26.0</v>
      </c>
      <c r="AW117" s="2">
        <v>11.0</v>
      </c>
      <c r="AX117" s="2" t="s">
        <v>12129</v>
      </c>
      <c r="AY117" s="2" t="s">
        <v>12129</v>
      </c>
      <c r="AZ117" s="2" t="s">
        <v>12129</v>
      </c>
      <c r="BA117" s="2" t="s">
        <v>12129</v>
      </c>
      <c r="BB117" s="2">
        <v>595.0</v>
      </c>
      <c r="BC117" s="2">
        <v>605.0</v>
      </c>
      <c r="BD117" s="2" t="s">
        <v>12129</v>
      </c>
      <c r="BE117" s="2" t="s">
        <v>14582</v>
      </c>
      <c r="BF117" s="15" t="str">
        <f>HYPERLINK("http://dx.doi.org/10.1016/j.tree.2011.07.008","http://dx.doi.org/10.1016/j.tree.2011.07.008")</f>
        <v>http://dx.doi.org/10.1016/j.tree.2011.07.008</v>
      </c>
      <c r="BG117" s="2" t="s">
        <v>12129</v>
      </c>
      <c r="BH117" s="2" t="s">
        <v>12129</v>
      </c>
      <c r="BI117" s="2">
        <v>11.0</v>
      </c>
      <c r="BJ117" s="2" t="s">
        <v>630</v>
      </c>
      <c r="BK117" s="2" t="s">
        <v>12176</v>
      </c>
      <c r="BL117" s="2" t="s">
        <v>14112</v>
      </c>
      <c r="BM117" s="2" t="s">
        <v>14583</v>
      </c>
      <c r="BN117" s="2">
        <v>2.1852017E7</v>
      </c>
      <c r="BO117" s="2" t="s">
        <v>12129</v>
      </c>
      <c r="BP117" s="2" t="s">
        <v>12129</v>
      </c>
      <c r="BQ117" s="2" t="s">
        <v>12129</v>
      </c>
      <c r="BR117" s="2" t="s">
        <v>12152</v>
      </c>
      <c r="BS117" s="2" t="s">
        <v>14584</v>
      </c>
      <c r="BT117" s="2" t="str">
        <f>HYPERLINK("https%3A%2F%2Fwww.webofscience.com%2Fwos%2Fwoscc%2Ffull-record%2FWOS:000296692900011","View Full Record in Web of Science")</f>
        <v>View Full Record in Web of Science</v>
      </c>
    </row>
    <row r="118" ht="12.75" customHeight="1">
      <c r="A118" s="2" t="s">
        <v>23</v>
      </c>
      <c r="B118" s="2" t="s">
        <v>14585</v>
      </c>
      <c r="C118" s="2" t="s">
        <v>12129</v>
      </c>
      <c r="D118" s="2" t="s">
        <v>12129</v>
      </c>
      <c r="E118" s="2" t="s">
        <v>12129</v>
      </c>
      <c r="F118" s="2" t="s">
        <v>14586</v>
      </c>
      <c r="G118" s="2" t="s">
        <v>12129</v>
      </c>
      <c r="H118" s="2" t="s">
        <v>12129</v>
      </c>
      <c r="I118" s="2" t="s">
        <v>14587</v>
      </c>
      <c r="J118" s="2" t="s">
        <v>457</v>
      </c>
      <c r="K118" s="2" t="s">
        <v>12129</v>
      </c>
      <c r="L118" s="2" t="s">
        <v>12129</v>
      </c>
      <c r="M118" s="2" t="s">
        <v>3263</v>
      </c>
      <c r="N118" s="2" t="s">
        <v>35</v>
      </c>
      <c r="O118" s="2" t="s">
        <v>12129</v>
      </c>
      <c r="P118" s="2" t="s">
        <v>12129</v>
      </c>
      <c r="Q118" s="2" t="s">
        <v>12129</v>
      </c>
      <c r="R118" s="2" t="s">
        <v>12129</v>
      </c>
      <c r="S118" s="2" t="s">
        <v>12129</v>
      </c>
      <c r="T118" s="2" t="s">
        <v>14588</v>
      </c>
      <c r="U118" s="2" t="s">
        <v>14589</v>
      </c>
      <c r="V118" s="2" t="s">
        <v>14590</v>
      </c>
      <c r="W118" s="2" t="s">
        <v>14591</v>
      </c>
      <c r="X118" s="2" t="s">
        <v>14592</v>
      </c>
      <c r="Y118" s="2" t="s">
        <v>14593</v>
      </c>
      <c r="Z118" s="2" t="s">
        <v>14594</v>
      </c>
      <c r="AA118" s="2" t="s">
        <v>14595</v>
      </c>
      <c r="AB118" s="2" t="s">
        <v>14596</v>
      </c>
      <c r="AC118" s="2" t="s">
        <v>14597</v>
      </c>
      <c r="AD118" s="2" t="s">
        <v>14598</v>
      </c>
      <c r="AE118" s="2" t="s">
        <v>14599</v>
      </c>
      <c r="AF118" s="2" t="s">
        <v>12129</v>
      </c>
      <c r="AG118" s="2">
        <v>89.0</v>
      </c>
      <c r="AH118" s="2">
        <v>149.0</v>
      </c>
      <c r="AI118" s="2">
        <v>173.0</v>
      </c>
      <c r="AJ118" s="2">
        <v>1.0</v>
      </c>
      <c r="AK118" s="2">
        <v>123.0</v>
      </c>
      <c r="AL118" s="2" t="s">
        <v>14600</v>
      </c>
      <c r="AM118" s="2" t="s">
        <v>12170</v>
      </c>
      <c r="AN118" s="2" t="s">
        <v>14601</v>
      </c>
      <c r="AO118" s="2" t="s">
        <v>1775</v>
      </c>
      <c r="AP118" s="2" t="s">
        <v>14602</v>
      </c>
      <c r="AQ118" s="2" t="s">
        <v>12129</v>
      </c>
      <c r="AR118" s="2" t="s">
        <v>14603</v>
      </c>
      <c r="AS118" s="2" t="s">
        <v>14604</v>
      </c>
      <c r="AT118" s="2" t="s">
        <v>14605</v>
      </c>
      <c r="AU118" s="2">
        <v>2011.0</v>
      </c>
      <c r="AV118" s="2">
        <v>366.0</v>
      </c>
      <c r="AW118" s="2">
        <v>1578.0</v>
      </c>
      <c r="AX118" s="2" t="s">
        <v>12129</v>
      </c>
      <c r="AY118" s="2" t="s">
        <v>12129</v>
      </c>
      <c r="AZ118" s="2" t="s">
        <v>13188</v>
      </c>
      <c r="BA118" s="2" t="s">
        <v>12129</v>
      </c>
      <c r="BB118" s="2">
        <v>2598.0</v>
      </c>
      <c r="BC118" s="2">
        <v>2610.0</v>
      </c>
      <c r="BD118" s="2" t="s">
        <v>12129</v>
      </c>
      <c r="BE118" s="2" t="s">
        <v>14606</v>
      </c>
      <c r="BF118" s="15" t="str">
        <f>HYPERLINK("http://dx.doi.org/10.1098/rstb.2011.0116","http://dx.doi.org/10.1098/rstb.2011.0116")</f>
        <v>http://dx.doi.org/10.1098/rstb.2011.0116</v>
      </c>
      <c r="BG118" s="2" t="s">
        <v>12129</v>
      </c>
      <c r="BH118" s="2" t="s">
        <v>12129</v>
      </c>
      <c r="BI118" s="2">
        <v>13.0</v>
      </c>
      <c r="BJ118" s="2" t="s">
        <v>185</v>
      </c>
      <c r="BK118" s="2" t="s">
        <v>12176</v>
      </c>
      <c r="BL118" s="2" t="s">
        <v>13772</v>
      </c>
      <c r="BM118" s="2" t="s">
        <v>14607</v>
      </c>
      <c r="BN118" s="2">
        <v>2.1844039E7</v>
      </c>
      <c r="BO118" s="2" t="s">
        <v>12129</v>
      </c>
      <c r="BP118" s="2" t="s">
        <v>12129</v>
      </c>
      <c r="BQ118" s="2" t="s">
        <v>12129</v>
      </c>
      <c r="BR118" s="2" t="s">
        <v>12152</v>
      </c>
      <c r="BS118" s="2" t="s">
        <v>14608</v>
      </c>
      <c r="BT118" s="2" t="str">
        <f>HYPERLINK("https%3A%2F%2Fwww.webofscience.com%2Fwos%2Fwoscc%2Ffull-record%2FWOS:000293858100002","View Full Record in Web of Science")</f>
        <v>View Full Record in Web of Science</v>
      </c>
    </row>
    <row r="119" ht="12.75" customHeight="1">
      <c r="A119" s="2" t="s">
        <v>23</v>
      </c>
      <c r="B119" s="2" t="s">
        <v>14609</v>
      </c>
      <c r="C119" s="2" t="s">
        <v>12129</v>
      </c>
      <c r="D119" s="2" t="s">
        <v>12129</v>
      </c>
      <c r="E119" s="2" t="s">
        <v>12129</v>
      </c>
      <c r="F119" s="2" t="s">
        <v>14610</v>
      </c>
      <c r="G119" s="2" t="s">
        <v>12129</v>
      </c>
      <c r="H119" s="2" t="s">
        <v>12129</v>
      </c>
      <c r="I119" s="2" t="s">
        <v>14611</v>
      </c>
      <c r="J119" s="2" t="s">
        <v>13925</v>
      </c>
      <c r="K119" s="2" t="s">
        <v>12129</v>
      </c>
      <c r="L119" s="2" t="s">
        <v>12129</v>
      </c>
      <c r="M119" s="2" t="s">
        <v>3263</v>
      </c>
      <c r="N119" s="2" t="s">
        <v>266</v>
      </c>
      <c r="O119" s="2" t="s">
        <v>14612</v>
      </c>
      <c r="P119" s="2" t="s">
        <v>14613</v>
      </c>
      <c r="Q119" s="2" t="s">
        <v>14614</v>
      </c>
      <c r="R119" s="2" t="s">
        <v>14615</v>
      </c>
      <c r="S119" s="2" t="s">
        <v>12129</v>
      </c>
      <c r="T119" s="2" t="s">
        <v>14616</v>
      </c>
      <c r="U119" s="2" t="s">
        <v>14617</v>
      </c>
      <c r="V119" s="2" t="s">
        <v>14618</v>
      </c>
      <c r="W119" s="2" t="s">
        <v>14619</v>
      </c>
      <c r="X119" s="2" t="s">
        <v>14620</v>
      </c>
      <c r="Y119" s="2" t="s">
        <v>14621</v>
      </c>
      <c r="Z119" s="2" t="s">
        <v>14622</v>
      </c>
      <c r="AA119" s="2" t="s">
        <v>14623</v>
      </c>
      <c r="AB119" s="2" t="s">
        <v>14624</v>
      </c>
      <c r="AC119" s="2" t="s">
        <v>12129</v>
      </c>
      <c r="AD119" s="2" t="s">
        <v>12129</v>
      </c>
      <c r="AE119" s="2" t="s">
        <v>12129</v>
      </c>
      <c r="AF119" s="2" t="s">
        <v>12129</v>
      </c>
      <c r="AG119" s="2">
        <v>33.0</v>
      </c>
      <c r="AH119" s="2">
        <v>30.0</v>
      </c>
      <c r="AI119" s="2">
        <v>38.0</v>
      </c>
      <c r="AJ119" s="2">
        <v>2.0</v>
      </c>
      <c r="AK119" s="2">
        <v>76.0</v>
      </c>
      <c r="AL119" s="2" t="s">
        <v>12269</v>
      </c>
      <c r="AM119" s="2" t="s">
        <v>12270</v>
      </c>
      <c r="AN119" s="2" t="s">
        <v>12271</v>
      </c>
      <c r="AO119" s="2" t="s">
        <v>13937</v>
      </c>
      <c r="AP119" s="2" t="s">
        <v>13938</v>
      </c>
      <c r="AQ119" s="2" t="s">
        <v>12129</v>
      </c>
      <c r="AR119" s="2" t="s">
        <v>13939</v>
      </c>
      <c r="AS119" s="2" t="s">
        <v>13940</v>
      </c>
      <c r="AT119" s="2" t="s">
        <v>14625</v>
      </c>
      <c r="AU119" s="2">
        <v>2011.0</v>
      </c>
      <c r="AV119" s="2">
        <v>222.0</v>
      </c>
      <c r="AW119" s="2">
        <v>14.0</v>
      </c>
      <c r="AX119" s="2" t="s">
        <v>12129</v>
      </c>
      <c r="AY119" s="2" t="s">
        <v>12129</v>
      </c>
      <c r="AZ119" s="2" t="s">
        <v>13188</v>
      </c>
      <c r="BA119" s="2" t="s">
        <v>12129</v>
      </c>
      <c r="BB119" s="2">
        <v>2333.0</v>
      </c>
      <c r="BC119" s="2">
        <v>2341.0</v>
      </c>
      <c r="BD119" s="2" t="s">
        <v>12129</v>
      </c>
      <c r="BE119" s="2" t="s">
        <v>14626</v>
      </c>
      <c r="BF119" s="15" t="str">
        <f>HYPERLINK("http://dx.doi.org/10.1016/j.ecolmodel.2011.03.042","http://dx.doi.org/10.1016/j.ecolmodel.2011.03.042")</f>
        <v>http://dx.doi.org/10.1016/j.ecolmodel.2011.03.042</v>
      </c>
      <c r="BG119" s="2" t="s">
        <v>12129</v>
      </c>
      <c r="BH119" s="2" t="s">
        <v>12129</v>
      </c>
      <c r="BI119" s="2">
        <v>9.0</v>
      </c>
      <c r="BJ119" s="2" t="s">
        <v>814</v>
      </c>
      <c r="BK119" s="2" t="s">
        <v>14627</v>
      </c>
      <c r="BL119" s="2" t="s">
        <v>12251</v>
      </c>
      <c r="BM119" s="2" t="s">
        <v>14628</v>
      </c>
      <c r="BN119" s="2" t="s">
        <v>12129</v>
      </c>
      <c r="BO119" s="2" t="s">
        <v>12129</v>
      </c>
      <c r="BP119" s="2" t="s">
        <v>12129</v>
      </c>
      <c r="BQ119" s="2" t="s">
        <v>12129</v>
      </c>
      <c r="BR119" s="2" t="s">
        <v>12152</v>
      </c>
      <c r="BS119" s="2" t="s">
        <v>14629</v>
      </c>
      <c r="BT119" s="2" t="str">
        <f>HYPERLINK("https%3A%2F%2Fwww.webofscience.com%2Fwos%2Fwoscc%2Ffull-record%2FWOS:000293038700014","View Full Record in Web of Science")</f>
        <v>View Full Record in Web of Science</v>
      </c>
    </row>
    <row r="120" ht="12.75" customHeight="1">
      <c r="A120" s="2" t="s">
        <v>23</v>
      </c>
      <c r="B120" s="2" t="s">
        <v>14630</v>
      </c>
      <c r="C120" s="2" t="s">
        <v>12129</v>
      </c>
      <c r="D120" s="2" t="s">
        <v>12129</v>
      </c>
      <c r="E120" s="2" t="s">
        <v>12129</v>
      </c>
      <c r="F120" s="2" t="s">
        <v>14631</v>
      </c>
      <c r="G120" s="2" t="s">
        <v>12129</v>
      </c>
      <c r="H120" s="2" t="s">
        <v>12129</v>
      </c>
      <c r="I120" s="2" t="s">
        <v>14632</v>
      </c>
      <c r="J120" s="2" t="s">
        <v>14633</v>
      </c>
      <c r="K120" s="2" t="s">
        <v>12129</v>
      </c>
      <c r="L120" s="2" t="s">
        <v>12129</v>
      </c>
      <c r="M120" s="2" t="s">
        <v>3263</v>
      </c>
      <c r="N120" s="2" t="s">
        <v>35</v>
      </c>
      <c r="O120" s="2" t="s">
        <v>12129</v>
      </c>
      <c r="P120" s="2" t="s">
        <v>12129</v>
      </c>
      <c r="Q120" s="2" t="s">
        <v>12129</v>
      </c>
      <c r="R120" s="2" t="s">
        <v>12129</v>
      </c>
      <c r="S120" s="2" t="s">
        <v>12129</v>
      </c>
      <c r="T120" s="2" t="s">
        <v>12129</v>
      </c>
      <c r="U120" s="2" t="s">
        <v>14634</v>
      </c>
      <c r="V120" s="2" t="s">
        <v>14635</v>
      </c>
      <c r="W120" s="2" t="s">
        <v>14636</v>
      </c>
      <c r="X120" s="2" t="s">
        <v>14637</v>
      </c>
      <c r="Y120" s="2" t="s">
        <v>14638</v>
      </c>
      <c r="Z120" s="2" t="s">
        <v>13508</v>
      </c>
      <c r="AA120" s="2" t="s">
        <v>14639</v>
      </c>
      <c r="AB120" s="2" t="s">
        <v>14640</v>
      </c>
      <c r="AC120" s="2" t="s">
        <v>14641</v>
      </c>
      <c r="AD120" s="2" t="s">
        <v>14642</v>
      </c>
      <c r="AE120" s="2" t="s">
        <v>14643</v>
      </c>
      <c r="AF120" s="2" t="s">
        <v>12129</v>
      </c>
      <c r="AG120" s="2">
        <v>102.0</v>
      </c>
      <c r="AH120" s="2">
        <v>250.0</v>
      </c>
      <c r="AI120" s="2">
        <v>295.0</v>
      </c>
      <c r="AJ120" s="2">
        <v>4.0</v>
      </c>
      <c r="AK120" s="2">
        <v>303.0</v>
      </c>
      <c r="AL120" s="2" t="s">
        <v>14464</v>
      </c>
      <c r="AM120" s="2" t="s">
        <v>12632</v>
      </c>
      <c r="AN120" s="2" t="s">
        <v>14465</v>
      </c>
      <c r="AO120" s="2" t="s">
        <v>14644</v>
      </c>
      <c r="AP120" s="2" t="s">
        <v>14645</v>
      </c>
      <c r="AQ120" s="2" t="s">
        <v>12129</v>
      </c>
      <c r="AR120" s="2" t="s">
        <v>14646</v>
      </c>
      <c r="AS120" s="2" t="s">
        <v>14647</v>
      </c>
      <c r="AT120" s="2" t="s">
        <v>14648</v>
      </c>
      <c r="AU120" s="2">
        <v>2011.0</v>
      </c>
      <c r="AV120" s="2">
        <v>25.0</v>
      </c>
      <c r="AW120" s="2" t="s">
        <v>12129</v>
      </c>
      <c r="AX120" s="2" t="s">
        <v>12129</v>
      </c>
      <c r="AY120" s="2" t="s">
        <v>12129</v>
      </c>
      <c r="AZ120" s="2" t="s">
        <v>12129</v>
      </c>
      <c r="BA120" s="2" t="s">
        <v>12129</v>
      </c>
      <c r="BB120" s="2" t="s">
        <v>12129</v>
      </c>
      <c r="BC120" s="2" t="s">
        <v>12129</v>
      </c>
      <c r="BD120" s="2" t="s">
        <v>14649</v>
      </c>
      <c r="BE120" s="2" t="s">
        <v>14650</v>
      </c>
      <c r="BF120" s="15" t="str">
        <f>HYPERLINK("http://dx.doi.org/10.1029/2010GB003838","http://dx.doi.org/10.1029/2010GB003838")</f>
        <v>http://dx.doi.org/10.1029/2010GB003838</v>
      </c>
      <c r="BG120" s="2" t="s">
        <v>12129</v>
      </c>
      <c r="BH120" s="2" t="s">
        <v>12129</v>
      </c>
      <c r="BI120" s="2">
        <v>16.0</v>
      </c>
      <c r="BJ120" s="2" t="s">
        <v>524</v>
      </c>
      <c r="BK120" s="2" t="s">
        <v>12176</v>
      </c>
      <c r="BL120" s="2" t="s">
        <v>14651</v>
      </c>
      <c r="BM120" s="2" t="s">
        <v>14652</v>
      </c>
      <c r="BN120" s="2" t="s">
        <v>12129</v>
      </c>
      <c r="BO120" s="2" t="s">
        <v>12253</v>
      </c>
      <c r="BP120" s="2" t="s">
        <v>12129</v>
      </c>
      <c r="BQ120" s="2" t="s">
        <v>12129</v>
      </c>
      <c r="BR120" s="2" t="s">
        <v>12152</v>
      </c>
      <c r="BS120" s="2" t="s">
        <v>14653</v>
      </c>
      <c r="BT120" s="2" t="str">
        <f>HYPERLINK("https%3A%2F%2Fwww.webofscience.com%2Fwos%2Fwoscc%2Ffull-record%2FWOS:000289085400001","View Full Record in Web of Science")</f>
        <v>View Full Record in Web of Science</v>
      </c>
    </row>
    <row r="121" ht="12.75" customHeight="1">
      <c r="A121" s="2" t="s">
        <v>13635</v>
      </c>
      <c r="B121" s="2" t="s">
        <v>14654</v>
      </c>
      <c r="C121" s="2" t="s">
        <v>12129</v>
      </c>
      <c r="D121" s="2" t="s">
        <v>14655</v>
      </c>
      <c r="E121" s="2" t="s">
        <v>12129</v>
      </c>
      <c r="F121" s="2" t="s">
        <v>14656</v>
      </c>
      <c r="G121" s="2" t="s">
        <v>12129</v>
      </c>
      <c r="H121" s="2" t="s">
        <v>12129</v>
      </c>
      <c r="I121" s="2" t="s">
        <v>14657</v>
      </c>
      <c r="J121" s="2" t="s">
        <v>14658</v>
      </c>
      <c r="K121" s="2" t="s">
        <v>14659</v>
      </c>
      <c r="L121" s="2" t="s">
        <v>12129</v>
      </c>
      <c r="M121" s="2" t="s">
        <v>3263</v>
      </c>
      <c r="N121" s="2" t="s">
        <v>13641</v>
      </c>
      <c r="O121" s="2" t="s">
        <v>14660</v>
      </c>
      <c r="P121" s="2" t="s">
        <v>14661</v>
      </c>
      <c r="Q121" s="2" t="s">
        <v>14662</v>
      </c>
      <c r="R121" s="2" t="s">
        <v>14663</v>
      </c>
      <c r="S121" s="2" t="s">
        <v>12129</v>
      </c>
      <c r="T121" s="2" t="s">
        <v>14664</v>
      </c>
      <c r="U121" s="2" t="s">
        <v>12129</v>
      </c>
      <c r="V121" s="2" t="s">
        <v>14665</v>
      </c>
      <c r="W121" s="2" t="s">
        <v>14666</v>
      </c>
      <c r="X121" s="2" t="s">
        <v>14667</v>
      </c>
      <c r="Y121" s="2" t="s">
        <v>14668</v>
      </c>
      <c r="Z121" s="2" t="s">
        <v>14669</v>
      </c>
      <c r="AA121" s="2" t="s">
        <v>14670</v>
      </c>
      <c r="AB121" s="2" t="s">
        <v>12129</v>
      </c>
      <c r="AC121" s="2" t="s">
        <v>12129</v>
      </c>
      <c r="AD121" s="2" t="s">
        <v>12129</v>
      </c>
      <c r="AE121" s="2" t="s">
        <v>12129</v>
      </c>
      <c r="AF121" s="2" t="s">
        <v>12129</v>
      </c>
      <c r="AG121" s="2">
        <v>6.0</v>
      </c>
      <c r="AH121" s="2">
        <v>2.0</v>
      </c>
      <c r="AI121" s="2">
        <v>3.0</v>
      </c>
      <c r="AJ121" s="2">
        <v>0.0</v>
      </c>
      <c r="AK121" s="2">
        <v>17.0</v>
      </c>
      <c r="AL121" s="2" t="s">
        <v>12930</v>
      </c>
      <c r="AM121" s="2" t="s">
        <v>12270</v>
      </c>
      <c r="AN121" s="2" t="s">
        <v>14546</v>
      </c>
      <c r="AO121" s="2" t="s">
        <v>14671</v>
      </c>
      <c r="AP121" s="2" t="s">
        <v>12129</v>
      </c>
      <c r="AQ121" s="2" t="s">
        <v>12129</v>
      </c>
      <c r="AR121" s="2" t="s">
        <v>14672</v>
      </c>
      <c r="AS121" s="2" t="s">
        <v>12129</v>
      </c>
      <c r="AT121" s="2" t="s">
        <v>12129</v>
      </c>
      <c r="AU121" s="2">
        <v>2011.0</v>
      </c>
      <c r="AV121" s="2">
        <v>10.0</v>
      </c>
      <c r="AW121" s="2" t="s">
        <v>12129</v>
      </c>
      <c r="AX121" s="2" t="s">
        <v>13635</v>
      </c>
      <c r="AY121" s="2" t="s">
        <v>12129</v>
      </c>
      <c r="AZ121" s="2" t="s">
        <v>12129</v>
      </c>
      <c r="BA121" s="2" t="s">
        <v>12129</v>
      </c>
      <c r="BB121" s="2">
        <v>2176.0</v>
      </c>
      <c r="BC121" s="2">
        <v>2181.0</v>
      </c>
      <c r="BD121" s="2" t="s">
        <v>12129</v>
      </c>
      <c r="BE121" s="2" t="s">
        <v>14673</v>
      </c>
      <c r="BF121" s="15" t="str">
        <f>HYPERLINK("http://dx.doi.org/10.1016/j.proenv.2011.09.341","http://dx.doi.org/10.1016/j.proenv.2011.09.341")</f>
        <v>http://dx.doi.org/10.1016/j.proenv.2011.09.341</v>
      </c>
      <c r="BG121" s="2" t="s">
        <v>12129</v>
      </c>
      <c r="BH121" s="2" t="s">
        <v>12129</v>
      </c>
      <c r="BI121" s="2">
        <v>6.0</v>
      </c>
      <c r="BJ121" s="2" t="s">
        <v>14674</v>
      </c>
      <c r="BK121" s="2" t="s">
        <v>14675</v>
      </c>
      <c r="BL121" s="2" t="s">
        <v>13035</v>
      </c>
      <c r="BM121" s="2" t="s">
        <v>14676</v>
      </c>
      <c r="BN121" s="2" t="s">
        <v>12129</v>
      </c>
      <c r="BO121" s="2" t="s">
        <v>12399</v>
      </c>
      <c r="BP121" s="2" t="s">
        <v>12129</v>
      </c>
      <c r="BQ121" s="2" t="s">
        <v>12129</v>
      </c>
      <c r="BR121" s="2" t="s">
        <v>12152</v>
      </c>
      <c r="BS121" s="2" t="s">
        <v>14677</v>
      </c>
      <c r="BT121" s="2" t="str">
        <f>HYPERLINK("https%3A%2F%2Fwww.webofscience.com%2Fwos%2Fwoscc%2Ffull-record%2FWOS:000312275800049","View Full Record in Web of Science")</f>
        <v>View Full Record in Web of Science</v>
      </c>
    </row>
    <row r="122" ht="12.75" customHeight="1">
      <c r="A122" s="2" t="s">
        <v>23</v>
      </c>
      <c r="B122" s="2" t="s">
        <v>14678</v>
      </c>
      <c r="C122" s="2" t="s">
        <v>12129</v>
      </c>
      <c r="D122" s="2" t="s">
        <v>12129</v>
      </c>
      <c r="E122" s="2" t="s">
        <v>12129</v>
      </c>
      <c r="F122" s="2" t="s">
        <v>14679</v>
      </c>
      <c r="G122" s="2" t="s">
        <v>12129</v>
      </c>
      <c r="H122" s="2" t="s">
        <v>12129</v>
      </c>
      <c r="I122" s="2" t="s">
        <v>14680</v>
      </c>
      <c r="J122" s="2" t="s">
        <v>1250</v>
      </c>
      <c r="K122" s="2" t="s">
        <v>12129</v>
      </c>
      <c r="L122" s="2" t="s">
        <v>12129</v>
      </c>
      <c r="M122" s="2" t="s">
        <v>3263</v>
      </c>
      <c r="N122" s="2" t="s">
        <v>35</v>
      </c>
      <c r="O122" s="2" t="s">
        <v>12129</v>
      </c>
      <c r="P122" s="2" t="s">
        <v>12129</v>
      </c>
      <c r="Q122" s="2" t="s">
        <v>12129</v>
      </c>
      <c r="R122" s="2" t="s">
        <v>12129</v>
      </c>
      <c r="S122" s="2" t="s">
        <v>12129</v>
      </c>
      <c r="T122" s="2" t="s">
        <v>14681</v>
      </c>
      <c r="U122" s="2" t="s">
        <v>14682</v>
      </c>
      <c r="V122" s="2" t="s">
        <v>14683</v>
      </c>
      <c r="W122" s="2" t="s">
        <v>14684</v>
      </c>
      <c r="X122" s="2" t="s">
        <v>14685</v>
      </c>
      <c r="Y122" s="2" t="s">
        <v>14686</v>
      </c>
      <c r="Z122" s="2" t="s">
        <v>14687</v>
      </c>
      <c r="AA122" s="2" t="s">
        <v>14688</v>
      </c>
      <c r="AB122" s="2" t="s">
        <v>14689</v>
      </c>
      <c r="AC122" s="2" t="s">
        <v>12129</v>
      </c>
      <c r="AD122" s="2" t="s">
        <v>12129</v>
      </c>
      <c r="AE122" s="2" t="s">
        <v>12129</v>
      </c>
      <c r="AF122" s="2" t="s">
        <v>12129</v>
      </c>
      <c r="AG122" s="2">
        <v>51.0</v>
      </c>
      <c r="AH122" s="2">
        <v>408.0</v>
      </c>
      <c r="AI122" s="2">
        <v>433.0</v>
      </c>
      <c r="AJ122" s="2">
        <v>1.0</v>
      </c>
      <c r="AK122" s="2">
        <v>256.0</v>
      </c>
      <c r="AL122" s="2" t="s">
        <v>14690</v>
      </c>
      <c r="AM122" s="2" t="s">
        <v>12244</v>
      </c>
      <c r="AN122" s="2" t="s">
        <v>12245</v>
      </c>
      <c r="AO122" s="2" t="s">
        <v>12681</v>
      </c>
      <c r="AP122" s="2" t="s">
        <v>12682</v>
      </c>
      <c r="AQ122" s="2" t="s">
        <v>12129</v>
      </c>
      <c r="AR122" s="2" t="s">
        <v>12683</v>
      </c>
      <c r="AS122" s="2" t="s">
        <v>12684</v>
      </c>
      <c r="AT122" s="2" t="s">
        <v>13127</v>
      </c>
      <c r="AU122" s="2">
        <v>2011.0</v>
      </c>
      <c r="AV122" s="2">
        <v>20.0</v>
      </c>
      <c r="AW122" s="2">
        <v>1.0</v>
      </c>
      <c r="AX122" s="2" t="s">
        <v>12129</v>
      </c>
      <c r="AY122" s="2" t="s">
        <v>12129</v>
      </c>
      <c r="AZ122" s="2" t="s">
        <v>12129</v>
      </c>
      <c r="BA122" s="2" t="s">
        <v>12129</v>
      </c>
      <c r="BB122" s="2">
        <v>58.0</v>
      </c>
      <c r="BC122" s="2">
        <v>72.0</v>
      </c>
      <c r="BD122" s="2" t="s">
        <v>12129</v>
      </c>
      <c r="BE122" s="2" t="s">
        <v>14691</v>
      </c>
      <c r="BF122" s="15" t="str">
        <f>HYPERLINK("http://dx.doi.org/10.1111/j.1466-8238.2010.00575.x","http://dx.doi.org/10.1111/j.1466-8238.2010.00575.x")</f>
        <v>http://dx.doi.org/10.1111/j.1466-8238.2010.00575.x</v>
      </c>
      <c r="BG122" s="2" t="s">
        <v>12129</v>
      </c>
      <c r="BH122" s="2" t="s">
        <v>12129</v>
      </c>
      <c r="BI122" s="2">
        <v>15.0</v>
      </c>
      <c r="BJ122" s="2" t="s">
        <v>1254</v>
      </c>
      <c r="BK122" s="2" t="s">
        <v>12176</v>
      </c>
      <c r="BL122" s="2" t="s">
        <v>12686</v>
      </c>
      <c r="BM122" s="2" t="s">
        <v>14692</v>
      </c>
      <c r="BN122" s="2" t="s">
        <v>12129</v>
      </c>
      <c r="BO122" s="2" t="s">
        <v>12129</v>
      </c>
      <c r="BP122" s="2" t="s">
        <v>12129</v>
      </c>
      <c r="BQ122" s="2" t="s">
        <v>12129</v>
      </c>
      <c r="BR122" s="2" t="s">
        <v>12152</v>
      </c>
      <c r="BS122" s="2" t="s">
        <v>14693</v>
      </c>
      <c r="BT122" s="2" t="str">
        <f>HYPERLINK("https%3A%2F%2Fwww.webofscience.com%2Fwos%2Fwoscc%2Ffull-record%2FWOS:000285109200005","View Full Record in Web of Science")</f>
        <v>View Full Record in Web of Science</v>
      </c>
    </row>
    <row r="123" ht="12.75" customHeight="1">
      <c r="A123" s="2" t="s">
        <v>23</v>
      </c>
      <c r="B123" s="2" t="s">
        <v>14694</v>
      </c>
      <c r="C123" s="2" t="s">
        <v>12129</v>
      </c>
      <c r="D123" s="2" t="s">
        <v>12129</v>
      </c>
      <c r="E123" s="2" t="s">
        <v>12129</v>
      </c>
      <c r="F123" s="2" t="s">
        <v>14695</v>
      </c>
      <c r="G123" s="2" t="s">
        <v>12129</v>
      </c>
      <c r="H123" s="2" t="s">
        <v>12129</v>
      </c>
      <c r="I123" s="2" t="s">
        <v>14696</v>
      </c>
      <c r="J123" s="2" t="s">
        <v>14697</v>
      </c>
      <c r="K123" s="2" t="s">
        <v>12129</v>
      </c>
      <c r="L123" s="2" t="s">
        <v>12129</v>
      </c>
      <c r="M123" s="2" t="s">
        <v>3263</v>
      </c>
      <c r="N123" s="2" t="s">
        <v>35</v>
      </c>
      <c r="O123" s="2" t="s">
        <v>12129</v>
      </c>
      <c r="P123" s="2" t="s">
        <v>12129</v>
      </c>
      <c r="Q123" s="2" t="s">
        <v>12129</v>
      </c>
      <c r="R123" s="2" t="s">
        <v>12129</v>
      </c>
      <c r="S123" s="2" t="s">
        <v>12129</v>
      </c>
      <c r="T123" s="2" t="s">
        <v>14698</v>
      </c>
      <c r="U123" s="2" t="s">
        <v>14699</v>
      </c>
      <c r="V123" s="2" t="s">
        <v>14700</v>
      </c>
      <c r="W123" s="2" t="s">
        <v>14701</v>
      </c>
      <c r="X123" s="2" t="s">
        <v>14702</v>
      </c>
      <c r="Y123" s="2" t="s">
        <v>14703</v>
      </c>
      <c r="Z123" s="2" t="s">
        <v>14704</v>
      </c>
      <c r="AA123" s="2" t="s">
        <v>14705</v>
      </c>
      <c r="AB123" s="2" t="s">
        <v>14706</v>
      </c>
      <c r="AC123" s="2" t="s">
        <v>14707</v>
      </c>
      <c r="AD123" s="2" t="s">
        <v>14708</v>
      </c>
      <c r="AE123" s="2" t="s">
        <v>14709</v>
      </c>
      <c r="AF123" s="2" t="s">
        <v>12129</v>
      </c>
      <c r="AG123" s="2">
        <v>64.0</v>
      </c>
      <c r="AH123" s="2">
        <v>25.0</v>
      </c>
      <c r="AI123" s="2">
        <v>27.0</v>
      </c>
      <c r="AJ123" s="2">
        <v>1.0</v>
      </c>
      <c r="AK123" s="2">
        <v>48.0</v>
      </c>
      <c r="AL123" s="2" t="s">
        <v>14710</v>
      </c>
      <c r="AM123" s="2" t="s">
        <v>14711</v>
      </c>
      <c r="AN123" s="2" t="s">
        <v>14712</v>
      </c>
      <c r="AO123" s="2" t="s">
        <v>14713</v>
      </c>
      <c r="AP123" s="2" t="s">
        <v>14714</v>
      </c>
      <c r="AQ123" s="2" t="s">
        <v>12129</v>
      </c>
      <c r="AR123" s="2" t="s">
        <v>14715</v>
      </c>
      <c r="AS123" s="2" t="s">
        <v>14716</v>
      </c>
      <c r="AT123" s="2" t="s">
        <v>12129</v>
      </c>
      <c r="AU123" s="2">
        <v>2011.0</v>
      </c>
      <c r="AV123" s="2">
        <v>111.0</v>
      </c>
      <c r="AW123" s="2">
        <v>2.0</v>
      </c>
      <c r="AX123" s="2" t="s">
        <v>12129</v>
      </c>
      <c r="AY123" s="2" t="s">
        <v>12129</v>
      </c>
      <c r="AZ123" s="2" t="s">
        <v>12129</v>
      </c>
      <c r="BA123" s="2" t="s">
        <v>12129</v>
      </c>
      <c r="BB123" s="2">
        <v>120.0</v>
      </c>
      <c r="BC123" s="2">
        <v>131.0</v>
      </c>
      <c r="BD123" s="2" t="s">
        <v>12129</v>
      </c>
      <c r="BE123" s="2" t="s">
        <v>14717</v>
      </c>
      <c r="BF123" s="15" t="str">
        <f>HYPERLINK("http://dx.doi.org/10.1071/MU10009","http://dx.doi.org/10.1071/MU10009")</f>
        <v>http://dx.doi.org/10.1071/MU10009</v>
      </c>
      <c r="BG123" s="2" t="s">
        <v>12129</v>
      </c>
      <c r="BH123" s="2" t="s">
        <v>12129</v>
      </c>
      <c r="BI123" s="2">
        <v>12.0</v>
      </c>
      <c r="BJ123" s="2" t="s">
        <v>270</v>
      </c>
      <c r="BK123" s="2" t="s">
        <v>12176</v>
      </c>
      <c r="BL123" s="2" t="s">
        <v>12509</v>
      </c>
      <c r="BM123" s="2" t="s">
        <v>14718</v>
      </c>
      <c r="BN123" s="2" t="s">
        <v>12129</v>
      </c>
      <c r="BO123" s="2" t="s">
        <v>12129</v>
      </c>
      <c r="BP123" s="2" t="s">
        <v>12129</v>
      </c>
      <c r="BQ123" s="2" t="s">
        <v>12129</v>
      </c>
      <c r="BR123" s="2" t="s">
        <v>12152</v>
      </c>
      <c r="BS123" s="2" t="s">
        <v>14719</v>
      </c>
      <c r="BT123" s="2" t="str">
        <f>HYPERLINK("https%3A%2F%2Fwww.webofscience.com%2Fwos%2Fwoscc%2Ffull-record%2FWOS:000291035900004","View Full Record in Web of Science")</f>
        <v>View Full Record in Web of Science</v>
      </c>
    </row>
    <row r="124" ht="12.75" customHeight="1">
      <c r="A124" s="2" t="s">
        <v>23</v>
      </c>
      <c r="B124" s="2" t="s">
        <v>14720</v>
      </c>
      <c r="C124" s="2" t="s">
        <v>12129</v>
      </c>
      <c r="D124" s="2" t="s">
        <v>12129</v>
      </c>
      <c r="E124" s="2" t="s">
        <v>12129</v>
      </c>
      <c r="F124" s="2" t="s">
        <v>14721</v>
      </c>
      <c r="G124" s="2" t="s">
        <v>12129</v>
      </c>
      <c r="H124" s="2" t="s">
        <v>12129</v>
      </c>
      <c r="I124" s="2" t="s">
        <v>14722</v>
      </c>
      <c r="J124" s="2" t="s">
        <v>457</v>
      </c>
      <c r="K124" s="2" t="s">
        <v>12129</v>
      </c>
      <c r="L124" s="2" t="s">
        <v>12129</v>
      </c>
      <c r="M124" s="2" t="s">
        <v>3263</v>
      </c>
      <c r="N124" s="2" t="s">
        <v>27</v>
      </c>
      <c r="O124" s="2" t="s">
        <v>12129</v>
      </c>
      <c r="P124" s="2" t="s">
        <v>12129</v>
      </c>
      <c r="Q124" s="2" t="s">
        <v>12129</v>
      </c>
      <c r="R124" s="2" t="s">
        <v>12129</v>
      </c>
      <c r="S124" s="2" t="s">
        <v>12129</v>
      </c>
      <c r="T124" s="2" t="s">
        <v>14723</v>
      </c>
      <c r="U124" s="2" t="s">
        <v>14724</v>
      </c>
      <c r="V124" s="2" t="s">
        <v>14725</v>
      </c>
      <c r="W124" s="2" t="s">
        <v>14726</v>
      </c>
      <c r="X124" s="2" t="s">
        <v>12288</v>
      </c>
      <c r="Y124" s="2" t="s">
        <v>14727</v>
      </c>
      <c r="Z124" s="2" t="s">
        <v>14728</v>
      </c>
      <c r="AA124" s="2" t="s">
        <v>12129</v>
      </c>
      <c r="AB124" s="2" t="s">
        <v>12129</v>
      </c>
      <c r="AC124" s="2" t="s">
        <v>14729</v>
      </c>
      <c r="AD124" s="2" t="s">
        <v>14730</v>
      </c>
      <c r="AE124" s="2" t="s">
        <v>14731</v>
      </c>
      <c r="AF124" s="2" t="s">
        <v>12129</v>
      </c>
      <c r="AG124" s="2">
        <v>91.0</v>
      </c>
      <c r="AH124" s="2">
        <v>234.0</v>
      </c>
      <c r="AI124" s="2">
        <v>289.0</v>
      </c>
      <c r="AJ124" s="2">
        <v>5.0</v>
      </c>
      <c r="AK124" s="2">
        <v>198.0</v>
      </c>
      <c r="AL124" s="2" t="s">
        <v>14600</v>
      </c>
      <c r="AM124" s="2" t="s">
        <v>12170</v>
      </c>
      <c r="AN124" s="2" t="s">
        <v>14601</v>
      </c>
      <c r="AO124" s="2" t="s">
        <v>1775</v>
      </c>
      <c r="AP124" s="2" t="s">
        <v>14602</v>
      </c>
      <c r="AQ124" s="2" t="s">
        <v>12129</v>
      </c>
      <c r="AR124" s="2" t="s">
        <v>14603</v>
      </c>
      <c r="AS124" s="2" t="s">
        <v>14604</v>
      </c>
      <c r="AT124" s="2" t="s">
        <v>14732</v>
      </c>
      <c r="AU124" s="2">
        <v>2010.0</v>
      </c>
      <c r="AV124" s="2">
        <v>365.0</v>
      </c>
      <c r="AW124" s="2">
        <v>1558.0</v>
      </c>
      <c r="AX124" s="2" t="s">
        <v>12129</v>
      </c>
      <c r="AY124" s="2" t="s">
        <v>12129</v>
      </c>
      <c r="AZ124" s="2" t="s">
        <v>12129</v>
      </c>
      <c r="BA124" s="2" t="s">
        <v>12129</v>
      </c>
      <c r="BB124" s="2">
        <v>3709.0</v>
      </c>
      <c r="BC124" s="2">
        <v>3718.0</v>
      </c>
      <c r="BD124" s="2" t="s">
        <v>12129</v>
      </c>
      <c r="BE124" s="2" t="s">
        <v>14733</v>
      </c>
      <c r="BF124" s="15" t="str">
        <f>HYPERLINK("http://dx.doi.org/10.1098/rstb.2010.0273","http://dx.doi.org/10.1098/rstb.2010.0273")</f>
        <v>http://dx.doi.org/10.1098/rstb.2010.0273</v>
      </c>
      <c r="BG124" s="2" t="s">
        <v>12129</v>
      </c>
      <c r="BH124" s="2" t="s">
        <v>12129</v>
      </c>
      <c r="BI124" s="2">
        <v>10.0</v>
      </c>
      <c r="BJ124" s="2" t="s">
        <v>185</v>
      </c>
      <c r="BK124" s="2" t="s">
        <v>12176</v>
      </c>
      <c r="BL124" s="2" t="s">
        <v>13772</v>
      </c>
      <c r="BM124" s="2" t="s">
        <v>14734</v>
      </c>
      <c r="BN124" s="2">
        <v>2.0980318E7</v>
      </c>
      <c r="BO124" s="2" t="s">
        <v>12129</v>
      </c>
      <c r="BP124" s="2" t="s">
        <v>12129</v>
      </c>
      <c r="BQ124" s="2" t="s">
        <v>12129</v>
      </c>
      <c r="BR124" s="2" t="s">
        <v>12152</v>
      </c>
      <c r="BS124" s="2" t="s">
        <v>14735</v>
      </c>
      <c r="BT124" s="2" t="str">
        <f>HYPERLINK("https%3A%2F%2Fwww.webofscience.com%2Fwos%2Fwoscc%2Ffull-record%2FWOS:000283665200011","View Full Record in Web of Science")</f>
        <v>View Full Record in Web of Science</v>
      </c>
    </row>
    <row r="125" ht="12.75" customHeight="1">
      <c r="A125" s="2" t="s">
        <v>23</v>
      </c>
      <c r="B125" s="2" t="s">
        <v>14736</v>
      </c>
      <c r="C125" s="2" t="s">
        <v>12129</v>
      </c>
      <c r="D125" s="2" t="s">
        <v>12129</v>
      </c>
      <c r="E125" s="2" t="s">
        <v>12129</v>
      </c>
      <c r="F125" s="2" t="s">
        <v>14737</v>
      </c>
      <c r="G125" s="2" t="s">
        <v>12129</v>
      </c>
      <c r="H125" s="2" t="s">
        <v>12129</v>
      </c>
      <c r="I125" s="2" t="s">
        <v>14738</v>
      </c>
      <c r="J125" s="2" t="s">
        <v>1117</v>
      </c>
      <c r="K125" s="2" t="s">
        <v>12129</v>
      </c>
      <c r="L125" s="2" t="s">
        <v>12129</v>
      </c>
      <c r="M125" s="2" t="s">
        <v>3263</v>
      </c>
      <c r="N125" s="2" t="s">
        <v>35</v>
      </c>
      <c r="O125" s="2" t="s">
        <v>12129</v>
      </c>
      <c r="P125" s="2" t="s">
        <v>12129</v>
      </c>
      <c r="Q125" s="2" t="s">
        <v>12129</v>
      </c>
      <c r="R125" s="2" t="s">
        <v>12129</v>
      </c>
      <c r="S125" s="2" t="s">
        <v>12129</v>
      </c>
      <c r="T125" s="2" t="s">
        <v>14739</v>
      </c>
      <c r="U125" s="2" t="s">
        <v>14740</v>
      </c>
      <c r="V125" s="2" t="s">
        <v>14741</v>
      </c>
      <c r="W125" s="2" t="s">
        <v>14742</v>
      </c>
      <c r="X125" s="2" t="s">
        <v>14743</v>
      </c>
      <c r="Y125" s="2" t="s">
        <v>14744</v>
      </c>
      <c r="Z125" s="2" t="s">
        <v>14745</v>
      </c>
      <c r="AA125" s="2" t="s">
        <v>14746</v>
      </c>
      <c r="AB125" s="2" t="s">
        <v>14747</v>
      </c>
      <c r="AC125" s="2" t="s">
        <v>14748</v>
      </c>
      <c r="AD125" s="2" t="s">
        <v>14749</v>
      </c>
      <c r="AE125" s="2" t="s">
        <v>14750</v>
      </c>
      <c r="AF125" s="2" t="s">
        <v>12129</v>
      </c>
      <c r="AG125" s="2">
        <v>59.0</v>
      </c>
      <c r="AH125" s="2">
        <v>32.0</v>
      </c>
      <c r="AI125" s="2">
        <v>33.0</v>
      </c>
      <c r="AJ125" s="2">
        <v>0.0</v>
      </c>
      <c r="AK125" s="2">
        <v>53.0</v>
      </c>
      <c r="AL125" s="2" t="s">
        <v>12243</v>
      </c>
      <c r="AM125" s="2" t="s">
        <v>12244</v>
      </c>
      <c r="AN125" s="2" t="s">
        <v>12245</v>
      </c>
      <c r="AO125" s="2" t="s">
        <v>4429</v>
      </c>
      <c r="AP125" s="2" t="s">
        <v>14751</v>
      </c>
      <c r="AQ125" s="2" t="s">
        <v>12129</v>
      </c>
      <c r="AR125" s="2" t="s">
        <v>14752</v>
      </c>
      <c r="AS125" s="2" t="s">
        <v>14753</v>
      </c>
      <c r="AT125" s="2" t="s">
        <v>13517</v>
      </c>
      <c r="AU125" s="2">
        <v>2010.0</v>
      </c>
      <c r="AV125" s="2">
        <v>13.0</v>
      </c>
      <c r="AW125" s="2">
        <v>5.0</v>
      </c>
      <c r="AX125" s="2" t="s">
        <v>12129</v>
      </c>
      <c r="AY125" s="2" t="s">
        <v>12129</v>
      </c>
      <c r="AZ125" s="2" t="s">
        <v>12129</v>
      </c>
      <c r="BA125" s="2" t="s">
        <v>12129</v>
      </c>
      <c r="BB125" s="2">
        <v>495.0</v>
      </c>
      <c r="BC125" s="2">
        <v>504.0</v>
      </c>
      <c r="BD125" s="2" t="s">
        <v>12129</v>
      </c>
      <c r="BE125" s="2" t="s">
        <v>14754</v>
      </c>
      <c r="BF125" s="15" t="str">
        <f>HYPERLINK("http://dx.doi.org/10.1111/j.1469-1795.2010.00369.x","http://dx.doi.org/10.1111/j.1469-1795.2010.00369.x")</f>
        <v>http://dx.doi.org/10.1111/j.1469-1795.2010.00369.x</v>
      </c>
      <c r="BG125" s="2" t="s">
        <v>12129</v>
      </c>
      <c r="BH125" s="2" t="s">
        <v>12129</v>
      </c>
      <c r="BI125" s="2">
        <v>10.0</v>
      </c>
      <c r="BJ125" s="2" t="s">
        <v>1121</v>
      </c>
      <c r="BK125" s="2" t="s">
        <v>12176</v>
      </c>
      <c r="BL125" s="2" t="s">
        <v>12376</v>
      </c>
      <c r="BM125" s="2" t="s">
        <v>14755</v>
      </c>
      <c r="BN125" s="2" t="s">
        <v>12129</v>
      </c>
      <c r="BO125" s="2" t="s">
        <v>12378</v>
      </c>
      <c r="BP125" s="2" t="s">
        <v>12129</v>
      </c>
      <c r="BQ125" s="2" t="s">
        <v>12129</v>
      </c>
      <c r="BR125" s="2" t="s">
        <v>12152</v>
      </c>
      <c r="BS125" s="2" t="s">
        <v>14756</v>
      </c>
      <c r="BT125" s="2" t="str">
        <f>HYPERLINK("https%3A%2F%2Fwww.webofscience.com%2Fwos%2Fwoscc%2Ffull-record%2FWOS:000282370500011","View Full Record in Web of Science")</f>
        <v>View Full Record in Web of Science</v>
      </c>
    </row>
    <row r="126" ht="12.75" customHeight="1">
      <c r="A126" s="2" t="s">
        <v>23</v>
      </c>
      <c r="B126" s="2" t="s">
        <v>14757</v>
      </c>
      <c r="C126" s="2" t="s">
        <v>12129</v>
      </c>
      <c r="D126" s="2" t="s">
        <v>12129</v>
      </c>
      <c r="E126" s="2" t="s">
        <v>12129</v>
      </c>
      <c r="F126" s="2" t="s">
        <v>14758</v>
      </c>
      <c r="G126" s="2" t="s">
        <v>12129</v>
      </c>
      <c r="H126" s="2" t="s">
        <v>12129</v>
      </c>
      <c r="I126" s="2" t="s">
        <v>14759</v>
      </c>
      <c r="J126" s="2" t="s">
        <v>14760</v>
      </c>
      <c r="K126" s="2" t="s">
        <v>12129</v>
      </c>
      <c r="L126" s="2" t="s">
        <v>12129</v>
      </c>
      <c r="M126" s="2" t="s">
        <v>3263</v>
      </c>
      <c r="N126" s="2" t="s">
        <v>35</v>
      </c>
      <c r="O126" s="2" t="s">
        <v>12129</v>
      </c>
      <c r="P126" s="2" t="s">
        <v>12129</v>
      </c>
      <c r="Q126" s="2" t="s">
        <v>12129</v>
      </c>
      <c r="R126" s="2" t="s">
        <v>12129</v>
      </c>
      <c r="S126" s="2" t="s">
        <v>12129</v>
      </c>
      <c r="T126" s="2" t="s">
        <v>12129</v>
      </c>
      <c r="U126" s="2" t="s">
        <v>14761</v>
      </c>
      <c r="V126" s="2" t="s">
        <v>14762</v>
      </c>
      <c r="W126" s="2" t="s">
        <v>14763</v>
      </c>
      <c r="X126" s="2" t="s">
        <v>14764</v>
      </c>
      <c r="Y126" s="2" t="s">
        <v>14765</v>
      </c>
      <c r="Z126" s="2" t="s">
        <v>14766</v>
      </c>
      <c r="AA126" s="2" t="s">
        <v>14767</v>
      </c>
      <c r="AB126" s="2" t="s">
        <v>14768</v>
      </c>
      <c r="AC126" s="2" t="s">
        <v>14769</v>
      </c>
      <c r="AD126" s="2" t="s">
        <v>14770</v>
      </c>
      <c r="AE126" s="2" t="s">
        <v>14771</v>
      </c>
      <c r="AF126" s="2" t="s">
        <v>12129</v>
      </c>
      <c r="AG126" s="2">
        <v>101.0</v>
      </c>
      <c r="AH126" s="2">
        <v>33.0</v>
      </c>
      <c r="AI126" s="2">
        <v>44.0</v>
      </c>
      <c r="AJ126" s="2">
        <v>2.0</v>
      </c>
      <c r="AK126" s="2">
        <v>56.0</v>
      </c>
      <c r="AL126" s="2" t="s">
        <v>14772</v>
      </c>
      <c r="AM126" s="2" t="s">
        <v>14773</v>
      </c>
      <c r="AN126" s="2" t="s">
        <v>14774</v>
      </c>
      <c r="AO126" s="2" t="s">
        <v>14775</v>
      </c>
      <c r="AP126" s="2" t="s">
        <v>14776</v>
      </c>
      <c r="AQ126" s="2" t="s">
        <v>12129</v>
      </c>
      <c r="AR126" s="2" t="s">
        <v>14777</v>
      </c>
      <c r="AS126" s="2" t="s">
        <v>14778</v>
      </c>
      <c r="AT126" s="2" t="s">
        <v>12301</v>
      </c>
      <c r="AU126" s="2">
        <v>2010.0</v>
      </c>
      <c r="AV126" s="2">
        <v>50.0</v>
      </c>
      <c r="AW126" s="2">
        <v>2.0</v>
      </c>
      <c r="AX126" s="2" t="s">
        <v>12129</v>
      </c>
      <c r="AY126" s="2" t="s">
        <v>12129</v>
      </c>
      <c r="AZ126" s="2" t="s">
        <v>12129</v>
      </c>
      <c r="BA126" s="2" t="s">
        <v>12129</v>
      </c>
      <c r="BB126" s="2">
        <v>201.0</v>
      </c>
      <c r="BC126" s="2">
        <v>212.0</v>
      </c>
      <c r="BD126" s="2" t="s">
        <v>12129</v>
      </c>
      <c r="BE126" s="2" t="s">
        <v>14779</v>
      </c>
      <c r="BF126" s="15" t="str">
        <f>HYPERLINK("http://dx.doi.org/10.1093/icb/icq072","http://dx.doi.org/10.1093/icb/icq072")</f>
        <v>http://dx.doi.org/10.1093/icb/icq072</v>
      </c>
      <c r="BG126" s="2" t="s">
        <v>12129</v>
      </c>
      <c r="BH126" s="2" t="s">
        <v>12129</v>
      </c>
      <c r="BI126" s="2">
        <v>12.0</v>
      </c>
      <c r="BJ126" s="2" t="s">
        <v>12509</v>
      </c>
      <c r="BK126" s="2" t="s">
        <v>12176</v>
      </c>
      <c r="BL126" s="2" t="s">
        <v>12509</v>
      </c>
      <c r="BM126" s="2" t="s">
        <v>14780</v>
      </c>
      <c r="BN126" s="2">
        <v>2.1558199E7</v>
      </c>
      <c r="BO126" s="2" t="s">
        <v>12538</v>
      </c>
      <c r="BP126" s="2" t="s">
        <v>12129</v>
      </c>
      <c r="BQ126" s="2" t="s">
        <v>12129</v>
      </c>
      <c r="BR126" s="2" t="s">
        <v>12152</v>
      </c>
      <c r="BS126" s="2" t="s">
        <v>14781</v>
      </c>
      <c r="BT126" s="2" t="str">
        <f>HYPERLINK("https%3A%2F%2Fwww.webofscience.com%2Fwos%2Fwoscc%2Ffull-record%2FWOS:000280279800005","View Full Record in Web of Science")</f>
        <v>View Full Record in Web of Science</v>
      </c>
    </row>
    <row r="127" ht="12.75" customHeight="1">
      <c r="A127" s="2" t="s">
        <v>23</v>
      </c>
      <c r="B127" s="2" t="s">
        <v>14782</v>
      </c>
      <c r="C127" s="2" t="s">
        <v>12129</v>
      </c>
      <c r="D127" s="2" t="s">
        <v>12129</v>
      </c>
      <c r="E127" s="2" t="s">
        <v>12129</v>
      </c>
      <c r="F127" s="2" t="s">
        <v>14783</v>
      </c>
      <c r="G127" s="2" t="s">
        <v>12129</v>
      </c>
      <c r="H127" s="2" t="s">
        <v>12129</v>
      </c>
      <c r="I127" s="2" t="s">
        <v>14784</v>
      </c>
      <c r="J127" s="2" t="s">
        <v>14785</v>
      </c>
      <c r="K127" s="2" t="s">
        <v>12129</v>
      </c>
      <c r="L127" s="2" t="s">
        <v>12129</v>
      </c>
      <c r="M127" s="2" t="s">
        <v>3263</v>
      </c>
      <c r="N127" s="2" t="s">
        <v>35</v>
      </c>
      <c r="O127" s="2" t="s">
        <v>12129</v>
      </c>
      <c r="P127" s="2" t="s">
        <v>12129</v>
      </c>
      <c r="Q127" s="2" t="s">
        <v>12129</v>
      </c>
      <c r="R127" s="2" t="s">
        <v>12129</v>
      </c>
      <c r="S127" s="2" t="s">
        <v>12129</v>
      </c>
      <c r="T127" s="2" t="s">
        <v>14786</v>
      </c>
      <c r="U127" s="2" t="s">
        <v>14787</v>
      </c>
      <c r="V127" s="2" t="s">
        <v>14788</v>
      </c>
      <c r="W127" s="2" t="s">
        <v>14789</v>
      </c>
      <c r="X127" s="2" t="s">
        <v>14790</v>
      </c>
      <c r="Y127" s="2" t="s">
        <v>14791</v>
      </c>
      <c r="Z127" s="2" t="s">
        <v>14792</v>
      </c>
      <c r="AA127" s="2" t="s">
        <v>14793</v>
      </c>
      <c r="AB127" s="2" t="s">
        <v>14794</v>
      </c>
      <c r="AC127" s="2" t="s">
        <v>14795</v>
      </c>
      <c r="AD127" s="2" t="s">
        <v>14796</v>
      </c>
      <c r="AE127" s="2" t="s">
        <v>14797</v>
      </c>
      <c r="AF127" s="2" t="s">
        <v>12129</v>
      </c>
      <c r="AG127" s="2">
        <v>40.0</v>
      </c>
      <c r="AH127" s="2">
        <v>164.0</v>
      </c>
      <c r="AI127" s="2">
        <v>185.0</v>
      </c>
      <c r="AJ127" s="2">
        <v>0.0</v>
      </c>
      <c r="AK127" s="2">
        <v>145.0</v>
      </c>
      <c r="AL127" s="2" t="s">
        <v>14600</v>
      </c>
      <c r="AM127" s="2" t="s">
        <v>12170</v>
      </c>
      <c r="AN127" s="2" t="s">
        <v>14601</v>
      </c>
      <c r="AO127" s="2" t="s">
        <v>11431</v>
      </c>
      <c r="AP127" s="2" t="s">
        <v>14798</v>
      </c>
      <c r="AQ127" s="2" t="s">
        <v>12129</v>
      </c>
      <c r="AR127" s="2" t="s">
        <v>14799</v>
      </c>
      <c r="AS127" s="2" t="s">
        <v>14800</v>
      </c>
      <c r="AT127" s="2" t="s">
        <v>14801</v>
      </c>
      <c r="AU127" s="2">
        <v>2010.0</v>
      </c>
      <c r="AV127" s="2">
        <v>277.0</v>
      </c>
      <c r="AW127" s="2">
        <v>1686.0</v>
      </c>
      <c r="AX127" s="2" t="s">
        <v>12129</v>
      </c>
      <c r="AY127" s="2" t="s">
        <v>12129</v>
      </c>
      <c r="AZ127" s="2" t="s">
        <v>12129</v>
      </c>
      <c r="BA127" s="2" t="s">
        <v>12129</v>
      </c>
      <c r="BB127" s="2">
        <v>1353.0</v>
      </c>
      <c r="BC127" s="2">
        <v>1360.0</v>
      </c>
      <c r="BD127" s="2" t="s">
        <v>12129</v>
      </c>
      <c r="BE127" s="2" t="s">
        <v>14802</v>
      </c>
      <c r="BF127" s="15" t="str">
        <f>HYPERLINK("http://dx.doi.org/10.1098/rspb.2009.1020","http://dx.doi.org/10.1098/rspb.2009.1020")</f>
        <v>http://dx.doi.org/10.1098/rspb.2009.1020</v>
      </c>
      <c r="BG127" s="2" t="s">
        <v>12129</v>
      </c>
      <c r="BH127" s="2" t="s">
        <v>12129</v>
      </c>
      <c r="BI127" s="2">
        <v>8.0</v>
      </c>
      <c r="BJ127" s="2" t="s">
        <v>136</v>
      </c>
      <c r="BK127" s="2" t="s">
        <v>12176</v>
      </c>
      <c r="BL127" s="2" t="s">
        <v>14803</v>
      </c>
      <c r="BM127" s="2" t="s">
        <v>14804</v>
      </c>
      <c r="BN127" s="2">
        <v>2.0031989E7</v>
      </c>
      <c r="BO127" s="2" t="s">
        <v>12129</v>
      </c>
      <c r="BP127" s="2" t="s">
        <v>12129</v>
      </c>
      <c r="BQ127" s="2" t="s">
        <v>12129</v>
      </c>
      <c r="BR127" s="2" t="s">
        <v>12152</v>
      </c>
      <c r="BS127" s="2" t="s">
        <v>14805</v>
      </c>
      <c r="BT127" s="2" t="str">
        <f>HYPERLINK("https%3A%2F%2Fwww.webofscience.com%2Fwos%2Fwoscc%2Ffull-record%2FWOS:000276003400008","View Full Record in Web of Science")</f>
        <v>View Full Record in Web of Science</v>
      </c>
    </row>
    <row r="128" ht="12.75" customHeight="1">
      <c r="A128" s="2" t="s">
        <v>23</v>
      </c>
      <c r="B128" s="2" t="s">
        <v>14806</v>
      </c>
      <c r="C128" s="2" t="s">
        <v>12129</v>
      </c>
      <c r="D128" s="2" t="s">
        <v>12129</v>
      </c>
      <c r="E128" s="2" t="s">
        <v>12129</v>
      </c>
      <c r="F128" s="2" t="s">
        <v>14807</v>
      </c>
      <c r="G128" s="2" t="s">
        <v>12129</v>
      </c>
      <c r="H128" s="2" t="s">
        <v>12129</v>
      </c>
      <c r="I128" s="2" t="s">
        <v>14808</v>
      </c>
      <c r="J128" s="2" t="s">
        <v>12643</v>
      </c>
      <c r="K128" s="2" t="s">
        <v>12129</v>
      </c>
      <c r="L128" s="2" t="s">
        <v>12129</v>
      </c>
      <c r="M128" s="2" t="s">
        <v>3263</v>
      </c>
      <c r="N128" s="2" t="s">
        <v>35</v>
      </c>
      <c r="O128" s="2" t="s">
        <v>12129</v>
      </c>
      <c r="P128" s="2" t="s">
        <v>12129</v>
      </c>
      <c r="Q128" s="2" t="s">
        <v>12129</v>
      </c>
      <c r="R128" s="2" t="s">
        <v>12129</v>
      </c>
      <c r="S128" s="2" t="s">
        <v>12129</v>
      </c>
      <c r="T128" s="2" t="s">
        <v>14809</v>
      </c>
      <c r="U128" s="2" t="s">
        <v>14810</v>
      </c>
      <c r="V128" s="2" t="s">
        <v>14811</v>
      </c>
      <c r="W128" s="2" t="s">
        <v>14812</v>
      </c>
      <c r="X128" s="2" t="s">
        <v>14813</v>
      </c>
      <c r="Y128" s="2" t="s">
        <v>14814</v>
      </c>
      <c r="Z128" s="2" t="s">
        <v>14815</v>
      </c>
      <c r="AA128" s="2" t="s">
        <v>14816</v>
      </c>
      <c r="AB128" s="2" t="s">
        <v>14817</v>
      </c>
      <c r="AC128" s="2" t="s">
        <v>14818</v>
      </c>
      <c r="AD128" s="2" t="s">
        <v>14819</v>
      </c>
      <c r="AE128" s="2" t="s">
        <v>14820</v>
      </c>
      <c r="AF128" s="2" t="s">
        <v>12129</v>
      </c>
      <c r="AG128" s="2">
        <v>85.0</v>
      </c>
      <c r="AH128" s="2">
        <v>24.0</v>
      </c>
      <c r="AI128" s="2">
        <v>25.0</v>
      </c>
      <c r="AJ128" s="2">
        <v>0.0</v>
      </c>
      <c r="AK128" s="2">
        <v>54.0</v>
      </c>
      <c r="AL128" s="2" t="s">
        <v>12243</v>
      </c>
      <c r="AM128" s="2" t="s">
        <v>12244</v>
      </c>
      <c r="AN128" s="2" t="s">
        <v>12245</v>
      </c>
      <c r="AO128" s="2" t="s">
        <v>12656</v>
      </c>
      <c r="AP128" s="2" t="s">
        <v>12657</v>
      </c>
      <c r="AQ128" s="2" t="s">
        <v>12129</v>
      </c>
      <c r="AR128" s="2" t="s">
        <v>12658</v>
      </c>
      <c r="AS128" s="2" t="s">
        <v>12659</v>
      </c>
      <c r="AT128" s="2" t="s">
        <v>12459</v>
      </c>
      <c r="AU128" s="2">
        <v>2010.0</v>
      </c>
      <c r="AV128" s="2">
        <v>20.0</v>
      </c>
      <c r="AW128" s="2">
        <v>3.0</v>
      </c>
      <c r="AX128" s="2" t="s">
        <v>12129</v>
      </c>
      <c r="AY128" s="2" t="s">
        <v>12129</v>
      </c>
      <c r="AZ128" s="2" t="s">
        <v>12129</v>
      </c>
      <c r="BA128" s="2" t="s">
        <v>12129</v>
      </c>
      <c r="BB128" s="2">
        <v>297.0</v>
      </c>
      <c r="BC128" s="2">
        <v>311.0</v>
      </c>
      <c r="BD128" s="2" t="s">
        <v>12129</v>
      </c>
      <c r="BE128" s="2" t="s">
        <v>14821</v>
      </c>
      <c r="BF128" s="15" t="str">
        <f>HYPERLINK("http://dx.doi.org/10.1002/aqc.1079","http://dx.doi.org/10.1002/aqc.1079")</f>
        <v>http://dx.doi.org/10.1002/aqc.1079</v>
      </c>
      <c r="BG128" s="2" t="s">
        <v>12129</v>
      </c>
      <c r="BH128" s="2" t="s">
        <v>12129</v>
      </c>
      <c r="BI128" s="2">
        <v>15.0</v>
      </c>
      <c r="BJ128" s="2" t="s">
        <v>12662</v>
      </c>
      <c r="BK128" s="2" t="s">
        <v>12176</v>
      </c>
      <c r="BL128" s="2" t="s">
        <v>12663</v>
      </c>
      <c r="BM128" s="2" t="s">
        <v>14822</v>
      </c>
      <c r="BN128" s="2" t="s">
        <v>12129</v>
      </c>
      <c r="BO128" s="2" t="s">
        <v>12129</v>
      </c>
      <c r="BP128" s="2" t="s">
        <v>12129</v>
      </c>
      <c r="BQ128" s="2" t="s">
        <v>12129</v>
      </c>
      <c r="BR128" s="2" t="s">
        <v>12152</v>
      </c>
      <c r="BS128" s="2" t="s">
        <v>14823</v>
      </c>
      <c r="BT128" s="2" t="str">
        <f>HYPERLINK("https%3A%2F%2Fwww.webofscience.com%2Fwos%2Fwoscc%2Ffull-record%2FWOS:000277830200007","View Full Record in Web of Science")</f>
        <v>View Full Record in Web of Science</v>
      </c>
    </row>
    <row r="129" ht="12.75" customHeight="1">
      <c r="A129" s="2" t="s">
        <v>23</v>
      </c>
      <c r="B129" s="2" t="s">
        <v>14824</v>
      </c>
      <c r="C129" s="2" t="s">
        <v>12129</v>
      </c>
      <c r="D129" s="2" t="s">
        <v>12129</v>
      </c>
      <c r="E129" s="2" t="s">
        <v>12129</v>
      </c>
      <c r="F129" s="2" t="s">
        <v>14825</v>
      </c>
      <c r="G129" s="2" t="s">
        <v>12129</v>
      </c>
      <c r="H129" s="2" t="s">
        <v>12129</v>
      </c>
      <c r="I129" s="2" t="s">
        <v>14826</v>
      </c>
      <c r="J129" s="2" t="s">
        <v>362</v>
      </c>
      <c r="K129" s="2" t="s">
        <v>12129</v>
      </c>
      <c r="L129" s="2" t="s">
        <v>12129</v>
      </c>
      <c r="M129" s="2" t="s">
        <v>3263</v>
      </c>
      <c r="N129" s="2" t="s">
        <v>35</v>
      </c>
      <c r="O129" s="2" t="s">
        <v>12129</v>
      </c>
      <c r="P129" s="2" t="s">
        <v>12129</v>
      </c>
      <c r="Q129" s="2" t="s">
        <v>12129</v>
      </c>
      <c r="R129" s="2" t="s">
        <v>12129</v>
      </c>
      <c r="S129" s="2" t="s">
        <v>12129</v>
      </c>
      <c r="T129" s="2" t="s">
        <v>12129</v>
      </c>
      <c r="U129" s="2" t="s">
        <v>14827</v>
      </c>
      <c r="V129" s="2" t="s">
        <v>14828</v>
      </c>
      <c r="W129" s="2" t="s">
        <v>14829</v>
      </c>
      <c r="X129" s="2" t="s">
        <v>14830</v>
      </c>
      <c r="Y129" s="2" t="s">
        <v>14831</v>
      </c>
      <c r="Z129" s="2" t="s">
        <v>14832</v>
      </c>
      <c r="AA129" s="2" t="s">
        <v>14833</v>
      </c>
      <c r="AB129" s="2" t="s">
        <v>14834</v>
      </c>
      <c r="AC129" s="2" t="s">
        <v>14835</v>
      </c>
      <c r="AD129" s="2" t="s">
        <v>14835</v>
      </c>
      <c r="AE129" s="2" t="s">
        <v>14836</v>
      </c>
      <c r="AF129" s="2" t="s">
        <v>12129</v>
      </c>
      <c r="AG129" s="2">
        <v>86.0</v>
      </c>
      <c r="AH129" s="2">
        <v>882.0</v>
      </c>
      <c r="AI129" s="2">
        <v>1068.0</v>
      </c>
      <c r="AJ129" s="2">
        <v>13.0</v>
      </c>
      <c r="AK129" s="2">
        <v>155.0</v>
      </c>
      <c r="AL129" s="2" t="s">
        <v>12195</v>
      </c>
      <c r="AM129" s="2" t="s">
        <v>12196</v>
      </c>
      <c r="AN129" s="2" t="s">
        <v>12197</v>
      </c>
      <c r="AO129" s="2" t="s">
        <v>1877</v>
      </c>
      <c r="AP129" s="2" t="s">
        <v>12129</v>
      </c>
      <c r="AQ129" s="2" t="s">
        <v>12129</v>
      </c>
      <c r="AR129" s="2" t="s">
        <v>362</v>
      </c>
      <c r="AS129" s="2" t="s">
        <v>12198</v>
      </c>
      <c r="AT129" s="2" t="s">
        <v>14837</v>
      </c>
      <c r="AU129" s="2">
        <v>2010.0</v>
      </c>
      <c r="AV129" s="2">
        <v>5.0</v>
      </c>
      <c r="AW129" s="2">
        <v>4.0</v>
      </c>
      <c r="AX129" s="2" t="s">
        <v>12129</v>
      </c>
      <c r="AY129" s="2" t="s">
        <v>12129</v>
      </c>
      <c r="AZ129" s="2" t="s">
        <v>12129</v>
      </c>
      <c r="BA129" s="2" t="s">
        <v>12129</v>
      </c>
      <c r="BB129" s="2" t="s">
        <v>12129</v>
      </c>
      <c r="BC129" s="2" t="s">
        <v>12129</v>
      </c>
      <c r="BD129" s="2" t="s">
        <v>14838</v>
      </c>
      <c r="BE129" s="2" t="s">
        <v>14839</v>
      </c>
      <c r="BF129" s="15" t="str">
        <f>HYPERLINK("http://dx.doi.org/10.1371/journal.pone.0010095","http://dx.doi.org/10.1371/journal.pone.0010095")</f>
        <v>http://dx.doi.org/10.1371/journal.pone.0010095</v>
      </c>
      <c r="BG129" s="2" t="s">
        <v>12129</v>
      </c>
      <c r="BH129" s="2" t="s">
        <v>12129</v>
      </c>
      <c r="BI129" s="2">
        <v>10.0</v>
      </c>
      <c r="BJ129" s="2" t="s">
        <v>39</v>
      </c>
      <c r="BK129" s="2" t="s">
        <v>12176</v>
      </c>
      <c r="BL129" s="2" t="s">
        <v>12202</v>
      </c>
      <c r="BM129" s="2" t="s">
        <v>14840</v>
      </c>
      <c r="BN129" s="2">
        <v>2.038671E7</v>
      </c>
      <c r="BO129" s="2" t="s">
        <v>12179</v>
      </c>
      <c r="BP129" s="2" t="s">
        <v>12129</v>
      </c>
      <c r="BQ129" s="2" t="s">
        <v>12129</v>
      </c>
      <c r="BR129" s="2" t="s">
        <v>12152</v>
      </c>
      <c r="BS129" s="2" t="s">
        <v>14841</v>
      </c>
      <c r="BT129" s="2" t="str">
        <f>HYPERLINK("https%3A%2F%2Fwww.webofscience.com%2Fwos%2Fwoscc%2Ffull-record%2FWOS:000276482000021","View Full Record in Web of Science")</f>
        <v>View Full Record in Web of Science</v>
      </c>
    </row>
    <row r="130" ht="12.75" customHeight="1">
      <c r="A130" s="2" t="s">
        <v>23</v>
      </c>
      <c r="B130" s="2" t="s">
        <v>14842</v>
      </c>
      <c r="C130" s="2" t="s">
        <v>12129</v>
      </c>
      <c r="D130" s="2" t="s">
        <v>12129</v>
      </c>
      <c r="E130" s="2" t="s">
        <v>12129</v>
      </c>
      <c r="F130" s="2" t="s">
        <v>14843</v>
      </c>
      <c r="G130" s="2" t="s">
        <v>12129</v>
      </c>
      <c r="H130" s="2" t="s">
        <v>12129</v>
      </c>
      <c r="I130" s="2" t="s">
        <v>14844</v>
      </c>
      <c r="J130" s="2" t="s">
        <v>12592</v>
      </c>
      <c r="K130" s="2" t="s">
        <v>12129</v>
      </c>
      <c r="L130" s="2" t="s">
        <v>12129</v>
      </c>
      <c r="M130" s="2" t="s">
        <v>3263</v>
      </c>
      <c r="N130" s="2" t="s">
        <v>35</v>
      </c>
      <c r="O130" s="2" t="s">
        <v>12129</v>
      </c>
      <c r="P130" s="2" t="s">
        <v>12129</v>
      </c>
      <c r="Q130" s="2" t="s">
        <v>12129</v>
      </c>
      <c r="R130" s="2" t="s">
        <v>12129</v>
      </c>
      <c r="S130" s="2" t="s">
        <v>12129</v>
      </c>
      <c r="T130" s="2" t="s">
        <v>14845</v>
      </c>
      <c r="U130" s="2" t="s">
        <v>14846</v>
      </c>
      <c r="V130" s="2" t="s">
        <v>14847</v>
      </c>
      <c r="W130" s="2" t="s">
        <v>14848</v>
      </c>
      <c r="X130" s="2" t="s">
        <v>14849</v>
      </c>
      <c r="Y130" s="2" t="s">
        <v>14850</v>
      </c>
      <c r="Z130" s="2" t="s">
        <v>14851</v>
      </c>
      <c r="AA130" s="2" t="s">
        <v>12129</v>
      </c>
      <c r="AB130" s="2" t="s">
        <v>14852</v>
      </c>
      <c r="AC130" s="2" t="s">
        <v>12129</v>
      </c>
      <c r="AD130" s="2" t="s">
        <v>12129</v>
      </c>
      <c r="AE130" s="2" t="s">
        <v>12129</v>
      </c>
      <c r="AF130" s="2" t="s">
        <v>12129</v>
      </c>
      <c r="AG130" s="2">
        <v>45.0</v>
      </c>
      <c r="AH130" s="2">
        <v>86.0</v>
      </c>
      <c r="AI130" s="2">
        <v>87.0</v>
      </c>
      <c r="AJ130" s="2">
        <v>1.0</v>
      </c>
      <c r="AK130" s="2">
        <v>50.0</v>
      </c>
      <c r="AL130" s="2" t="s">
        <v>12605</v>
      </c>
      <c r="AM130" s="2" t="s">
        <v>12606</v>
      </c>
      <c r="AN130" s="2" t="s">
        <v>12607</v>
      </c>
      <c r="AO130" s="2" t="s">
        <v>12608</v>
      </c>
      <c r="AP130" s="2" t="s">
        <v>12129</v>
      </c>
      <c r="AQ130" s="2" t="s">
        <v>12129</v>
      </c>
      <c r="AR130" s="2" t="s">
        <v>12610</v>
      </c>
      <c r="AS130" s="2" t="s">
        <v>12611</v>
      </c>
      <c r="AT130" s="2" t="s">
        <v>12129</v>
      </c>
      <c r="AU130" s="2">
        <v>2010.0</v>
      </c>
      <c r="AV130" s="2">
        <v>413.0</v>
      </c>
      <c r="AW130" s="2" t="s">
        <v>12129</v>
      </c>
      <c r="AX130" s="2" t="s">
        <v>12129</v>
      </c>
      <c r="AY130" s="2" t="s">
        <v>12129</v>
      </c>
      <c r="AZ130" s="2" t="s">
        <v>12129</v>
      </c>
      <c r="BA130" s="2" t="s">
        <v>12129</v>
      </c>
      <c r="BB130" s="2">
        <v>241.0</v>
      </c>
      <c r="BC130" s="2">
        <v>252.0</v>
      </c>
      <c r="BD130" s="2" t="s">
        <v>12129</v>
      </c>
      <c r="BE130" s="2" t="s">
        <v>14853</v>
      </c>
      <c r="BF130" s="15" t="str">
        <f>HYPERLINK("http://dx.doi.org/10.3354/meps08592","http://dx.doi.org/10.3354/meps08592")</f>
        <v>http://dx.doi.org/10.3354/meps08592</v>
      </c>
      <c r="BG130" s="2" t="s">
        <v>12129</v>
      </c>
      <c r="BH130" s="2" t="s">
        <v>12129</v>
      </c>
      <c r="BI130" s="2">
        <v>12.0</v>
      </c>
      <c r="BJ130" s="2" t="s">
        <v>12222</v>
      </c>
      <c r="BK130" s="2" t="s">
        <v>12176</v>
      </c>
      <c r="BL130" s="2" t="s">
        <v>12224</v>
      </c>
      <c r="BM130" s="2" t="s">
        <v>14854</v>
      </c>
      <c r="BN130" s="2" t="s">
        <v>12129</v>
      </c>
      <c r="BO130" s="2" t="s">
        <v>12538</v>
      </c>
      <c r="BP130" s="2" t="s">
        <v>12129</v>
      </c>
      <c r="BQ130" s="2" t="s">
        <v>12129</v>
      </c>
      <c r="BR130" s="2" t="s">
        <v>12152</v>
      </c>
      <c r="BS130" s="2" t="s">
        <v>14855</v>
      </c>
      <c r="BT130" s="2" t="str">
        <f>HYPERLINK("https%3A%2F%2Fwww.webofscience.com%2Fwos%2Fwoscc%2Ffull-record%2FWOS:000281566900019","View Full Record in Web of Science")</f>
        <v>View Full Record in Web of Science</v>
      </c>
    </row>
    <row r="131" ht="12.75" customHeight="1">
      <c r="A131" s="2" t="s">
        <v>23</v>
      </c>
      <c r="B131" s="2" t="s">
        <v>14856</v>
      </c>
      <c r="C131" s="2" t="s">
        <v>12129</v>
      </c>
      <c r="D131" s="2" t="s">
        <v>12129</v>
      </c>
      <c r="E131" s="2" t="s">
        <v>12129</v>
      </c>
      <c r="F131" s="2" t="s">
        <v>14857</v>
      </c>
      <c r="G131" s="2" t="s">
        <v>12129</v>
      </c>
      <c r="H131" s="2" t="s">
        <v>12129</v>
      </c>
      <c r="I131" s="2" t="s">
        <v>14858</v>
      </c>
      <c r="J131" s="2" t="s">
        <v>12569</v>
      </c>
      <c r="K131" s="2" t="s">
        <v>12129</v>
      </c>
      <c r="L131" s="2" t="s">
        <v>12129</v>
      </c>
      <c r="M131" s="2" t="s">
        <v>3263</v>
      </c>
      <c r="N131" s="2" t="s">
        <v>35</v>
      </c>
      <c r="O131" s="2" t="s">
        <v>12129</v>
      </c>
      <c r="P131" s="2" t="s">
        <v>12129</v>
      </c>
      <c r="Q131" s="2" t="s">
        <v>12129</v>
      </c>
      <c r="R131" s="2" t="s">
        <v>12129</v>
      </c>
      <c r="S131" s="2" t="s">
        <v>12129</v>
      </c>
      <c r="T131" s="2" t="s">
        <v>14859</v>
      </c>
      <c r="U131" s="2" t="s">
        <v>14860</v>
      </c>
      <c r="V131" s="2" t="s">
        <v>14861</v>
      </c>
      <c r="W131" s="2" t="s">
        <v>14862</v>
      </c>
      <c r="X131" s="2" t="s">
        <v>14863</v>
      </c>
      <c r="Y131" s="2" t="s">
        <v>14864</v>
      </c>
      <c r="Z131" s="2" t="s">
        <v>14865</v>
      </c>
      <c r="AA131" s="2" t="s">
        <v>14866</v>
      </c>
      <c r="AB131" s="2" t="s">
        <v>14867</v>
      </c>
      <c r="AC131" s="2" t="s">
        <v>14868</v>
      </c>
      <c r="AD131" s="2" t="s">
        <v>14868</v>
      </c>
      <c r="AE131" s="2" t="s">
        <v>14869</v>
      </c>
      <c r="AF131" s="2" t="s">
        <v>12129</v>
      </c>
      <c r="AG131" s="2">
        <v>53.0</v>
      </c>
      <c r="AH131" s="2">
        <v>487.0</v>
      </c>
      <c r="AI131" s="2">
        <v>586.0</v>
      </c>
      <c r="AJ131" s="2">
        <v>8.0</v>
      </c>
      <c r="AK131" s="2">
        <v>412.0</v>
      </c>
      <c r="AL131" s="2" t="s">
        <v>14870</v>
      </c>
      <c r="AM131" s="2" t="s">
        <v>14871</v>
      </c>
      <c r="AN131" s="2" t="s">
        <v>14872</v>
      </c>
      <c r="AO131" s="2" t="s">
        <v>12582</v>
      </c>
      <c r="AP131" s="2" t="s">
        <v>12129</v>
      </c>
      <c r="AQ131" s="2" t="s">
        <v>12129</v>
      </c>
      <c r="AR131" s="2" t="s">
        <v>12584</v>
      </c>
      <c r="AS131" s="2" t="s">
        <v>12585</v>
      </c>
      <c r="AT131" s="2" t="s">
        <v>13127</v>
      </c>
      <c r="AU131" s="2">
        <v>2010.0</v>
      </c>
      <c r="AV131" s="2">
        <v>16.0</v>
      </c>
      <c r="AW131" s="2">
        <v>1.0</v>
      </c>
      <c r="AX131" s="2" t="s">
        <v>12129</v>
      </c>
      <c r="AY131" s="2" t="s">
        <v>12129</v>
      </c>
      <c r="AZ131" s="2" t="s">
        <v>12129</v>
      </c>
      <c r="BA131" s="2" t="s">
        <v>12129</v>
      </c>
      <c r="BB131" s="2">
        <v>95.0</v>
      </c>
      <c r="BC131" s="2">
        <v>108.0</v>
      </c>
      <c r="BD131" s="2" t="s">
        <v>12129</v>
      </c>
      <c r="BE131" s="2" t="s">
        <v>14873</v>
      </c>
      <c r="BF131" s="15" t="str">
        <f>HYPERLINK("http://dx.doi.org/10.1111/j.1472-4642.2009.00633.x","http://dx.doi.org/10.1111/j.1472-4642.2009.00633.x")</f>
        <v>http://dx.doi.org/10.1111/j.1472-4642.2009.00633.x</v>
      </c>
      <c r="BG131" s="2" t="s">
        <v>12129</v>
      </c>
      <c r="BH131" s="2" t="s">
        <v>12129</v>
      </c>
      <c r="BI131" s="2">
        <v>14.0</v>
      </c>
      <c r="BJ131" s="2" t="s">
        <v>1121</v>
      </c>
      <c r="BK131" s="2" t="s">
        <v>12176</v>
      </c>
      <c r="BL131" s="2" t="s">
        <v>12376</v>
      </c>
      <c r="BM131" s="2" t="s">
        <v>14874</v>
      </c>
      <c r="BN131" s="2" t="s">
        <v>12129</v>
      </c>
      <c r="BO131" s="2" t="s">
        <v>12538</v>
      </c>
      <c r="BP131" s="2" t="s">
        <v>12129</v>
      </c>
      <c r="BQ131" s="2" t="s">
        <v>12129</v>
      </c>
      <c r="BR131" s="2" t="s">
        <v>12152</v>
      </c>
      <c r="BS131" s="2" t="s">
        <v>14875</v>
      </c>
      <c r="BT131" s="2" t="str">
        <f>HYPERLINK("https%3A%2F%2Fwww.webofscience.com%2Fwos%2Fwoscc%2Ffull-record%2FWOS:000273723100010","View Full Record in Web of Science")</f>
        <v>View Full Record in Web of Science</v>
      </c>
    </row>
    <row r="132" ht="12.75" customHeight="1">
      <c r="A132" s="2" t="s">
        <v>23</v>
      </c>
      <c r="B132" s="2" t="s">
        <v>14876</v>
      </c>
      <c r="C132" s="2" t="s">
        <v>12129</v>
      </c>
      <c r="D132" s="2" t="s">
        <v>12129</v>
      </c>
      <c r="E132" s="2" t="s">
        <v>12129</v>
      </c>
      <c r="F132" s="2" t="s">
        <v>14877</v>
      </c>
      <c r="G132" s="2" t="s">
        <v>12129</v>
      </c>
      <c r="H132" s="2" t="s">
        <v>12129</v>
      </c>
      <c r="I132" s="2" t="s">
        <v>14878</v>
      </c>
      <c r="J132" s="2" t="s">
        <v>9814</v>
      </c>
      <c r="K132" s="2" t="s">
        <v>12129</v>
      </c>
      <c r="L132" s="2" t="s">
        <v>12129</v>
      </c>
      <c r="M132" s="2" t="s">
        <v>3263</v>
      </c>
      <c r="N132" s="2" t="s">
        <v>27</v>
      </c>
      <c r="O132" s="2" t="s">
        <v>12129</v>
      </c>
      <c r="P132" s="2" t="s">
        <v>12129</v>
      </c>
      <c r="Q132" s="2" t="s">
        <v>12129</v>
      </c>
      <c r="R132" s="2" t="s">
        <v>12129</v>
      </c>
      <c r="S132" s="2" t="s">
        <v>12129</v>
      </c>
      <c r="T132" s="2" t="s">
        <v>14879</v>
      </c>
      <c r="U132" s="2" t="s">
        <v>14880</v>
      </c>
      <c r="V132" s="2" t="s">
        <v>14881</v>
      </c>
      <c r="W132" s="2" t="s">
        <v>14882</v>
      </c>
      <c r="X132" s="2" t="s">
        <v>14883</v>
      </c>
      <c r="Y132" s="2" t="s">
        <v>14884</v>
      </c>
      <c r="Z132" s="2" t="s">
        <v>14885</v>
      </c>
      <c r="AA132" s="2" t="s">
        <v>14886</v>
      </c>
      <c r="AB132" s="2" t="s">
        <v>14887</v>
      </c>
      <c r="AC132" s="2" t="s">
        <v>14888</v>
      </c>
      <c r="AD132" s="2" t="s">
        <v>14889</v>
      </c>
      <c r="AE132" s="2" t="s">
        <v>14890</v>
      </c>
      <c r="AF132" s="2" t="s">
        <v>12129</v>
      </c>
      <c r="AG132" s="2">
        <v>115.0</v>
      </c>
      <c r="AH132" s="2">
        <v>120.0</v>
      </c>
      <c r="AI132" s="2">
        <v>136.0</v>
      </c>
      <c r="AJ132" s="2">
        <v>0.0</v>
      </c>
      <c r="AK132" s="2">
        <v>179.0</v>
      </c>
      <c r="AL132" s="2" t="s">
        <v>12269</v>
      </c>
      <c r="AM132" s="2" t="s">
        <v>12270</v>
      </c>
      <c r="AN132" s="2" t="s">
        <v>12271</v>
      </c>
      <c r="AO132" s="2" t="s">
        <v>7711</v>
      </c>
      <c r="AP132" s="2" t="s">
        <v>14891</v>
      </c>
      <c r="AQ132" s="2" t="s">
        <v>12129</v>
      </c>
      <c r="AR132" s="2" t="s">
        <v>14892</v>
      </c>
      <c r="AS132" s="2" t="s">
        <v>14893</v>
      </c>
      <c r="AT132" s="2" t="s">
        <v>14309</v>
      </c>
      <c r="AU132" s="2">
        <v>2009.0</v>
      </c>
      <c r="AV132" s="2">
        <v>69.0</v>
      </c>
      <c r="AW132" s="2">
        <v>2.0</v>
      </c>
      <c r="AX132" s="2" t="s">
        <v>12129</v>
      </c>
      <c r="AY132" s="2" t="s">
        <v>12129</v>
      </c>
      <c r="AZ132" s="2" t="s">
        <v>12129</v>
      </c>
      <c r="BA132" s="2" t="s">
        <v>12129</v>
      </c>
      <c r="BB132" s="2">
        <v>250.0</v>
      </c>
      <c r="BC132" s="2">
        <v>259.0</v>
      </c>
      <c r="BD132" s="2" t="s">
        <v>12129</v>
      </c>
      <c r="BE132" s="2" t="s">
        <v>14894</v>
      </c>
      <c r="BF132" s="15" t="str">
        <f>HYPERLINK("http://dx.doi.org/10.1016/j.ecolecon.2009.07.001","http://dx.doi.org/10.1016/j.ecolecon.2009.07.001")</f>
        <v>http://dx.doi.org/10.1016/j.ecolecon.2009.07.001</v>
      </c>
      <c r="BG132" s="2" t="s">
        <v>12129</v>
      </c>
      <c r="BH132" s="2" t="s">
        <v>12129</v>
      </c>
      <c r="BI132" s="2">
        <v>10.0</v>
      </c>
      <c r="BJ132" s="2" t="s">
        <v>14895</v>
      </c>
      <c r="BK132" s="2" t="s">
        <v>12729</v>
      </c>
      <c r="BL132" s="2" t="s">
        <v>14896</v>
      </c>
      <c r="BM132" s="2" t="s">
        <v>14897</v>
      </c>
      <c r="BN132" s="2" t="s">
        <v>12129</v>
      </c>
      <c r="BO132" s="2" t="s">
        <v>12129</v>
      </c>
      <c r="BP132" s="2" t="s">
        <v>12129</v>
      </c>
      <c r="BQ132" s="2" t="s">
        <v>12129</v>
      </c>
      <c r="BR132" s="2" t="s">
        <v>12152</v>
      </c>
      <c r="BS132" s="2" t="s">
        <v>14898</v>
      </c>
      <c r="BT132" s="2" t="str">
        <f>HYPERLINK("https%3A%2F%2Fwww.webofscience.com%2Fwos%2Fwoscc%2Ffull-record%2FWOS:000272871600005","View Full Record in Web of Science")</f>
        <v>View Full Record in Web of Science</v>
      </c>
    </row>
    <row r="133" ht="12.75" customHeight="1">
      <c r="A133" s="2" t="s">
        <v>23</v>
      </c>
      <c r="B133" s="2" t="s">
        <v>14899</v>
      </c>
      <c r="C133" s="2" t="s">
        <v>12129</v>
      </c>
      <c r="D133" s="2" t="s">
        <v>12129</v>
      </c>
      <c r="E133" s="2" t="s">
        <v>12129</v>
      </c>
      <c r="F133" s="2" t="s">
        <v>14900</v>
      </c>
      <c r="G133" s="2" t="s">
        <v>12129</v>
      </c>
      <c r="H133" s="2" t="s">
        <v>12129</v>
      </c>
      <c r="I133" s="2" t="s">
        <v>14901</v>
      </c>
      <c r="J133" s="2" t="s">
        <v>13398</v>
      </c>
      <c r="K133" s="2" t="s">
        <v>12129</v>
      </c>
      <c r="L133" s="2" t="s">
        <v>12129</v>
      </c>
      <c r="M133" s="2" t="s">
        <v>3263</v>
      </c>
      <c r="N133" s="2" t="s">
        <v>27</v>
      </c>
      <c r="O133" s="2" t="s">
        <v>12129</v>
      </c>
      <c r="P133" s="2" t="s">
        <v>12129</v>
      </c>
      <c r="Q133" s="2" t="s">
        <v>12129</v>
      </c>
      <c r="R133" s="2" t="s">
        <v>12129</v>
      </c>
      <c r="S133" s="2" t="s">
        <v>12129</v>
      </c>
      <c r="T133" s="2" t="s">
        <v>14902</v>
      </c>
      <c r="U133" s="2" t="s">
        <v>14903</v>
      </c>
      <c r="V133" s="2" t="s">
        <v>14904</v>
      </c>
      <c r="W133" s="2" t="s">
        <v>14905</v>
      </c>
      <c r="X133" s="2" t="s">
        <v>14906</v>
      </c>
      <c r="Y133" s="2" t="s">
        <v>14907</v>
      </c>
      <c r="Z133" s="2" t="s">
        <v>14908</v>
      </c>
      <c r="AA133" s="2" t="s">
        <v>14909</v>
      </c>
      <c r="AB133" s="2" t="s">
        <v>12129</v>
      </c>
      <c r="AC133" s="2" t="s">
        <v>14910</v>
      </c>
      <c r="AD133" s="2" t="s">
        <v>14911</v>
      </c>
      <c r="AE133" s="2" t="s">
        <v>14912</v>
      </c>
      <c r="AF133" s="2" t="s">
        <v>12129</v>
      </c>
      <c r="AG133" s="2">
        <v>119.0</v>
      </c>
      <c r="AH133" s="2">
        <v>108.0</v>
      </c>
      <c r="AI133" s="2">
        <v>127.0</v>
      </c>
      <c r="AJ133" s="2">
        <v>2.0</v>
      </c>
      <c r="AK133" s="2">
        <v>145.0</v>
      </c>
      <c r="AL133" s="2" t="s">
        <v>12243</v>
      </c>
      <c r="AM133" s="2" t="s">
        <v>12244</v>
      </c>
      <c r="AN133" s="2" t="s">
        <v>12245</v>
      </c>
      <c r="AO133" s="2" t="s">
        <v>13411</v>
      </c>
      <c r="AP133" s="2" t="s">
        <v>8744</v>
      </c>
      <c r="AQ133" s="2" t="s">
        <v>12129</v>
      </c>
      <c r="AR133" s="2" t="s">
        <v>13412</v>
      </c>
      <c r="AS133" s="2" t="s">
        <v>13413</v>
      </c>
      <c r="AT133" s="2" t="s">
        <v>12764</v>
      </c>
      <c r="AU133" s="2">
        <v>2009.0</v>
      </c>
      <c r="AV133" s="2">
        <v>23.0</v>
      </c>
      <c r="AW133" s="2">
        <v>6.0</v>
      </c>
      <c r="AX133" s="2" t="s">
        <v>12129</v>
      </c>
      <c r="AY133" s="2" t="s">
        <v>12129</v>
      </c>
      <c r="AZ133" s="2" t="s">
        <v>12129</v>
      </c>
      <c r="BA133" s="2" t="s">
        <v>12129</v>
      </c>
      <c r="BB133" s="2">
        <v>1427.0</v>
      </c>
      <c r="BC133" s="2">
        <v>1437.0</v>
      </c>
      <c r="BD133" s="2" t="s">
        <v>12129</v>
      </c>
      <c r="BE133" s="2" t="s">
        <v>14913</v>
      </c>
      <c r="BF133" s="15" t="str">
        <f>HYPERLINK("http://dx.doi.org/10.1111/j.1523-1739.2009.01336.x","http://dx.doi.org/10.1111/j.1523-1739.2009.01336.x")</f>
        <v>http://dx.doi.org/10.1111/j.1523-1739.2009.01336.x</v>
      </c>
      <c r="BG133" s="2" t="s">
        <v>12129</v>
      </c>
      <c r="BH133" s="2" t="s">
        <v>12129</v>
      </c>
      <c r="BI133" s="2">
        <v>11.0</v>
      </c>
      <c r="BJ133" s="2" t="s">
        <v>252</v>
      </c>
      <c r="BK133" s="2" t="s">
        <v>12176</v>
      </c>
      <c r="BL133" s="2" t="s">
        <v>12376</v>
      </c>
      <c r="BM133" s="2" t="s">
        <v>14914</v>
      </c>
      <c r="BN133" s="2">
        <v>2.0078643E7</v>
      </c>
      <c r="BO133" s="2" t="s">
        <v>12253</v>
      </c>
      <c r="BP133" s="2" t="s">
        <v>12129</v>
      </c>
      <c r="BQ133" s="2" t="s">
        <v>12129</v>
      </c>
      <c r="BR133" s="2" t="s">
        <v>12152</v>
      </c>
      <c r="BS133" s="2" t="s">
        <v>14915</v>
      </c>
      <c r="BT133" s="2" t="str">
        <f>HYPERLINK("https%3A%2F%2Fwww.webofscience.com%2Fwos%2Fwoscc%2Ffull-record%2FWOS:000272163100015","View Full Record in Web of Science")</f>
        <v>View Full Record in Web of Science</v>
      </c>
    </row>
    <row r="134" ht="12.75" customHeight="1">
      <c r="A134" s="2" t="s">
        <v>23</v>
      </c>
      <c r="B134" s="2" t="s">
        <v>14916</v>
      </c>
      <c r="C134" s="2" t="s">
        <v>12129</v>
      </c>
      <c r="D134" s="2" t="s">
        <v>12129</v>
      </c>
      <c r="E134" s="2" t="s">
        <v>12129</v>
      </c>
      <c r="F134" s="2" t="s">
        <v>14917</v>
      </c>
      <c r="G134" s="2" t="s">
        <v>12129</v>
      </c>
      <c r="H134" s="2" t="s">
        <v>12129</v>
      </c>
      <c r="I134" s="2" t="s">
        <v>14918</v>
      </c>
      <c r="J134" s="2" t="s">
        <v>12258</v>
      </c>
      <c r="K134" s="2" t="s">
        <v>12129</v>
      </c>
      <c r="L134" s="2" t="s">
        <v>12129</v>
      </c>
      <c r="M134" s="2" t="s">
        <v>3263</v>
      </c>
      <c r="N134" s="2" t="s">
        <v>35</v>
      </c>
      <c r="O134" s="2" t="s">
        <v>12129</v>
      </c>
      <c r="P134" s="2" t="s">
        <v>12129</v>
      </c>
      <c r="Q134" s="2" t="s">
        <v>12129</v>
      </c>
      <c r="R134" s="2" t="s">
        <v>12129</v>
      </c>
      <c r="S134" s="2" t="s">
        <v>12129</v>
      </c>
      <c r="T134" s="2" t="s">
        <v>14919</v>
      </c>
      <c r="U134" s="2" t="s">
        <v>14920</v>
      </c>
      <c r="V134" s="2" t="s">
        <v>14921</v>
      </c>
      <c r="W134" s="2" t="s">
        <v>14922</v>
      </c>
      <c r="X134" s="2" t="s">
        <v>14923</v>
      </c>
      <c r="Y134" s="2" t="s">
        <v>14924</v>
      </c>
      <c r="Z134" s="2" t="s">
        <v>14925</v>
      </c>
      <c r="AA134" s="2" t="s">
        <v>14926</v>
      </c>
      <c r="AB134" s="2" t="s">
        <v>14927</v>
      </c>
      <c r="AC134" s="2" t="s">
        <v>12129</v>
      </c>
      <c r="AD134" s="2" t="s">
        <v>12129</v>
      </c>
      <c r="AE134" s="2" t="s">
        <v>12129</v>
      </c>
      <c r="AF134" s="2" t="s">
        <v>12129</v>
      </c>
      <c r="AG134" s="2">
        <v>49.0</v>
      </c>
      <c r="AH134" s="2">
        <v>15.0</v>
      </c>
      <c r="AI134" s="2">
        <v>18.0</v>
      </c>
      <c r="AJ134" s="2">
        <v>0.0</v>
      </c>
      <c r="AK134" s="2">
        <v>27.0</v>
      </c>
      <c r="AL134" s="2" t="s">
        <v>12269</v>
      </c>
      <c r="AM134" s="2" t="s">
        <v>12270</v>
      </c>
      <c r="AN134" s="2" t="s">
        <v>12271</v>
      </c>
      <c r="AO134" s="2" t="s">
        <v>6011</v>
      </c>
      <c r="AP134" s="2" t="s">
        <v>12272</v>
      </c>
      <c r="AQ134" s="2" t="s">
        <v>12129</v>
      </c>
      <c r="AR134" s="2" t="s">
        <v>12273</v>
      </c>
      <c r="AS134" s="2" t="s">
        <v>12274</v>
      </c>
      <c r="AT134" s="2" t="s">
        <v>12850</v>
      </c>
      <c r="AU134" s="2">
        <v>2009.0</v>
      </c>
      <c r="AV134" s="2">
        <v>258.0</v>
      </c>
      <c r="AW134" s="2">
        <v>7.0</v>
      </c>
      <c r="AX134" s="2" t="s">
        <v>12129</v>
      </c>
      <c r="AY134" s="2" t="s">
        <v>12129</v>
      </c>
      <c r="AZ134" s="2" t="s">
        <v>12129</v>
      </c>
      <c r="BA134" s="2" t="s">
        <v>12129</v>
      </c>
      <c r="BB134" s="2">
        <v>1586.0</v>
      </c>
      <c r="BC134" s="2">
        <v>1593.0</v>
      </c>
      <c r="BD134" s="2" t="s">
        <v>12129</v>
      </c>
      <c r="BE134" s="2" t="s">
        <v>14928</v>
      </c>
      <c r="BF134" s="15" t="str">
        <f>HYPERLINK("http://dx.doi.org/10.1016/j.foreco.2009.07.013","http://dx.doi.org/10.1016/j.foreco.2009.07.013")</f>
        <v>http://dx.doi.org/10.1016/j.foreco.2009.07.013</v>
      </c>
      <c r="BG134" s="2" t="s">
        <v>12129</v>
      </c>
      <c r="BH134" s="2" t="s">
        <v>12129</v>
      </c>
      <c r="BI134" s="2">
        <v>8.0</v>
      </c>
      <c r="BJ134" s="2" t="s">
        <v>12277</v>
      </c>
      <c r="BK134" s="2" t="s">
        <v>12176</v>
      </c>
      <c r="BL134" s="2" t="s">
        <v>12277</v>
      </c>
      <c r="BM134" s="2" t="s">
        <v>14929</v>
      </c>
      <c r="BN134" s="2" t="s">
        <v>12129</v>
      </c>
      <c r="BO134" s="2" t="s">
        <v>12129</v>
      </c>
      <c r="BP134" s="2" t="s">
        <v>12129</v>
      </c>
      <c r="BQ134" s="2" t="s">
        <v>12129</v>
      </c>
      <c r="BR134" s="2" t="s">
        <v>12152</v>
      </c>
      <c r="BS134" s="2" t="s">
        <v>14930</v>
      </c>
      <c r="BT134" s="2" t="str">
        <f>HYPERLINK("https%3A%2F%2Fwww.webofscience.com%2Fwos%2Fwoscc%2Ffull-record%2FWOS:000270152300065","View Full Record in Web of Science")</f>
        <v>View Full Record in Web of Science</v>
      </c>
    </row>
    <row r="135" ht="12.75" customHeight="1">
      <c r="A135" s="2" t="s">
        <v>23</v>
      </c>
      <c r="B135" s="2" t="s">
        <v>14931</v>
      </c>
      <c r="C135" s="2" t="s">
        <v>12129</v>
      </c>
      <c r="D135" s="2" t="s">
        <v>12129</v>
      </c>
      <c r="E135" s="2" t="s">
        <v>12129</v>
      </c>
      <c r="F135" s="2" t="s">
        <v>14932</v>
      </c>
      <c r="G135" s="2" t="s">
        <v>12129</v>
      </c>
      <c r="H135" s="2" t="s">
        <v>12129</v>
      </c>
      <c r="I135" s="2" t="s">
        <v>14933</v>
      </c>
      <c r="J135" s="2" t="s">
        <v>14934</v>
      </c>
      <c r="K135" s="2" t="s">
        <v>12129</v>
      </c>
      <c r="L135" s="2" t="s">
        <v>12129</v>
      </c>
      <c r="M135" s="2" t="s">
        <v>3263</v>
      </c>
      <c r="N135" s="2" t="s">
        <v>35</v>
      </c>
      <c r="O135" s="2" t="s">
        <v>12129</v>
      </c>
      <c r="P135" s="2" t="s">
        <v>12129</v>
      </c>
      <c r="Q135" s="2" t="s">
        <v>12129</v>
      </c>
      <c r="R135" s="2" t="s">
        <v>12129</v>
      </c>
      <c r="S135" s="2" t="s">
        <v>12129</v>
      </c>
      <c r="T135" s="2" t="s">
        <v>14935</v>
      </c>
      <c r="U135" s="2" t="s">
        <v>14936</v>
      </c>
      <c r="V135" s="2" t="s">
        <v>14937</v>
      </c>
      <c r="W135" s="2" t="s">
        <v>14938</v>
      </c>
      <c r="X135" s="2" t="s">
        <v>14939</v>
      </c>
      <c r="Y135" s="2" t="s">
        <v>14940</v>
      </c>
      <c r="Z135" s="2" t="s">
        <v>14941</v>
      </c>
      <c r="AA135" s="2" t="s">
        <v>14942</v>
      </c>
      <c r="AB135" s="2" t="s">
        <v>14943</v>
      </c>
      <c r="AC135" s="2" t="s">
        <v>14944</v>
      </c>
      <c r="AD135" s="2" t="s">
        <v>14944</v>
      </c>
      <c r="AE135" s="2" t="s">
        <v>14945</v>
      </c>
      <c r="AF135" s="2" t="s">
        <v>12129</v>
      </c>
      <c r="AG135" s="2">
        <v>67.0</v>
      </c>
      <c r="AH135" s="2">
        <v>45.0</v>
      </c>
      <c r="AI135" s="2">
        <v>49.0</v>
      </c>
      <c r="AJ135" s="2">
        <v>0.0</v>
      </c>
      <c r="AK135" s="2">
        <v>33.0</v>
      </c>
      <c r="AL135" s="2" t="s">
        <v>12243</v>
      </c>
      <c r="AM135" s="2" t="s">
        <v>12244</v>
      </c>
      <c r="AN135" s="2" t="s">
        <v>12245</v>
      </c>
      <c r="AO135" s="2" t="s">
        <v>14946</v>
      </c>
      <c r="AP135" s="2" t="s">
        <v>14947</v>
      </c>
      <c r="AQ135" s="2" t="s">
        <v>12129</v>
      </c>
      <c r="AR135" s="2" t="s">
        <v>14948</v>
      </c>
      <c r="AS135" s="2" t="s">
        <v>14949</v>
      </c>
      <c r="AT135" s="2" t="s">
        <v>12249</v>
      </c>
      <c r="AU135" s="2">
        <v>2009.0</v>
      </c>
      <c r="AV135" s="2">
        <v>34.0</v>
      </c>
      <c r="AW135" s="2">
        <v>6.0</v>
      </c>
      <c r="AX135" s="2" t="s">
        <v>12129</v>
      </c>
      <c r="AY135" s="2" t="s">
        <v>12129</v>
      </c>
      <c r="AZ135" s="2" t="s">
        <v>12129</v>
      </c>
      <c r="BA135" s="2" t="s">
        <v>12129</v>
      </c>
      <c r="BB135" s="2">
        <v>705.0</v>
      </c>
      <c r="BC135" s="2">
        <v>716.0</v>
      </c>
      <c r="BD135" s="2" t="s">
        <v>12129</v>
      </c>
      <c r="BE135" s="2" t="s">
        <v>14950</v>
      </c>
      <c r="BF135" s="15" t="str">
        <f>HYPERLINK("http://dx.doi.org/10.1111/j.1442-9993.2009.01979.x","http://dx.doi.org/10.1111/j.1442-9993.2009.01979.x")</f>
        <v>http://dx.doi.org/10.1111/j.1442-9993.2009.01979.x</v>
      </c>
      <c r="BG135" s="2" t="s">
        <v>12129</v>
      </c>
      <c r="BH135" s="2" t="s">
        <v>12129</v>
      </c>
      <c r="BI135" s="2">
        <v>12.0</v>
      </c>
      <c r="BJ135" s="2" t="s">
        <v>814</v>
      </c>
      <c r="BK135" s="2" t="s">
        <v>12176</v>
      </c>
      <c r="BL135" s="2" t="s">
        <v>12251</v>
      </c>
      <c r="BM135" s="2" t="s">
        <v>14951</v>
      </c>
      <c r="BN135" s="2" t="s">
        <v>12129</v>
      </c>
      <c r="BO135" s="2" t="s">
        <v>12129</v>
      </c>
      <c r="BP135" s="2" t="s">
        <v>12129</v>
      </c>
      <c r="BQ135" s="2" t="s">
        <v>12129</v>
      </c>
      <c r="BR135" s="2" t="s">
        <v>12152</v>
      </c>
      <c r="BS135" s="2" t="s">
        <v>14952</v>
      </c>
      <c r="BT135" s="2" t="str">
        <f>HYPERLINK("https%3A%2F%2Fwww.webofscience.com%2Fwos%2Fwoscc%2Ffull-record%2FWOS:000269675600012","View Full Record in Web of Science")</f>
        <v>View Full Record in Web of Science</v>
      </c>
    </row>
    <row r="136" ht="12.75" customHeight="1">
      <c r="A136" s="2" t="s">
        <v>23</v>
      </c>
      <c r="B136" s="2" t="s">
        <v>14953</v>
      </c>
      <c r="C136" s="2" t="s">
        <v>12129</v>
      </c>
      <c r="D136" s="2" t="s">
        <v>12129</v>
      </c>
      <c r="E136" s="2" t="s">
        <v>12129</v>
      </c>
      <c r="F136" s="2" t="s">
        <v>14954</v>
      </c>
      <c r="G136" s="2" t="s">
        <v>12129</v>
      </c>
      <c r="H136" s="2" t="s">
        <v>12129</v>
      </c>
      <c r="I136" s="2" t="s">
        <v>14955</v>
      </c>
      <c r="J136" s="2" t="s">
        <v>14452</v>
      </c>
      <c r="K136" s="2" t="s">
        <v>12129</v>
      </c>
      <c r="L136" s="2" t="s">
        <v>12129</v>
      </c>
      <c r="M136" s="2" t="s">
        <v>3263</v>
      </c>
      <c r="N136" s="2" t="s">
        <v>27</v>
      </c>
      <c r="O136" s="2" t="s">
        <v>12129</v>
      </c>
      <c r="P136" s="2" t="s">
        <v>12129</v>
      </c>
      <c r="Q136" s="2" t="s">
        <v>12129</v>
      </c>
      <c r="R136" s="2" t="s">
        <v>12129</v>
      </c>
      <c r="S136" s="2" t="s">
        <v>12129</v>
      </c>
      <c r="T136" s="2" t="s">
        <v>12129</v>
      </c>
      <c r="U136" s="2" t="s">
        <v>14956</v>
      </c>
      <c r="V136" s="2" t="s">
        <v>14957</v>
      </c>
      <c r="W136" s="2" t="s">
        <v>14958</v>
      </c>
      <c r="X136" s="2" t="s">
        <v>14959</v>
      </c>
      <c r="Y136" s="2" t="s">
        <v>14960</v>
      </c>
      <c r="Z136" s="2" t="s">
        <v>14961</v>
      </c>
      <c r="AA136" s="2" t="s">
        <v>14962</v>
      </c>
      <c r="AB136" s="2" t="s">
        <v>14963</v>
      </c>
      <c r="AC136" s="2" t="s">
        <v>14964</v>
      </c>
      <c r="AD136" s="2" t="s">
        <v>14965</v>
      </c>
      <c r="AE136" s="2" t="s">
        <v>14966</v>
      </c>
      <c r="AF136" s="2" t="s">
        <v>12129</v>
      </c>
      <c r="AG136" s="2">
        <v>277.0</v>
      </c>
      <c r="AH136" s="2">
        <v>331.0</v>
      </c>
      <c r="AI136" s="2">
        <v>377.0</v>
      </c>
      <c r="AJ136" s="2">
        <v>7.0</v>
      </c>
      <c r="AK136" s="2">
        <v>279.0</v>
      </c>
      <c r="AL136" s="2" t="s">
        <v>14464</v>
      </c>
      <c r="AM136" s="2" t="s">
        <v>12632</v>
      </c>
      <c r="AN136" s="2" t="s">
        <v>14465</v>
      </c>
      <c r="AO136" s="2" t="s">
        <v>14466</v>
      </c>
      <c r="AP136" s="2" t="s">
        <v>14467</v>
      </c>
      <c r="AQ136" s="2" t="s">
        <v>12129</v>
      </c>
      <c r="AR136" s="2" t="s">
        <v>14468</v>
      </c>
      <c r="AS136" s="2" t="s">
        <v>14469</v>
      </c>
      <c r="AT136" s="2" t="s">
        <v>14967</v>
      </c>
      <c r="AU136" s="2">
        <v>2009.0</v>
      </c>
      <c r="AV136" s="2">
        <v>114.0</v>
      </c>
      <c r="AW136" s="2" t="s">
        <v>12129</v>
      </c>
      <c r="AX136" s="2" t="s">
        <v>12129</v>
      </c>
      <c r="AY136" s="2" t="s">
        <v>12129</v>
      </c>
      <c r="AZ136" s="2" t="s">
        <v>12129</v>
      </c>
      <c r="BA136" s="2" t="s">
        <v>12129</v>
      </c>
      <c r="BB136" s="2" t="s">
        <v>12129</v>
      </c>
      <c r="BC136" s="2" t="s">
        <v>12129</v>
      </c>
      <c r="BD136" s="2" t="s">
        <v>14968</v>
      </c>
      <c r="BE136" s="2" t="s">
        <v>14969</v>
      </c>
      <c r="BF136" s="15" t="str">
        <f>HYPERLINK("http://dx.doi.org/10.1029/2008JG000911","http://dx.doi.org/10.1029/2008JG000911")</f>
        <v>http://dx.doi.org/10.1029/2008JG000911</v>
      </c>
      <c r="BG136" s="2" t="s">
        <v>12129</v>
      </c>
      <c r="BH136" s="2" t="s">
        <v>12129</v>
      </c>
      <c r="BI136" s="2">
        <v>27.0</v>
      </c>
      <c r="BJ136" s="2" t="s">
        <v>1263</v>
      </c>
      <c r="BK136" s="2" t="s">
        <v>12176</v>
      </c>
      <c r="BL136" s="2" t="s">
        <v>13014</v>
      </c>
      <c r="BM136" s="2" t="s">
        <v>14970</v>
      </c>
      <c r="BN136" s="2" t="s">
        <v>12129</v>
      </c>
      <c r="BO136" s="2" t="s">
        <v>12129</v>
      </c>
      <c r="BP136" s="2" t="s">
        <v>12129</v>
      </c>
      <c r="BQ136" s="2" t="s">
        <v>12129</v>
      </c>
      <c r="BR136" s="2" t="s">
        <v>12152</v>
      </c>
      <c r="BS136" s="2" t="s">
        <v>14971</v>
      </c>
      <c r="BT136" s="2" t="str">
        <f>HYPERLINK("https%3A%2F%2Fwww.webofscience.com%2Fwos%2Fwoscc%2Ffull-record%2FWOS:000268352400002","View Full Record in Web of Science")</f>
        <v>View Full Record in Web of Science</v>
      </c>
    </row>
    <row r="137" ht="12.75" customHeight="1">
      <c r="A137" s="2" t="s">
        <v>23</v>
      </c>
      <c r="B137" s="2" t="s">
        <v>14972</v>
      </c>
      <c r="C137" s="2" t="s">
        <v>12129</v>
      </c>
      <c r="D137" s="2" t="s">
        <v>12129</v>
      </c>
      <c r="E137" s="2" t="s">
        <v>12129</v>
      </c>
      <c r="F137" s="2" t="s">
        <v>14973</v>
      </c>
      <c r="G137" s="2" t="s">
        <v>12129</v>
      </c>
      <c r="H137" s="2" t="s">
        <v>12129</v>
      </c>
      <c r="I137" s="2" t="s">
        <v>14974</v>
      </c>
      <c r="J137" s="2" t="s">
        <v>626</v>
      </c>
      <c r="K137" s="2" t="s">
        <v>12129</v>
      </c>
      <c r="L137" s="2" t="s">
        <v>12129</v>
      </c>
      <c r="M137" s="2" t="s">
        <v>3263</v>
      </c>
      <c r="N137" s="2" t="s">
        <v>27</v>
      </c>
      <c r="O137" s="2" t="s">
        <v>12129</v>
      </c>
      <c r="P137" s="2" t="s">
        <v>12129</v>
      </c>
      <c r="Q137" s="2" t="s">
        <v>12129</v>
      </c>
      <c r="R137" s="2" t="s">
        <v>12129</v>
      </c>
      <c r="S137" s="2" t="s">
        <v>12129</v>
      </c>
      <c r="T137" s="2" t="s">
        <v>12129</v>
      </c>
      <c r="U137" s="2" t="s">
        <v>14975</v>
      </c>
      <c r="V137" s="2" t="s">
        <v>14976</v>
      </c>
      <c r="W137" s="2" t="s">
        <v>14977</v>
      </c>
      <c r="X137" s="2" t="s">
        <v>14978</v>
      </c>
      <c r="Y137" s="2" t="s">
        <v>14979</v>
      </c>
      <c r="Z137" s="2" t="s">
        <v>14576</v>
      </c>
      <c r="AA137" s="2" t="s">
        <v>14980</v>
      </c>
      <c r="AB137" s="2" t="s">
        <v>14981</v>
      </c>
      <c r="AC137" s="2" t="s">
        <v>12129</v>
      </c>
      <c r="AD137" s="2" t="s">
        <v>12129</v>
      </c>
      <c r="AE137" s="2" t="s">
        <v>12129</v>
      </c>
      <c r="AF137" s="2" t="s">
        <v>12129</v>
      </c>
      <c r="AG137" s="2">
        <v>88.0</v>
      </c>
      <c r="AH137" s="2">
        <v>270.0</v>
      </c>
      <c r="AI137" s="2">
        <v>301.0</v>
      </c>
      <c r="AJ137" s="2">
        <v>0.0</v>
      </c>
      <c r="AK137" s="2">
        <v>167.0</v>
      </c>
      <c r="AL137" s="2" t="s">
        <v>14105</v>
      </c>
      <c r="AM137" s="2" t="s">
        <v>12170</v>
      </c>
      <c r="AN137" s="2" t="s">
        <v>14106</v>
      </c>
      <c r="AO137" s="2" t="s">
        <v>14107</v>
      </c>
      <c r="AP137" s="2" t="s">
        <v>14108</v>
      </c>
      <c r="AQ137" s="2" t="s">
        <v>12129</v>
      </c>
      <c r="AR137" s="2" t="s">
        <v>14109</v>
      </c>
      <c r="AS137" s="2" t="s">
        <v>14110</v>
      </c>
      <c r="AT137" s="2" t="s">
        <v>12459</v>
      </c>
      <c r="AU137" s="2">
        <v>2009.0</v>
      </c>
      <c r="AV137" s="2">
        <v>24.0</v>
      </c>
      <c r="AW137" s="2">
        <v>5.0</v>
      </c>
      <c r="AX137" s="2" t="s">
        <v>12129</v>
      </c>
      <c r="AY137" s="2" t="s">
        <v>12129</v>
      </c>
      <c r="AZ137" s="2" t="s">
        <v>12129</v>
      </c>
      <c r="BA137" s="2" t="s">
        <v>12129</v>
      </c>
      <c r="BB137" s="2">
        <v>254.0</v>
      </c>
      <c r="BC137" s="2">
        <v>262.0</v>
      </c>
      <c r="BD137" s="2" t="s">
        <v>12129</v>
      </c>
      <c r="BE137" s="2" t="s">
        <v>14982</v>
      </c>
      <c r="BF137" s="15" t="str">
        <f>HYPERLINK("http://dx.doi.org/10.1016/j.tree.2008.12.004","http://dx.doi.org/10.1016/j.tree.2008.12.004")</f>
        <v>http://dx.doi.org/10.1016/j.tree.2008.12.004</v>
      </c>
      <c r="BG137" s="2" t="s">
        <v>12129</v>
      </c>
      <c r="BH137" s="2" t="s">
        <v>12129</v>
      </c>
      <c r="BI137" s="2">
        <v>9.0</v>
      </c>
      <c r="BJ137" s="2" t="s">
        <v>630</v>
      </c>
      <c r="BK137" s="2" t="s">
        <v>12176</v>
      </c>
      <c r="BL137" s="2" t="s">
        <v>14112</v>
      </c>
      <c r="BM137" s="2" t="s">
        <v>14983</v>
      </c>
      <c r="BN137" s="2">
        <v>1.925134E7</v>
      </c>
      <c r="BO137" s="2" t="s">
        <v>12129</v>
      </c>
      <c r="BP137" s="2" t="s">
        <v>12129</v>
      </c>
      <c r="BQ137" s="2" t="s">
        <v>12129</v>
      </c>
      <c r="BR137" s="2" t="s">
        <v>12152</v>
      </c>
      <c r="BS137" s="2" t="s">
        <v>14984</v>
      </c>
      <c r="BT137" s="2" t="str">
        <f>HYPERLINK("https%3A%2F%2Fwww.webofscience.com%2Fwos%2Fwoscc%2Ffull-record%2FWOS:000266188100006","View Full Record in Web of Science")</f>
        <v>View Full Record in Web of Science</v>
      </c>
    </row>
    <row r="138" ht="12.75" customHeight="1">
      <c r="A138" s="2" t="s">
        <v>23</v>
      </c>
      <c r="B138" s="2" t="s">
        <v>14985</v>
      </c>
      <c r="C138" s="2" t="s">
        <v>12129</v>
      </c>
      <c r="D138" s="2" t="s">
        <v>12129</v>
      </c>
      <c r="E138" s="2" t="s">
        <v>12129</v>
      </c>
      <c r="F138" s="2" t="s">
        <v>14986</v>
      </c>
      <c r="G138" s="2" t="s">
        <v>12129</v>
      </c>
      <c r="H138" s="2" t="s">
        <v>12129</v>
      </c>
      <c r="I138" s="2" t="s">
        <v>14987</v>
      </c>
      <c r="J138" s="2" t="s">
        <v>14988</v>
      </c>
      <c r="K138" s="2" t="s">
        <v>12129</v>
      </c>
      <c r="L138" s="2" t="s">
        <v>12129</v>
      </c>
      <c r="M138" s="2" t="s">
        <v>3263</v>
      </c>
      <c r="N138" s="2" t="s">
        <v>27</v>
      </c>
      <c r="O138" s="2" t="s">
        <v>12129</v>
      </c>
      <c r="P138" s="2" t="s">
        <v>12129</v>
      </c>
      <c r="Q138" s="2" t="s">
        <v>12129</v>
      </c>
      <c r="R138" s="2" t="s">
        <v>12129</v>
      </c>
      <c r="S138" s="2" t="s">
        <v>12129</v>
      </c>
      <c r="T138" s="2" t="s">
        <v>14989</v>
      </c>
      <c r="U138" s="2" t="s">
        <v>14990</v>
      </c>
      <c r="V138" s="2" t="s">
        <v>14991</v>
      </c>
      <c r="W138" s="2" t="s">
        <v>14992</v>
      </c>
      <c r="X138" s="2" t="s">
        <v>14993</v>
      </c>
      <c r="Y138" s="2" t="s">
        <v>14994</v>
      </c>
      <c r="Z138" s="2" t="s">
        <v>14995</v>
      </c>
      <c r="AA138" s="2" t="s">
        <v>14996</v>
      </c>
      <c r="AB138" s="2" t="s">
        <v>14997</v>
      </c>
      <c r="AC138" s="2" t="s">
        <v>14998</v>
      </c>
      <c r="AD138" s="2" t="s">
        <v>14999</v>
      </c>
      <c r="AE138" s="2" t="s">
        <v>15000</v>
      </c>
      <c r="AF138" s="2" t="s">
        <v>12129</v>
      </c>
      <c r="AG138" s="2">
        <v>269.0</v>
      </c>
      <c r="AH138" s="2">
        <v>388.0</v>
      </c>
      <c r="AI138" s="2">
        <v>426.0</v>
      </c>
      <c r="AJ138" s="2">
        <v>2.0</v>
      </c>
      <c r="AK138" s="2">
        <v>291.0</v>
      </c>
      <c r="AL138" s="2" t="s">
        <v>14365</v>
      </c>
      <c r="AM138" s="2" t="s">
        <v>13961</v>
      </c>
      <c r="AN138" s="2" t="s">
        <v>14505</v>
      </c>
      <c r="AO138" s="2" t="s">
        <v>15001</v>
      </c>
      <c r="AP138" s="2" t="s">
        <v>15002</v>
      </c>
      <c r="AQ138" s="2" t="s">
        <v>12129</v>
      </c>
      <c r="AR138" s="2" t="s">
        <v>15003</v>
      </c>
      <c r="AS138" s="2" t="s">
        <v>15004</v>
      </c>
      <c r="AT138" s="2" t="s">
        <v>12660</v>
      </c>
      <c r="AU138" s="2">
        <v>2009.0</v>
      </c>
      <c r="AV138" s="2">
        <v>21.0</v>
      </c>
      <c r="AW138" s="2">
        <v>1.0</v>
      </c>
      <c r="AX138" s="2" t="s">
        <v>12129</v>
      </c>
      <c r="AY138" s="2" t="s">
        <v>12129</v>
      </c>
      <c r="AZ138" s="2" t="s">
        <v>12129</v>
      </c>
      <c r="BA138" s="2" t="s">
        <v>12129</v>
      </c>
      <c r="BB138" s="2">
        <v>3.0</v>
      </c>
      <c r="BC138" s="2">
        <v>33.0</v>
      </c>
      <c r="BD138" s="2" t="s">
        <v>12129</v>
      </c>
      <c r="BE138" s="2" t="s">
        <v>15005</v>
      </c>
      <c r="BF138" s="15" t="str">
        <f>HYPERLINK("http://dx.doi.org/10.1017/S0954102009001722","http://dx.doi.org/10.1017/S0954102009001722")</f>
        <v>http://dx.doi.org/10.1017/S0954102009001722</v>
      </c>
      <c r="BG138" s="2" t="s">
        <v>12129</v>
      </c>
      <c r="BH138" s="2" t="s">
        <v>12129</v>
      </c>
      <c r="BI138" s="2">
        <v>31.0</v>
      </c>
      <c r="BJ138" s="2" t="s">
        <v>15006</v>
      </c>
      <c r="BK138" s="2" t="s">
        <v>12176</v>
      </c>
      <c r="BL138" s="2" t="s">
        <v>15007</v>
      </c>
      <c r="BM138" s="2" t="s">
        <v>15008</v>
      </c>
      <c r="BN138" s="2" t="s">
        <v>12129</v>
      </c>
      <c r="BO138" s="2" t="s">
        <v>12179</v>
      </c>
      <c r="BP138" s="2" t="s">
        <v>12129</v>
      </c>
      <c r="BQ138" s="2" t="s">
        <v>12129</v>
      </c>
      <c r="BR138" s="2" t="s">
        <v>12152</v>
      </c>
      <c r="BS138" s="2" t="s">
        <v>15009</v>
      </c>
      <c r="BT138" s="2" t="str">
        <f>HYPERLINK("https%3A%2F%2Fwww.webofscience.com%2Fwos%2Fwoscc%2Ffull-record%2FWOS:000263389100002","View Full Record in Web of Science")</f>
        <v>View Full Record in Web of Science</v>
      </c>
    </row>
    <row r="139" ht="12.75" customHeight="1">
      <c r="A139" s="2" t="s">
        <v>23</v>
      </c>
      <c r="B139" s="2" t="s">
        <v>15010</v>
      </c>
      <c r="C139" s="2" t="s">
        <v>12129</v>
      </c>
      <c r="D139" s="2" t="s">
        <v>12129</v>
      </c>
      <c r="E139" s="2" t="s">
        <v>12129</v>
      </c>
      <c r="F139" s="2" t="s">
        <v>15011</v>
      </c>
      <c r="G139" s="2" t="s">
        <v>12129</v>
      </c>
      <c r="H139" s="2" t="s">
        <v>12129</v>
      </c>
      <c r="I139" s="2" t="s">
        <v>15012</v>
      </c>
      <c r="J139" s="2" t="s">
        <v>12230</v>
      </c>
      <c r="K139" s="2" t="s">
        <v>12129</v>
      </c>
      <c r="L139" s="2" t="s">
        <v>12129</v>
      </c>
      <c r="M139" s="2" t="s">
        <v>3263</v>
      </c>
      <c r="N139" s="2" t="s">
        <v>35</v>
      </c>
      <c r="O139" s="2" t="s">
        <v>12129</v>
      </c>
      <c r="P139" s="2" t="s">
        <v>12129</v>
      </c>
      <c r="Q139" s="2" t="s">
        <v>12129</v>
      </c>
      <c r="R139" s="2" t="s">
        <v>12129</v>
      </c>
      <c r="S139" s="2" t="s">
        <v>12129</v>
      </c>
      <c r="T139" s="2" t="s">
        <v>15013</v>
      </c>
      <c r="U139" s="2" t="s">
        <v>15014</v>
      </c>
      <c r="V139" s="2" t="s">
        <v>15015</v>
      </c>
      <c r="W139" s="2" t="s">
        <v>15016</v>
      </c>
      <c r="X139" s="2" t="s">
        <v>15017</v>
      </c>
      <c r="Y139" s="2" t="s">
        <v>15018</v>
      </c>
      <c r="Z139" s="2" t="s">
        <v>15019</v>
      </c>
      <c r="AA139" s="2" t="s">
        <v>12129</v>
      </c>
      <c r="AB139" s="2" t="s">
        <v>12129</v>
      </c>
      <c r="AC139" s="2" t="s">
        <v>15020</v>
      </c>
      <c r="AD139" s="2" t="s">
        <v>15021</v>
      </c>
      <c r="AE139" s="2" t="s">
        <v>15022</v>
      </c>
      <c r="AF139" s="2" t="s">
        <v>12129</v>
      </c>
      <c r="AG139" s="2">
        <v>82.0</v>
      </c>
      <c r="AH139" s="2">
        <v>24.0</v>
      </c>
      <c r="AI139" s="2">
        <v>26.0</v>
      </c>
      <c r="AJ139" s="2">
        <v>0.0</v>
      </c>
      <c r="AK139" s="2">
        <v>25.0</v>
      </c>
      <c r="AL139" s="2" t="s">
        <v>12243</v>
      </c>
      <c r="AM139" s="2" t="s">
        <v>12244</v>
      </c>
      <c r="AN139" s="2" t="s">
        <v>12245</v>
      </c>
      <c r="AO139" s="2" t="s">
        <v>2378</v>
      </c>
      <c r="AP139" s="2" t="s">
        <v>12246</v>
      </c>
      <c r="AQ139" s="2" t="s">
        <v>12129</v>
      </c>
      <c r="AR139" s="2" t="s">
        <v>12247</v>
      </c>
      <c r="AS139" s="2" t="s">
        <v>12248</v>
      </c>
      <c r="AT139" s="2" t="s">
        <v>12764</v>
      </c>
      <c r="AU139" s="2">
        <v>2008.0</v>
      </c>
      <c r="AV139" s="2">
        <v>18.0</v>
      </c>
      <c r="AW139" s="2">
        <v>8.0</v>
      </c>
      <c r="AX139" s="2" t="s">
        <v>12129</v>
      </c>
      <c r="AY139" s="2" t="s">
        <v>12129</v>
      </c>
      <c r="AZ139" s="2" t="s">
        <v>12129</v>
      </c>
      <c r="BA139" s="2" t="s">
        <v>12129</v>
      </c>
      <c r="BB139" s="2">
        <v>1932.0</v>
      </c>
      <c r="BC139" s="2">
        <v>1955.0</v>
      </c>
      <c r="BD139" s="2" t="s">
        <v>12129</v>
      </c>
      <c r="BE139" s="2" t="s">
        <v>15023</v>
      </c>
      <c r="BF139" s="15" t="str">
        <f>HYPERLINK("http://dx.doi.org/10.1890/07-1254.1","http://dx.doi.org/10.1890/07-1254.1")</f>
        <v>http://dx.doi.org/10.1890/07-1254.1</v>
      </c>
      <c r="BG139" s="2" t="s">
        <v>12129</v>
      </c>
      <c r="BH139" s="2" t="s">
        <v>12129</v>
      </c>
      <c r="BI139" s="2">
        <v>24.0</v>
      </c>
      <c r="BJ139" s="2" t="s">
        <v>695</v>
      </c>
      <c r="BK139" s="2" t="s">
        <v>12176</v>
      </c>
      <c r="BL139" s="2" t="s">
        <v>12251</v>
      </c>
      <c r="BM139" s="2" t="s">
        <v>15024</v>
      </c>
      <c r="BN139" s="2">
        <v>1.9263889E7</v>
      </c>
      <c r="BO139" s="2" t="s">
        <v>12129</v>
      </c>
      <c r="BP139" s="2" t="s">
        <v>12129</v>
      </c>
      <c r="BQ139" s="2" t="s">
        <v>12129</v>
      </c>
      <c r="BR139" s="2" t="s">
        <v>12152</v>
      </c>
      <c r="BS139" s="2" t="s">
        <v>15025</v>
      </c>
      <c r="BT139" s="2" t="str">
        <f>HYPERLINK("https%3A%2F%2Fwww.webofscience.com%2Fwos%2Fwoscc%2Ffull-record%2FWOS:000262605500010","View Full Record in Web of Science")</f>
        <v>View Full Record in Web of Science</v>
      </c>
    </row>
    <row r="140" ht="12.75" customHeight="1">
      <c r="A140" s="2" t="s">
        <v>23</v>
      </c>
      <c r="B140" s="2" t="s">
        <v>15026</v>
      </c>
      <c r="C140" s="2" t="s">
        <v>12129</v>
      </c>
      <c r="D140" s="2" t="s">
        <v>12129</v>
      </c>
      <c r="E140" s="2" t="s">
        <v>12129</v>
      </c>
      <c r="F140" s="2" t="s">
        <v>15027</v>
      </c>
      <c r="G140" s="2" t="s">
        <v>12129</v>
      </c>
      <c r="H140" s="2" t="s">
        <v>12129</v>
      </c>
      <c r="I140" s="2" t="s">
        <v>15028</v>
      </c>
      <c r="J140" s="2" t="s">
        <v>14496</v>
      </c>
      <c r="K140" s="2" t="s">
        <v>12129</v>
      </c>
      <c r="L140" s="2" t="s">
        <v>12129</v>
      </c>
      <c r="M140" s="2" t="s">
        <v>3263</v>
      </c>
      <c r="N140" s="2" t="s">
        <v>35</v>
      </c>
      <c r="O140" s="2" t="s">
        <v>12129</v>
      </c>
      <c r="P140" s="2" t="s">
        <v>12129</v>
      </c>
      <c r="Q140" s="2" t="s">
        <v>12129</v>
      </c>
      <c r="R140" s="2" t="s">
        <v>12129</v>
      </c>
      <c r="S140" s="2" t="s">
        <v>12129</v>
      </c>
      <c r="T140" s="2" t="s">
        <v>12129</v>
      </c>
      <c r="U140" s="2" t="s">
        <v>15029</v>
      </c>
      <c r="V140" s="2" t="s">
        <v>15030</v>
      </c>
      <c r="W140" s="2" t="s">
        <v>15031</v>
      </c>
      <c r="X140" s="2" t="s">
        <v>15032</v>
      </c>
      <c r="Y140" s="2" t="s">
        <v>15033</v>
      </c>
      <c r="Z140" s="2" t="s">
        <v>15034</v>
      </c>
      <c r="AA140" s="2" t="s">
        <v>15035</v>
      </c>
      <c r="AB140" s="2" t="s">
        <v>15036</v>
      </c>
      <c r="AC140" s="2" t="s">
        <v>15037</v>
      </c>
      <c r="AD140" s="2" t="s">
        <v>15038</v>
      </c>
      <c r="AE140" s="2" t="s">
        <v>15039</v>
      </c>
      <c r="AF140" s="2" t="s">
        <v>12129</v>
      </c>
      <c r="AG140" s="2">
        <v>82.0</v>
      </c>
      <c r="AH140" s="2">
        <v>357.0</v>
      </c>
      <c r="AI140" s="2">
        <v>440.0</v>
      </c>
      <c r="AJ140" s="2">
        <v>9.0</v>
      </c>
      <c r="AK140" s="2">
        <v>289.0</v>
      </c>
      <c r="AL140" s="2" t="s">
        <v>14365</v>
      </c>
      <c r="AM140" s="2" t="s">
        <v>13961</v>
      </c>
      <c r="AN140" s="2" t="s">
        <v>14505</v>
      </c>
      <c r="AO140" s="2" t="s">
        <v>14506</v>
      </c>
      <c r="AP140" s="2" t="s">
        <v>14507</v>
      </c>
      <c r="AQ140" s="2" t="s">
        <v>12129</v>
      </c>
      <c r="AR140" s="2" t="s">
        <v>14508</v>
      </c>
      <c r="AS140" s="2" t="s">
        <v>14509</v>
      </c>
      <c r="AT140" s="2" t="s">
        <v>12249</v>
      </c>
      <c r="AU140" s="2">
        <v>2008.0</v>
      </c>
      <c r="AV140" s="2">
        <v>18.0</v>
      </c>
      <c r="AW140" s="2" t="s">
        <v>12129</v>
      </c>
      <c r="AX140" s="2" t="s">
        <v>12129</v>
      </c>
      <c r="AY140" s="2">
        <v>1.0</v>
      </c>
      <c r="AZ140" s="2" t="s">
        <v>12129</v>
      </c>
      <c r="BA140" s="2" t="s">
        <v>12129</v>
      </c>
      <c r="BB140" s="2" t="s">
        <v>15040</v>
      </c>
      <c r="BC140" s="2" t="s">
        <v>15041</v>
      </c>
      <c r="BD140" s="2" t="s">
        <v>12129</v>
      </c>
      <c r="BE140" s="2" t="s">
        <v>15042</v>
      </c>
      <c r="BF140" s="15" t="str">
        <f>HYPERLINK("http://dx.doi.org/10.1017/S0959270908000439","http://dx.doi.org/10.1017/S0959270908000439")</f>
        <v>http://dx.doi.org/10.1017/S0959270908000439</v>
      </c>
      <c r="BG140" s="2" t="s">
        <v>12129</v>
      </c>
      <c r="BH140" s="2" t="s">
        <v>12129</v>
      </c>
      <c r="BI140" s="2">
        <v>25.0</v>
      </c>
      <c r="BJ140" s="2" t="s">
        <v>14511</v>
      </c>
      <c r="BK140" s="2" t="s">
        <v>12176</v>
      </c>
      <c r="BL140" s="2" t="s">
        <v>14512</v>
      </c>
      <c r="BM140" s="2" t="s">
        <v>15043</v>
      </c>
      <c r="BN140" s="2" t="s">
        <v>12129</v>
      </c>
      <c r="BO140" s="2" t="s">
        <v>12538</v>
      </c>
      <c r="BP140" s="2" t="s">
        <v>12129</v>
      </c>
      <c r="BQ140" s="2" t="s">
        <v>12129</v>
      </c>
      <c r="BR140" s="2" t="s">
        <v>12152</v>
      </c>
      <c r="BS140" s="2" t="s">
        <v>15044</v>
      </c>
      <c r="BT140" s="2" t="str">
        <f>HYPERLINK("https%3A%2F%2Fwww.webofscience.com%2Fwos%2Fwoscc%2Ffull-record%2FWOS:000259453100005","View Full Record in Web of Science")</f>
        <v>View Full Record in Web of Science</v>
      </c>
    </row>
    <row r="141" ht="12.75" customHeight="1">
      <c r="A141" s="2" t="s">
        <v>23</v>
      </c>
      <c r="B141" s="2" t="s">
        <v>15045</v>
      </c>
      <c r="C141" s="2" t="s">
        <v>12129</v>
      </c>
      <c r="D141" s="2" t="s">
        <v>12129</v>
      </c>
      <c r="E141" s="2" t="s">
        <v>12129</v>
      </c>
      <c r="F141" s="2" t="s">
        <v>15046</v>
      </c>
      <c r="G141" s="2" t="s">
        <v>12129</v>
      </c>
      <c r="H141" s="2" t="s">
        <v>12129</v>
      </c>
      <c r="I141" s="2" t="s">
        <v>15047</v>
      </c>
      <c r="J141" s="2" t="s">
        <v>362</v>
      </c>
      <c r="K141" s="2" t="s">
        <v>12129</v>
      </c>
      <c r="L141" s="2" t="s">
        <v>12129</v>
      </c>
      <c r="M141" s="2" t="s">
        <v>3263</v>
      </c>
      <c r="N141" s="2" t="s">
        <v>35</v>
      </c>
      <c r="O141" s="2" t="s">
        <v>12129</v>
      </c>
      <c r="P141" s="2" t="s">
        <v>12129</v>
      </c>
      <c r="Q141" s="2" t="s">
        <v>12129</v>
      </c>
      <c r="R141" s="2" t="s">
        <v>12129</v>
      </c>
      <c r="S141" s="2" t="s">
        <v>12129</v>
      </c>
      <c r="T141" s="2" t="s">
        <v>12129</v>
      </c>
      <c r="U141" s="2" t="s">
        <v>15048</v>
      </c>
      <c r="V141" s="2" t="s">
        <v>15049</v>
      </c>
      <c r="W141" s="2" t="s">
        <v>15050</v>
      </c>
      <c r="X141" s="2" t="s">
        <v>15051</v>
      </c>
      <c r="Y141" s="2" t="s">
        <v>15052</v>
      </c>
      <c r="Z141" s="2" t="s">
        <v>15053</v>
      </c>
      <c r="AA141" s="2" t="s">
        <v>15054</v>
      </c>
      <c r="AB141" s="2" t="s">
        <v>15055</v>
      </c>
      <c r="AC141" s="2" t="s">
        <v>15056</v>
      </c>
      <c r="AD141" s="2" t="s">
        <v>15057</v>
      </c>
      <c r="AE141" s="2" t="s">
        <v>15058</v>
      </c>
      <c r="AF141" s="2" t="s">
        <v>12129</v>
      </c>
      <c r="AG141" s="2">
        <v>52.0</v>
      </c>
      <c r="AH141" s="2">
        <v>217.0</v>
      </c>
      <c r="AI141" s="2">
        <v>240.0</v>
      </c>
      <c r="AJ141" s="2">
        <v>0.0</v>
      </c>
      <c r="AK141" s="2">
        <v>194.0</v>
      </c>
      <c r="AL141" s="2" t="s">
        <v>12195</v>
      </c>
      <c r="AM141" s="2" t="s">
        <v>12196</v>
      </c>
      <c r="AN141" s="2" t="s">
        <v>12197</v>
      </c>
      <c r="AO141" s="2" t="s">
        <v>1877</v>
      </c>
      <c r="AP141" s="2" t="s">
        <v>12129</v>
      </c>
      <c r="AQ141" s="2" t="s">
        <v>12129</v>
      </c>
      <c r="AR141" s="2" t="s">
        <v>362</v>
      </c>
      <c r="AS141" s="2" t="s">
        <v>12198</v>
      </c>
      <c r="AT141" s="2" t="s">
        <v>15059</v>
      </c>
      <c r="AU141" s="2">
        <v>2008.0</v>
      </c>
      <c r="AV141" s="2">
        <v>3.0</v>
      </c>
      <c r="AW141" s="2">
        <v>8.0</v>
      </c>
      <c r="AX141" s="2" t="s">
        <v>12129</v>
      </c>
      <c r="AY141" s="2" t="s">
        <v>12129</v>
      </c>
      <c r="AZ141" s="2" t="s">
        <v>12129</v>
      </c>
      <c r="BA141" s="2" t="s">
        <v>12129</v>
      </c>
      <c r="BB141" s="2" t="s">
        <v>12129</v>
      </c>
      <c r="BC141" s="2" t="s">
        <v>12129</v>
      </c>
      <c r="BD141" s="2" t="s">
        <v>15060</v>
      </c>
      <c r="BE141" s="2" t="s">
        <v>15061</v>
      </c>
      <c r="BF141" s="15" t="str">
        <f>HYPERLINK("http://dx.doi.org/10.1371/journal.pone.0003039","http://dx.doi.org/10.1371/journal.pone.0003039")</f>
        <v>http://dx.doi.org/10.1371/journal.pone.0003039</v>
      </c>
      <c r="BG141" s="2" t="s">
        <v>12129</v>
      </c>
      <c r="BH141" s="2" t="s">
        <v>12129</v>
      </c>
      <c r="BI141" s="2">
        <v>9.0</v>
      </c>
      <c r="BJ141" s="2" t="s">
        <v>39</v>
      </c>
      <c r="BK141" s="2" t="s">
        <v>12176</v>
      </c>
      <c r="BL141" s="2" t="s">
        <v>12202</v>
      </c>
      <c r="BM141" s="2" t="s">
        <v>15062</v>
      </c>
      <c r="BN141" s="2">
        <v>1.8728776E7</v>
      </c>
      <c r="BO141" s="2" t="s">
        <v>12179</v>
      </c>
      <c r="BP141" s="2" t="s">
        <v>12129</v>
      </c>
      <c r="BQ141" s="2" t="s">
        <v>12129</v>
      </c>
      <c r="BR141" s="2" t="s">
        <v>12152</v>
      </c>
      <c r="BS141" s="2" t="s">
        <v>15063</v>
      </c>
      <c r="BT141" s="2" t="str">
        <f>HYPERLINK("https%3A%2F%2Fwww.webofscience.com%2Fwos%2Fwoscc%2Ffull-record%2FWOS:000264796400003","View Full Record in Web of Science")</f>
        <v>View Full Record in Web of Science</v>
      </c>
    </row>
    <row r="142" ht="12.75" customHeight="1">
      <c r="A142" s="2" t="s">
        <v>23</v>
      </c>
      <c r="B142" s="2" t="s">
        <v>15064</v>
      </c>
      <c r="C142" s="2" t="s">
        <v>12129</v>
      </c>
      <c r="D142" s="2" t="s">
        <v>12129</v>
      </c>
      <c r="E142" s="2" t="s">
        <v>12129</v>
      </c>
      <c r="F142" s="2" t="s">
        <v>15065</v>
      </c>
      <c r="G142" s="2" t="s">
        <v>12129</v>
      </c>
      <c r="H142" s="2" t="s">
        <v>12129</v>
      </c>
      <c r="I142" s="2" t="s">
        <v>15066</v>
      </c>
      <c r="J142" s="2" t="s">
        <v>248</v>
      </c>
      <c r="K142" s="2" t="s">
        <v>12129</v>
      </c>
      <c r="L142" s="2" t="s">
        <v>12129</v>
      </c>
      <c r="M142" s="2" t="s">
        <v>3263</v>
      </c>
      <c r="N142" s="2" t="s">
        <v>35</v>
      </c>
      <c r="O142" s="2" t="s">
        <v>12129</v>
      </c>
      <c r="P142" s="2" t="s">
        <v>12129</v>
      </c>
      <c r="Q142" s="2" t="s">
        <v>12129</v>
      </c>
      <c r="R142" s="2" t="s">
        <v>12129</v>
      </c>
      <c r="S142" s="2" t="s">
        <v>12129</v>
      </c>
      <c r="T142" s="2" t="s">
        <v>15067</v>
      </c>
      <c r="U142" s="2" t="s">
        <v>15068</v>
      </c>
      <c r="V142" s="2" t="s">
        <v>15069</v>
      </c>
      <c r="W142" s="2" t="s">
        <v>15070</v>
      </c>
      <c r="X142" s="2" t="s">
        <v>15071</v>
      </c>
      <c r="Y142" s="2" t="s">
        <v>15072</v>
      </c>
      <c r="Z142" s="2" t="s">
        <v>15073</v>
      </c>
      <c r="AA142" s="2" t="s">
        <v>15074</v>
      </c>
      <c r="AB142" s="2" t="s">
        <v>15075</v>
      </c>
      <c r="AC142" s="2" t="s">
        <v>15076</v>
      </c>
      <c r="AD142" s="2" t="s">
        <v>15077</v>
      </c>
      <c r="AE142" s="2" t="s">
        <v>12129</v>
      </c>
      <c r="AF142" s="2" t="s">
        <v>12129</v>
      </c>
      <c r="AG142" s="2">
        <v>74.0</v>
      </c>
      <c r="AH142" s="2">
        <v>411.0</v>
      </c>
      <c r="AI142" s="2">
        <v>469.0</v>
      </c>
      <c r="AJ142" s="2">
        <v>7.0</v>
      </c>
      <c r="AK142" s="2">
        <v>285.0</v>
      </c>
      <c r="AL142" s="2" t="s">
        <v>12321</v>
      </c>
      <c r="AM142" s="2" t="s">
        <v>12295</v>
      </c>
      <c r="AN142" s="2" t="s">
        <v>12454</v>
      </c>
      <c r="AO142" s="2" t="s">
        <v>6122</v>
      </c>
      <c r="AP142" s="2" t="s">
        <v>12803</v>
      </c>
      <c r="AQ142" s="2" t="s">
        <v>12129</v>
      </c>
      <c r="AR142" s="2" t="s">
        <v>12804</v>
      </c>
      <c r="AS142" s="2" t="s">
        <v>12805</v>
      </c>
      <c r="AT142" s="2" t="s">
        <v>12352</v>
      </c>
      <c r="AU142" s="2">
        <v>2008.0</v>
      </c>
      <c r="AV142" s="2">
        <v>141.0</v>
      </c>
      <c r="AW142" s="2">
        <v>7.0</v>
      </c>
      <c r="AX142" s="2" t="s">
        <v>12129</v>
      </c>
      <c r="AY142" s="2" t="s">
        <v>12129</v>
      </c>
      <c r="AZ142" s="2" t="s">
        <v>12129</v>
      </c>
      <c r="BA142" s="2" t="s">
        <v>12129</v>
      </c>
      <c r="BB142" s="2">
        <v>1745.0</v>
      </c>
      <c r="BC142" s="2">
        <v>1757.0</v>
      </c>
      <c r="BD142" s="2" t="s">
        <v>12129</v>
      </c>
      <c r="BE142" s="2" t="s">
        <v>15078</v>
      </c>
      <c r="BF142" s="15" t="str">
        <f>HYPERLINK("http://dx.doi.org/10.1016/j.biocon.2008.04.024","http://dx.doi.org/10.1016/j.biocon.2008.04.024")</f>
        <v>http://dx.doi.org/10.1016/j.biocon.2008.04.024</v>
      </c>
      <c r="BG142" s="2" t="s">
        <v>12129</v>
      </c>
      <c r="BH142" s="2" t="s">
        <v>12129</v>
      </c>
      <c r="BI142" s="2">
        <v>13.0</v>
      </c>
      <c r="BJ142" s="2" t="s">
        <v>252</v>
      </c>
      <c r="BK142" s="2" t="s">
        <v>12176</v>
      </c>
      <c r="BL142" s="2" t="s">
        <v>12376</v>
      </c>
      <c r="BM142" s="2" t="s">
        <v>15079</v>
      </c>
      <c r="BN142" s="2" t="s">
        <v>12129</v>
      </c>
      <c r="BO142" s="2" t="s">
        <v>12129</v>
      </c>
      <c r="BP142" s="2" t="s">
        <v>12129</v>
      </c>
      <c r="BQ142" s="2" t="s">
        <v>12129</v>
      </c>
      <c r="BR142" s="2" t="s">
        <v>12152</v>
      </c>
      <c r="BS142" s="2" t="s">
        <v>15080</v>
      </c>
      <c r="BT142" s="2" t="str">
        <f>HYPERLINK("https%3A%2F%2Fwww.webofscience.com%2Fwos%2Fwoscc%2Ffull-record%2FWOS:000258306300002","View Full Record in Web of Science")</f>
        <v>View Full Record in Web of Science</v>
      </c>
    </row>
    <row r="143" ht="12.75" customHeight="1">
      <c r="A143" s="2" t="s">
        <v>23</v>
      </c>
      <c r="B143" s="2" t="s">
        <v>15081</v>
      </c>
      <c r="C143" s="2" t="s">
        <v>12129</v>
      </c>
      <c r="D143" s="2" t="s">
        <v>12129</v>
      </c>
      <c r="E143" s="2" t="s">
        <v>12129</v>
      </c>
      <c r="F143" s="2" t="s">
        <v>15082</v>
      </c>
      <c r="G143" s="2" t="s">
        <v>12129</v>
      </c>
      <c r="H143" s="2" t="s">
        <v>12129</v>
      </c>
      <c r="I143" s="2" t="s">
        <v>15083</v>
      </c>
      <c r="J143" s="2" t="s">
        <v>15084</v>
      </c>
      <c r="K143" s="2" t="s">
        <v>12129</v>
      </c>
      <c r="L143" s="2" t="s">
        <v>12129</v>
      </c>
      <c r="M143" s="2" t="s">
        <v>3263</v>
      </c>
      <c r="N143" s="2" t="s">
        <v>35</v>
      </c>
      <c r="O143" s="2" t="s">
        <v>12129</v>
      </c>
      <c r="P143" s="2" t="s">
        <v>12129</v>
      </c>
      <c r="Q143" s="2" t="s">
        <v>12129</v>
      </c>
      <c r="R143" s="2" t="s">
        <v>12129</v>
      </c>
      <c r="S143" s="2" t="s">
        <v>12129</v>
      </c>
      <c r="T143" s="2" t="s">
        <v>15085</v>
      </c>
      <c r="U143" s="2" t="s">
        <v>15086</v>
      </c>
      <c r="V143" s="2" t="s">
        <v>15087</v>
      </c>
      <c r="W143" s="2" t="s">
        <v>15088</v>
      </c>
      <c r="X143" s="2" t="s">
        <v>15089</v>
      </c>
      <c r="Y143" s="2" t="s">
        <v>15090</v>
      </c>
      <c r="Z143" s="2" t="s">
        <v>15091</v>
      </c>
      <c r="AA143" s="2" t="s">
        <v>12129</v>
      </c>
      <c r="AB143" s="2" t="s">
        <v>15092</v>
      </c>
      <c r="AC143" s="2" t="s">
        <v>12129</v>
      </c>
      <c r="AD143" s="2" t="s">
        <v>12129</v>
      </c>
      <c r="AE143" s="2" t="s">
        <v>12129</v>
      </c>
      <c r="AF143" s="2" t="s">
        <v>12129</v>
      </c>
      <c r="AG143" s="2">
        <v>37.0</v>
      </c>
      <c r="AH143" s="2">
        <v>390.0</v>
      </c>
      <c r="AI143" s="2">
        <v>460.0</v>
      </c>
      <c r="AJ143" s="2">
        <v>5.0</v>
      </c>
      <c r="AK143" s="2">
        <v>223.0</v>
      </c>
      <c r="AL143" s="2" t="s">
        <v>13181</v>
      </c>
      <c r="AM143" s="2" t="s">
        <v>13182</v>
      </c>
      <c r="AN143" s="2" t="s">
        <v>13183</v>
      </c>
      <c r="AO143" s="2" t="s">
        <v>15093</v>
      </c>
      <c r="AP143" s="2" t="s">
        <v>15094</v>
      </c>
      <c r="AQ143" s="2" t="s">
        <v>12129</v>
      </c>
      <c r="AR143" s="2" t="s">
        <v>15095</v>
      </c>
      <c r="AS143" s="2" t="s">
        <v>15096</v>
      </c>
      <c r="AT143" s="2" t="s">
        <v>12561</v>
      </c>
      <c r="AU143" s="2">
        <v>2008.0</v>
      </c>
      <c r="AV143" s="2">
        <v>10.0</v>
      </c>
      <c r="AW143" s="2">
        <v>4.0</v>
      </c>
      <c r="AX143" s="2" t="s">
        <v>12129</v>
      </c>
      <c r="AY143" s="2" t="s">
        <v>12129</v>
      </c>
      <c r="AZ143" s="2" t="s">
        <v>12129</v>
      </c>
      <c r="BA143" s="2" t="s">
        <v>12129</v>
      </c>
      <c r="BB143" s="2">
        <v>391.0</v>
      </c>
      <c r="BC143" s="2">
        <v>398.0</v>
      </c>
      <c r="BD143" s="2" t="s">
        <v>12129</v>
      </c>
      <c r="BE143" s="2" t="s">
        <v>15097</v>
      </c>
      <c r="BF143" s="15" t="str">
        <f>HYPERLINK("http://dx.doi.org/10.1007/s10530-007-9138-5","http://dx.doi.org/10.1007/s10530-007-9138-5")</f>
        <v>http://dx.doi.org/10.1007/s10530-007-9138-5</v>
      </c>
      <c r="BG143" s="2" t="s">
        <v>12129</v>
      </c>
      <c r="BH143" s="2" t="s">
        <v>12129</v>
      </c>
      <c r="BI143" s="2">
        <v>8.0</v>
      </c>
      <c r="BJ143" s="2" t="s">
        <v>1121</v>
      </c>
      <c r="BK143" s="2" t="s">
        <v>12729</v>
      </c>
      <c r="BL143" s="2" t="s">
        <v>12376</v>
      </c>
      <c r="BM143" s="2" t="s">
        <v>15098</v>
      </c>
      <c r="BN143" s="2" t="s">
        <v>12129</v>
      </c>
      <c r="BO143" s="2" t="s">
        <v>12129</v>
      </c>
      <c r="BP143" s="2" t="s">
        <v>12129</v>
      </c>
      <c r="BQ143" s="2" t="s">
        <v>12129</v>
      </c>
      <c r="BR143" s="2" t="s">
        <v>12152</v>
      </c>
      <c r="BS143" s="2" t="s">
        <v>15099</v>
      </c>
      <c r="BT143" s="2" t="str">
        <f>HYPERLINK("https%3A%2F%2Fwww.webofscience.com%2Fwos%2Fwoscc%2Ffull-record%2FWOS:000254086900002","View Full Record in Web of Science")</f>
        <v>View Full Record in Web of Science</v>
      </c>
    </row>
    <row r="144" ht="12.75" customHeight="1">
      <c r="A144" s="2" t="s">
        <v>633</v>
      </c>
      <c r="B144" s="2" t="s">
        <v>15100</v>
      </c>
      <c r="C144" s="2" t="s">
        <v>12129</v>
      </c>
      <c r="D144" s="2" t="s">
        <v>15101</v>
      </c>
      <c r="E144" s="2" t="s">
        <v>12129</v>
      </c>
      <c r="F144" s="2" t="s">
        <v>15102</v>
      </c>
      <c r="G144" s="2" t="s">
        <v>12129</v>
      </c>
      <c r="H144" s="2" t="s">
        <v>12129</v>
      </c>
      <c r="I144" s="2" t="s">
        <v>15103</v>
      </c>
      <c r="J144" s="2" t="s">
        <v>15104</v>
      </c>
      <c r="K144" s="2" t="s">
        <v>15105</v>
      </c>
      <c r="L144" s="2" t="s">
        <v>12129</v>
      </c>
      <c r="M144" s="2" t="s">
        <v>3263</v>
      </c>
      <c r="N144" s="2" t="s">
        <v>12212</v>
      </c>
      <c r="O144" s="2" t="s">
        <v>12129</v>
      </c>
      <c r="P144" s="2" t="s">
        <v>12129</v>
      </c>
      <c r="Q144" s="2" t="s">
        <v>12129</v>
      </c>
      <c r="R144" s="2" t="s">
        <v>12129</v>
      </c>
      <c r="S144" s="2" t="s">
        <v>12129</v>
      </c>
      <c r="T144" s="2" t="s">
        <v>12129</v>
      </c>
      <c r="U144" s="2" t="s">
        <v>15106</v>
      </c>
      <c r="V144" s="2" t="s">
        <v>15107</v>
      </c>
      <c r="W144" s="2" t="s">
        <v>15108</v>
      </c>
      <c r="X144" s="2" t="s">
        <v>15109</v>
      </c>
      <c r="Y144" s="2" t="s">
        <v>15110</v>
      </c>
      <c r="Z144" s="2" t="s">
        <v>12129</v>
      </c>
      <c r="AA144" s="2" t="s">
        <v>15111</v>
      </c>
      <c r="AB144" s="2" t="s">
        <v>15112</v>
      </c>
      <c r="AC144" s="2" t="s">
        <v>12129</v>
      </c>
      <c r="AD144" s="2" t="s">
        <v>12129</v>
      </c>
      <c r="AE144" s="2" t="s">
        <v>12129</v>
      </c>
      <c r="AF144" s="2" t="s">
        <v>12129</v>
      </c>
      <c r="AG144" s="2">
        <v>169.0</v>
      </c>
      <c r="AH144" s="2">
        <v>163.0</v>
      </c>
      <c r="AI144" s="2">
        <v>205.0</v>
      </c>
      <c r="AJ144" s="2">
        <v>1.0</v>
      </c>
      <c r="AK144" s="2">
        <v>20.0</v>
      </c>
      <c r="AL144" s="2" t="s">
        <v>15113</v>
      </c>
      <c r="AM144" s="2" t="s">
        <v>13473</v>
      </c>
      <c r="AN144" s="2" t="s">
        <v>15114</v>
      </c>
      <c r="AO144" s="2" t="s">
        <v>15115</v>
      </c>
      <c r="AP144" s="2" t="s">
        <v>12129</v>
      </c>
      <c r="AQ144" s="2" t="s">
        <v>15116</v>
      </c>
      <c r="AR144" s="2" t="s">
        <v>15117</v>
      </c>
      <c r="AS144" s="2" t="s">
        <v>15118</v>
      </c>
      <c r="AT144" s="2" t="s">
        <v>12129</v>
      </c>
      <c r="AU144" s="2">
        <v>2008.0</v>
      </c>
      <c r="AV144" s="2" t="s">
        <v>12129</v>
      </c>
      <c r="AW144" s="2" t="s">
        <v>12129</v>
      </c>
      <c r="AX144" s="2" t="s">
        <v>12129</v>
      </c>
      <c r="AY144" s="2" t="s">
        <v>12129</v>
      </c>
      <c r="AZ144" s="2" t="s">
        <v>12129</v>
      </c>
      <c r="BA144" s="2" t="s">
        <v>12129</v>
      </c>
      <c r="BB144" s="2">
        <v>107.0</v>
      </c>
      <c r="BC144" s="2">
        <v>146.0</v>
      </c>
      <c r="BD144" s="2" t="s">
        <v>12129</v>
      </c>
      <c r="BE144" s="2" t="s">
        <v>15119</v>
      </c>
      <c r="BF144" s="15" t="str">
        <f>HYPERLINK("http://dx.doi.org/10.1016/B978-012088449-0.50007-8","http://dx.doi.org/10.1016/B978-012088449-0.50007-8")</f>
        <v>http://dx.doi.org/10.1016/B978-012088449-0.50007-8</v>
      </c>
      <c r="BG144" s="2" t="s">
        <v>12129</v>
      </c>
      <c r="BH144" s="2" t="s">
        <v>12129</v>
      </c>
      <c r="BI144" s="2">
        <v>40.0</v>
      </c>
      <c r="BJ144" s="2" t="s">
        <v>127</v>
      </c>
      <c r="BK144" s="2" t="s">
        <v>12223</v>
      </c>
      <c r="BL144" s="2" t="s">
        <v>12303</v>
      </c>
      <c r="BM144" s="2" t="s">
        <v>15120</v>
      </c>
      <c r="BN144" s="2" t="s">
        <v>12129</v>
      </c>
      <c r="BO144" s="2" t="s">
        <v>12129</v>
      </c>
      <c r="BP144" s="2" t="s">
        <v>12129</v>
      </c>
      <c r="BQ144" s="2" t="s">
        <v>12129</v>
      </c>
      <c r="BR144" s="2" t="s">
        <v>12152</v>
      </c>
      <c r="BS144" s="2" t="s">
        <v>15121</v>
      </c>
      <c r="BT144" s="2" t="str">
        <f>HYPERLINK("https%3A%2F%2Fwww.webofscience.com%2Fwos%2Fwoscc%2Ffull-record%2FWOS:000318618900006","View Full Record in Web of Science")</f>
        <v>View Full Record in Web of Science</v>
      </c>
    </row>
    <row r="145" ht="12.75" customHeight="1">
      <c r="A145" s="2" t="s">
        <v>23</v>
      </c>
      <c r="B145" s="2" t="s">
        <v>15122</v>
      </c>
      <c r="C145" s="2" t="s">
        <v>12129</v>
      </c>
      <c r="D145" s="2" t="s">
        <v>12129</v>
      </c>
      <c r="E145" s="2" t="s">
        <v>12129</v>
      </c>
      <c r="F145" s="2" t="s">
        <v>15123</v>
      </c>
      <c r="G145" s="2" t="s">
        <v>12129</v>
      </c>
      <c r="H145" s="2" t="s">
        <v>12129</v>
      </c>
      <c r="I145" s="2" t="s">
        <v>15124</v>
      </c>
      <c r="J145" s="2" t="s">
        <v>14355</v>
      </c>
      <c r="K145" s="2" t="s">
        <v>12129</v>
      </c>
      <c r="L145" s="2" t="s">
        <v>12129</v>
      </c>
      <c r="M145" s="2" t="s">
        <v>3263</v>
      </c>
      <c r="N145" s="2" t="s">
        <v>35</v>
      </c>
      <c r="O145" s="2" t="s">
        <v>12129</v>
      </c>
      <c r="P145" s="2" t="s">
        <v>12129</v>
      </c>
      <c r="Q145" s="2" t="s">
        <v>12129</v>
      </c>
      <c r="R145" s="2" t="s">
        <v>12129</v>
      </c>
      <c r="S145" s="2" t="s">
        <v>12129</v>
      </c>
      <c r="T145" s="2" t="s">
        <v>15125</v>
      </c>
      <c r="U145" s="2" t="s">
        <v>15126</v>
      </c>
      <c r="V145" s="2" t="s">
        <v>15127</v>
      </c>
      <c r="W145" s="2" t="s">
        <v>15128</v>
      </c>
      <c r="X145" s="2" t="s">
        <v>15129</v>
      </c>
      <c r="Y145" s="2" t="s">
        <v>15130</v>
      </c>
      <c r="Z145" s="2" t="s">
        <v>15131</v>
      </c>
      <c r="AA145" s="2" t="s">
        <v>15132</v>
      </c>
      <c r="AB145" s="2" t="s">
        <v>12129</v>
      </c>
      <c r="AC145" s="2" t="s">
        <v>12129</v>
      </c>
      <c r="AD145" s="2" t="s">
        <v>12129</v>
      </c>
      <c r="AE145" s="2" t="s">
        <v>12129</v>
      </c>
      <c r="AF145" s="2" t="s">
        <v>12129</v>
      </c>
      <c r="AG145" s="2">
        <v>23.0</v>
      </c>
      <c r="AH145" s="2">
        <v>28.0</v>
      </c>
      <c r="AI145" s="2">
        <v>33.0</v>
      </c>
      <c r="AJ145" s="2">
        <v>0.0</v>
      </c>
      <c r="AK145" s="2">
        <v>31.0</v>
      </c>
      <c r="AL145" s="2" t="s">
        <v>14365</v>
      </c>
      <c r="AM145" s="2" t="s">
        <v>13961</v>
      </c>
      <c r="AN145" s="2" t="s">
        <v>14505</v>
      </c>
      <c r="AO145" s="2" t="s">
        <v>14368</v>
      </c>
      <c r="AP145" s="2" t="s">
        <v>14369</v>
      </c>
      <c r="AQ145" s="2" t="s">
        <v>12129</v>
      </c>
      <c r="AR145" s="2" t="s">
        <v>14355</v>
      </c>
      <c r="AS145" s="2" t="s">
        <v>3208</v>
      </c>
      <c r="AT145" s="2" t="s">
        <v>12561</v>
      </c>
      <c r="AU145" s="2">
        <v>2007.0</v>
      </c>
      <c r="AV145" s="2">
        <v>41.0</v>
      </c>
      <c r="AW145" s="2">
        <v>2.0</v>
      </c>
      <c r="AX145" s="2" t="s">
        <v>12129</v>
      </c>
      <c r="AY145" s="2" t="s">
        <v>12129</v>
      </c>
      <c r="AZ145" s="2" t="s">
        <v>12129</v>
      </c>
      <c r="BA145" s="2" t="s">
        <v>12129</v>
      </c>
      <c r="BB145" s="2">
        <v>263.0</v>
      </c>
      <c r="BC145" s="2">
        <v>271.0</v>
      </c>
      <c r="BD145" s="2" t="s">
        <v>12129</v>
      </c>
      <c r="BE145" s="2" t="s">
        <v>15133</v>
      </c>
      <c r="BF145" s="15" t="str">
        <f>HYPERLINK("http://dx.doi.org/10.1017/S0030605307001883","http://dx.doi.org/10.1017/S0030605307001883")</f>
        <v>http://dx.doi.org/10.1017/S0030605307001883</v>
      </c>
      <c r="BG145" s="2" t="s">
        <v>12129</v>
      </c>
      <c r="BH145" s="2" t="s">
        <v>12129</v>
      </c>
      <c r="BI145" s="2">
        <v>9.0</v>
      </c>
      <c r="BJ145" s="2" t="s">
        <v>1121</v>
      </c>
      <c r="BK145" s="2" t="s">
        <v>12176</v>
      </c>
      <c r="BL145" s="2" t="s">
        <v>12376</v>
      </c>
      <c r="BM145" s="2" t="s">
        <v>15134</v>
      </c>
      <c r="BN145" s="2" t="s">
        <v>12129</v>
      </c>
      <c r="BO145" s="2" t="s">
        <v>12538</v>
      </c>
      <c r="BP145" s="2" t="s">
        <v>12129</v>
      </c>
      <c r="BQ145" s="2" t="s">
        <v>12129</v>
      </c>
      <c r="BR145" s="2" t="s">
        <v>12152</v>
      </c>
      <c r="BS145" s="2" t="s">
        <v>15135</v>
      </c>
      <c r="BT145" s="2" t="str">
        <f>HYPERLINK("https%3A%2F%2Fwww.webofscience.com%2Fwos%2Fwoscc%2Ffull-record%2FWOS:000247440700024","View Full Record in Web of Science")</f>
        <v>View Full Record in Web of Science</v>
      </c>
    </row>
    <row r="146" ht="12.75" customHeight="1">
      <c r="A146" s="2" t="s">
        <v>23</v>
      </c>
      <c r="B146" s="2" t="s">
        <v>15136</v>
      </c>
      <c r="C146" s="2" t="s">
        <v>12129</v>
      </c>
      <c r="D146" s="2" t="s">
        <v>12129</v>
      </c>
      <c r="E146" s="2" t="s">
        <v>12129</v>
      </c>
      <c r="F146" s="2" t="s">
        <v>15137</v>
      </c>
      <c r="G146" s="2" t="s">
        <v>12129</v>
      </c>
      <c r="H146" s="2" t="s">
        <v>12129</v>
      </c>
      <c r="I146" s="2" t="s">
        <v>15138</v>
      </c>
      <c r="J146" s="2" t="s">
        <v>15139</v>
      </c>
      <c r="K146" s="2" t="s">
        <v>12129</v>
      </c>
      <c r="L146" s="2" t="s">
        <v>12129</v>
      </c>
      <c r="M146" s="2" t="s">
        <v>3263</v>
      </c>
      <c r="N146" s="2" t="s">
        <v>35</v>
      </c>
      <c r="O146" s="2" t="s">
        <v>12129</v>
      </c>
      <c r="P146" s="2" t="s">
        <v>12129</v>
      </c>
      <c r="Q146" s="2" t="s">
        <v>12129</v>
      </c>
      <c r="R146" s="2" t="s">
        <v>12129</v>
      </c>
      <c r="S146" s="2" t="s">
        <v>12129</v>
      </c>
      <c r="T146" s="2" t="s">
        <v>15140</v>
      </c>
      <c r="U146" s="2" t="s">
        <v>15141</v>
      </c>
      <c r="V146" s="2" t="s">
        <v>15142</v>
      </c>
      <c r="W146" s="2" t="s">
        <v>15143</v>
      </c>
      <c r="X146" s="2" t="s">
        <v>15144</v>
      </c>
      <c r="Y146" s="2" t="s">
        <v>15145</v>
      </c>
      <c r="Z146" s="2" t="s">
        <v>15146</v>
      </c>
      <c r="AA146" s="2" t="s">
        <v>15147</v>
      </c>
      <c r="AB146" s="2" t="s">
        <v>15148</v>
      </c>
      <c r="AC146" s="2" t="s">
        <v>12129</v>
      </c>
      <c r="AD146" s="2" t="s">
        <v>12129</v>
      </c>
      <c r="AE146" s="2" t="s">
        <v>12129</v>
      </c>
      <c r="AF146" s="2" t="s">
        <v>12129</v>
      </c>
      <c r="AG146" s="2">
        <v>45.0</v>
      </c>
      <c r="AH146" s="2">
        <v>19.0</v>
      </c>
      <c r="AI146" s="2">
        <v>24.0</v>
      </c>
      <c r="AJ146" s="2">
        <v>0.0</v>
      </c>
      <c r="AK146" s="2">
        <v>49.0</v>
      </c>
      <c r="AL146" s="2" t="s">
        <v>13096</v>
      </c>
      <c r="AM146" s="2" t="s">
        <v>13097</v>
      </c>
      <c r="AN146" s="2" t="s">
        <v>15149</v>
      </c>
      <c r="AO146" s="2" t="s">
        <v>15150</v>
      </c>
      <c r="AP146" s="2" t="s">
        <v>12129</v>
      </c>
      <c r="AQ146" s="2" t="s">
        <v>12129</v>
      </c>
      <c r="AR146" s="2" t="s">
        <v>15151</v>
      </c>
      <c r="AS146" s="2" t="s">
        <v>15152</v>
      </c>
      <c r="AT146" s="2" t="s">
        <v>14233</v>
      </c>
      <c r="AU146" s="2">
        <v>2007.0</v>
      </c>
      <c r="AV146" s="2">
        <v>10.0</v>
      </c>
      <c r="AW146" s="2">
        <v>2.0</v>
      </c>
      <c r="AX146" s="2" t="s">
        <v>12129</v>
      </c>
      <c r="AY146" s="2" t="s">
        <v>12129</v>
      </c>
      <c r="AZ146" s="2" t="s">
        <v>12129</v>
      </c>
      <c r="BA146" s="2" t="s">
        <v>12129</v>
      </c>
      <c r="BB146" s="2">
        <v>140.0</v>
      </c>
      <c r="BC146" s="2">
        <v>152.0</v>
      </c>
      <c r="BD146" s="2" t="s">
        <v>12129</v>
      </c>
      <c r="BE146" s="2" t="s">
        <v>15153</v>
      </c>
      <c r="BF146" s="15" t="str">
        <f>HYPERLINK("http://dx.doi.org/10.1080/14634980701350686","http://dx.doi.org/10.1080/14634980701350686")</f>
        <v>http://dx.doi.org/10.1080/14634980701350686</v>
      </c>
      <c r="BG146" s="2" t="s">
        <v>12129</v>
      </c>
      <c r="BH146" s="2" t="s">
        <v>12129</v>
      </c>
      <c r="BI146" s="2">
        <v>13.0</v>
      </c>
      <c r="BJ146" s="2" t="s">
        <v>15154</v>
      </c>
      <c r="BK146" s="2" t="s">
        <v>12176</v>
      </c>
      <c r="BL146" s="2" t="s">
        <v>12663</v>
      </c>
      <c r="BM146" s="2" t="s">
        <v>15155</v>
      </c>
      <c r="BN146" s="2" t="s">
        <v>12129</v>
      </c>
      <c r="BO146" s="2" t="s">
        <v>12129</v>
      </c>
      <c r="BP146" s="2" t="s">
        <v>12129</v>
      </c>
      <c r="BQ146" s="2" t="s">
        <v>12129</v>
      </c>
      <c r="BR146" s="2" t="s">
        <v>12152</v>
      </c>
      <c r="BS146" s="2" t="s">
        <v>15156</v>
      </c>
      <c r="BT146" s="2" t="str">
        <f>HYPERLINK("https%3A%2F%2Fwww.webofscience.com%2Fwos%2Fwoscc%2Ffull-record%2FWOS:000247870000003","View Full Record in Web of Science")</f>
        <v>View Full Record in Web of Science</v>
      </c>
    </row>
    <row r="147" ht="12.75" customHeight="1">
      <c r="A147" s="2" t="s">
        <v>23</v>
      </c>
      <c r="B147" s="2" t="s">
        <v>15157</v>
      </c>
      <c r="C147" s="2" t="s">
        <v>12129</v>
      </c>
      <c r="D147" s="2" t="s">
        <v>12129</v>
      </c>
      <c r="E147" s="2" t="s">
        <v>12129</v>
      </c>
      <c r="F147" s="2" t="s">
        <v>15158</v>
      </c>
      <c r="G147" s="2" t="s">
        <v>12129</v>
      </c>
      <c r="H147" s="2" t="s">
        <v>12129</v>
      </c>
      <c r="I147" s="2" t="s">
        <v>15159</v>
      </c>
      <c r="J147" s="2" t="s">
        <v>15160</v>
      </c>
      <c r="K147" s="2" t="s">
        <v>12129</v>
      </c>
      <c r="L147" s="2" t="s">
        <v>12129</v>
      </c>
      <c r="M147" s="2" t="s">
        <v>3263</v>
      </c>
      <c r="N147" s="2" t="s">
        <v>35</v>
      </c>
      <c r="O147" s="2" t="s">
        <v>12129</v>
      </c>
      <c r="P147" s="2" t="s">
        <v>12129</v>
      </c>
      <c r="Q147" s="2" t="s">
        <v>12129</v>
      </c>
      <c r="R147" s="2" t="s">
        <v>12129</v>
      </c>
      <c r="S147" s="2" t="s">
        <v>12129</v>
      </c>
      <c r="T147" s="2" t="s">
        <v>15161</v>
      </c>
      <c r="U147" s="2" t="s">
        <v>15162</v>
      </c>
      <c r="V147" s="2" t="s">
        <v>15163</v>
      </c>
      <c r="W147" s="2" t="s">
        <v>15164</v>
      </c>
      <c r="X147" s="2" t="s">
        <v>15165</v>
      </c>
      <c r="Y147" s="2" t="s">
        <v>15166</v>
      </c>
      <c r="Z147" s="2" t="s">
        <v>15167</v>
      </c>
      <c r="AA147" s="2" t="s">
        <v>15168</v>
      </c>
      <c r="AB147" s="2" t="s">
        <v>15169</v>
      </c>
      <c r="AC147" s="2" t="s">
        <v>12129</v>
      </c>
      <c r="AD147" s="2" t="s">
        <v>12129</v>
      </c>
      <c r="AE147" s="2" t="s">
        <v>12129</v>
      </c>
      <c r="AF147" s="2" t="s">
        <v>12129</v>
      </c>
      <c r="AG147" s="2">
        <v>77.0</v>
      </c>
      <c r="AH147" s="2">
        <v>105.0</v>
      </c>
      <c r="AI147" s="2">
        <v>114.0</v>
      </c>
      <c r="AJ147" s="2">
        <v>0.0</v>
      </c>
      <c r="AK147" s="2">
        <v>69.0</v>
      </c>
      <c r="AL147" s="2" t="s">
        <v>13181</v>
      </c>
      <c r="AM147" s="2" t="s">
        <v>13961</v>
      </c>
      <c r="AN147" s="2" t="s">
        <v>15170</v>
      </c>
      <c r="AO147" s="2" t="s">
        <v>15171</v>
      </c>
      <c r="AP147" s="2" t="s">
        <v>15172</v>
      </c>
      <c r="AQ147" s="2" t="s">
        <v>12129</v>
      </c>
      <c r="AR147" s="2" t="s">
        <v>15160</v>
      </c>
      <c r="AS147" s="2" t="s">
        <v>15173</v>
      </c>
      <c r="AT147" s="2" t="s">
        <v>13078</v>
      </c>
      <c r="AU147" s="2">
        <v>2007.0</v>
      </c>
      <c r="AV147" s="2">
        <v>151.0</v>
      </c>
      <c r="AW147" s="2">
        <v>3.0</v>
      </c>
      <c r="AX147" s="2" t="s">
        <v>12129</v>
      </c>
      <c r="AY147" s="2" t="s">
        <v>12129</v>
      </c>
      <c r="AZ147" s="2" t="s">
        <v>12129</v>
      </c>
      <c r="BA147" s="2" t="s">
        <v>12129</v>
      </c>
      <c r="BB147" s="2">
        <v>544.0</v>
      </c>
      <c r="BC147" s="2">
        <v>559.0</v>
      </c>
      <c r="BD147" s="2" t="s">
        <v>12129</v>
      </c>
      <c r="BE147" s="2" t="s">
        <v>15174</v>
      </c>
      <c r="BF147" s="15" t="str">
        <f>HYPERLINK("http://dx.doi.org/10.1007/s00442-006-0655-1","http://dx.doi.org/10.1007/s00442-006-0655-1")</f>
        <v>http://dx.doi.org/10.1007/s00442-006-0655-1</v>
      </c>
      <c r="BG147" s="2" t="s">
        <v>12129</v>
      </c>
      <c r="BH147" s="2" t="s">
        <v>12129</v>
      </c>
      <c r="BI147" s="2">
        <v>16.0</v>
      </c>
      <c r="BJ147" s="2" t="s">
        <v>814</v>
      </c>
      <c r="BK147" s="2" t="s">
        <v>12176</v>
      </c>
      <c r="BL147" s="2" t="s">
        <v>12251</v>
      </c>
      <c r="BM147" s="2" t="s">
        <v>15175</v>
      </c>
      <c r="BN147" s="2">
        <v>1.7242905E7</v>
      </c>
      <c r="BO147" s="2" t="s">
        <v>12129</v>
      </c>
      <c r="BP147" s="2" t="s">
        <v>12129</v>
      </c>
      <c r="BQ147" s="2" t="s">
        <v>12129</v>
      </c>
      <c r="BR147" s="2" t="s">
        <v>12152</v>
      </c>
      <c r="BS147" s="2" t="s">
        <v>15176</v>
      </c>
      <c r="BT147" s="2" t="str">
        <f>HYPERLINK("https%3A%2F%2Fwww.webofscience.com%2Fwos%2Fwoscc%2Ffull-record%2FWOS:000244692700016","View Full Record in Web of Science")</f>
        <v>View Full Record in Web of Science</v>
      </c>
    </row>
    <row r="148" ht="12.75" customHeight="1">
      <c r="A148" s="2" t="s">
        <v>23</v>
      </c>
      <c r="B148" s="2" t="s">
        <v>15177</v>
      </c>
      <c r="C148" s="2" t="s">
        <v>12129</v>
      </c>
      <c r="D148" s="2" t="s">
        <v>12129</v>
      </c>
      <c r="E148" s="2" t="s">
        <v>12129</v>
      </c>
      <c r="F148" s="2" t="s">
        <v>15178</v>
      </c>
      <c r="G148" s="2" t="s">
        <v>12129</v>
      </c>
      <c r="H148" s="2" t="s">
        <v>12129</v>
      </c>
      <c r="I148" s="2" t="s">
        <v>15179</v>
      </c>
      <c r="J148" s="2" t="s">
        <v>224</v>
      </c>
      <c r="K148" s="2" t="s">
        <v>12129</v>
      </c>
      <c r="L148" s="2" t="s">
        <v>12129</v>
      </c>
      <c r="M148" s="2" t="s">
        <v>3263</v>
      </c>
      <c r="N148" s="2" t="s">
        <v>35</v>
      </c>
      <c r="O148" s="2" t="s">
        <v>12129</v>
      </c>
      <c r="P148" s="2" t="s">
        <v>12129</v>
      </c>
      <c r="Q148" s="2" t="s">
        <v>12129</v>
      </c>
      <c r="R148" s="2" t="s">
        <v>12129</v>
      </c>
      <c r="S148" s="2" t="s">
        <v>12129</v>
      </c>
      <c r="T148" s="2" t="s">
        <v>15180</v>
      </c>
      <c r="U148" s="2" t="s">
        <v>15181</v>
      </c>
      <c r="V148" s="2" t="s">
        <v>15182</v>
      </c>
      <c r="W148" s="2" t="s">
        <v>15183</v>
      </c>
      <c r="X148" s="2" t="s">
        <v>15184</v>
      </c>
      <c r="Y148" s="2" t="s">
        <v>15185</v>
      </c>
      <c r="Z148" s="2" t="s">
        <v>15186</v>
      </c>
      <c r="AA148" s="2" t="s">
        <v>15187</v>
      </c>
      <c r="AB148" s="2" t="s">
        <v>15188</v>
      </c>
      <c r="AC148" s="2" t="s">
        <v>12129</v>
      </c>
      <c r="AD148" s="2" t="s">
        <v>12129</v>
      </c>
      <c r="AE148" s="2" t="s">
        <v>12129</v>
      </c>
      <c r="AF148" s="2" t="s">
        <v>12129</v>
      </c>
      <c r="AG148" s="2">
        <v>55.0</v>
      </c>
      <c r="AH148" s="2">
        <v>58.0</v>
      </c>
      <c r="AI148" s="2">
        <v>62.0</v>
      </c>
      <c r="AJ148" s="2">
        <v>0.0</v>
      </c>
      <c r="AK148" s="2">
        <v>20.0</v>
      </c>
      <c r="AL148" s="2" t="s">
        <v>13625</v>
      </c>
      <c r="AM148" s="2" t="s">
        <v>12170</v>
      </c>
      <c r="AN148" s="2" t="s">
        <v>13626</v>
      </c>
      <c r="AO148" s="2" t="s">
        <v>15189</v>
      </c>
      <c r="AP148" s="2" t="s">
        <v>15190</v>
      </c>
      <c r="AQ148" s="2" t="s">
        <v>12129</v>
      </c>
      <c r="AR148" s="2" t="s">
        <v>15191</v>
      </c>
      <c r="AS148" s="2" t="s">
        <v>15192</v>
      </c>
      <c r="AT148" s="2" t="s">
        <v>12660</v>
      </c>
      <c r="AU148" s="2">
        <v>2007.0</v>
      </c>
      <c r="AV148" s="2">
        <v>71.0</v>
      </c>
      <c r="AW148" s="2" t="s">
        <v>5460</v>
      </c>
      <c r="AX148" s="2" t="s">
        <v>12129</v>
      </c>
      <c r="AY148" s="2" t="s">
        <v>12129</v>
      </c>
      <c r="AZ148" s="2" t="s">
        <v>12129</v>
      </c>
      <c r="BA148" s="2" t="s">
        <v>12129</v>
      </c>
      <c r="BB148" s="2">
        <v>429.0</v>
      </c>
      <c r="BC148" s="2">
        <v>442.0</v>
      </c>
      <c r="BD148" s="2" t="s">
        <v>12129</v>
      </c>
      <c r="BE148" s="2" t="s">
        <v>15193</v>
      </c>
      <c r="BF148" s="15" t="str">
        <f>HYPERLINK("http://dx.doi.org/10.1016/j.ecss.2006.08.018","http://dx.doi.org/10.1016/j.ecss.2006.08.018")</f>
        <v>http://dx.doi.org/10.1016/j.ecss.2006.08.018</v>
      </c>
      <c r="BG148" s="2" t="s">
        <v>12129</v>
      </c>
      <c r="BH148" s="2" t="s">
        <v>12129</v>
      </c>
      <c r="BI148" s="2">
        <v>14.0</v>
      </c>
      <c r="BJ148" s="2" t="s">
        <v>228</v>
      </c>
      <c r="BK148" s="2" t="s">
        <v>12176</v>
      </c>
      <c r="BL148" s="2" t="s">
        <v>228</v>
      </c>
      <c r="BM148" s="2" t="s">
        <v>15194</v>
      </c>
      <c r="BN148" s="2" t="s">
        <v>12129</v>
      </c>
      <c r="BO148" s="2" t="s">
        <v>12129</v>
      </c>
      <c r="BP148" s="2" t="s">
        <v>12129</v>
      </c>
      <c r="BQ148" s="2" t="s">
        <v>12129</v>
      </c>
      <c r="BR148" s="2" t="s">
        <v>12152</v>
      </c>
      <c r="BS148" s="2" t="s">
        <v>15195</v>
      </c>
      <c r="BT148" s="2" t="str">
        <f>HYPERLINK("https%3A%2F%2Fwww.webofscience.com%2Fwos%2Fwoscc%2Ffull-record%2FWOS:000244177300008","View Full Record in Web of Science")</f>
        <v>View Full Record in Web of Science</v>
      </c>
    </row>
    <row r="149" ht="12.75" customHeight="1">
      <c r="A149" s="2" t="s">
        <v>23</v>
      </c>
      <c r="B149" s="2" t="s">
        <v>15196</v>
      </c>
      <c r="C149" s="2" t="s">
        <v>12129</v>
      </c>
      <c r="D149" s="2" t="s">
        <v>12129</v>
      </c>
      <c r="E149" s="2" t="s">
        <v>12129</v>
      </c>
      <c r="F149" s="2" t="s">
        <v>15197</v>
      </c>
      <c r="G149" s="2" t="s">
        <v>12129</v>
      </c>
      <c r="H149" s="2" t="s">
        <v>12129</v>
      </c>
      <c r="I149" s="2" t="s">
        <v>15198</v>
      </c>
      <c r="J149" s="2" t="s">
        <v>15199</v>
      </c>
      <c r="K149" s="2" t="s">
        <v>12129</v>
      </c>
      <c r="L149" s="2" t="s">
        <v>12129</v>
      </c>
      <c r="M149" s="2" t="s">
        <v>3263</v>
      </c>
      <c r="N149" s="2" t="s">
        <v>35</v>
      </c>
      <c r="O149" s="2" t="s">
        <v>12129</v>
      </c>
      <c r="P149" s="2" t="s">
        <v>12129</v>
      </c>
      <c r="Q149" s="2" t="s">
        <v>12129</v>
      </c>
      <c r="R149" s="2" t="s">
        <v>12129</v>
      </c>
      <c r="S149" s="2" t="s">
        <v>12129</v>
      </c>
      <c r="T149" s="2" t="s">
        <v>15200</v>
      </c>
      <c r="U149" s="2" t="s">
        <v>15201</v>
      </c>
      <c r="V149" s="2" t="s">
        <v>15202</v>
      </c>
      <c r="W149" s="2" t="s">
        <v>15203</v>
      </c>
      <c r="X149" s="2" t="s">
        <v>15204</v>
      </c>
      <c r="Y149" s="2" t="s">
        <v>15205</v>
      </c>
      <c r="Z149" s="2" t="s">
        <v>15206</v>
      </c>
      <c r="AA149" s="2" t="s">
        <v>15207</v>
      </c>
      <c r="AB149" s="2" t="s">
        <v>15208</v>
      </c>
      <c r="AC149" s="2" t="s">
        <v>12129</v>
      </c>
      <c r="AD149" s="2" t="s">
        <v>12129</v>
      </c>
      <c r="AE149" s="2" t="s">
        <v>12129</v>
      </c>
      <c r="AF149" s="2" t="s">
        <v>12129</v>
      </c>
      <c r="AG149" s="2">
        <v>71.0</v>
      </c>
      <c r="AH149" s="2">
        <v>23.0</v>
      </c>
      <c r="AI149" s="2">
        <v>26.0</v>
      </c>
      <c r="AJ149" s="2">
        <v>1.0</v>
      </c>
      <c r="AK149" s="2">
        <v>41.0</v>
      </c>
      <c r="AL149" s="2" t="s">
        <v>12243</v>
      </c>
      <c r="AM149" s="2" t="s">
        <v>12244</v>
      </c>
      <c r="AN149" s="2" t="s">
        <v>12245</v>
      </c>
      <c r="AO149" s="2" t="s">
        <v>15209</v>
      </c>
      <c r="AP149" s="2" t="s">
        <v>15210</v>
      </c>
      <c r="AQ149" s="2" t="s">
        <v>12129</v>
      </c>
      <c r="AR149" s="2" t="s">
        <v>15211</v>
      </c>
      <c r="AS149" s="2" t="s">
        <v>15212</v>
      </c>
      <c r="AT149" s="2" t="s">
        <v>12249</v>
      </c>
      <c r="AU149" s="2">
        <v>2006.0</v>
      </c>
      <c r="AV149" s="2">
        <v>94.0</v>
      </c>
      <c r="AW149" s="2">
        <v>5.0</v>
      </c>
      <c r="AX149" s="2" t="s">
        <v>12129</v>
      </c>
      <c r="AY149" s="2" t="s">
        <v>12129</v>
      </c>
      <c r="AZ149" s="2" t="s">
        <v>12129</v>
      </c>
      <c r="BA149" s="2" t="s">
        <v>12129</v>
      </c>
      <c r="BB149" s="2">
        <v>987.0</v>
      </c>
      <c r="BC149" s="2">
        <v>1002.0</v>
      </c>
      <c r="BD149" s="2" t="s">
        <v>12129</v>
      </c>
      <c r="BE149" s="2" t="s">
        <v>15213</v>
      </c>
      <c r="BF149" s="15" t="str">
        <f>HYPERLINK("http://dx.doi.org/10.1111/j.1365-2745.2006.01140.x","http://dx.doi.org/10.1111/j.1365-2745.2006.01140.x")</f>
        <v>http://dx.doi.org/10.1111/j.1365-2745.2006.01140.x</v>
      </c>
      <c r="BG149" s="2" t="s">
        <v>12129</v>
      </c>
      <c r="BH149" s="2" t="s">
        <v>12129</v>
      </c>
      <c r="BI149" s="2">
        <v>16.0</v>
      </c>
      <c r="BJ149" s="2" t="s">
        <v>13681</v>
      </c>
      <c r="BK149" s="2" t="s">
        <v>12176</v>
      </c>
      <c r="BL149" s="2" t="s">
        <v>13682</v>
      </c>
      <c r="BM149" s="2" t="s">
        <v>15214</v>
      </c>
      <c r="BN149" s="2" t="s">
        <v>12129</v>
      </c>
      <c r="BO149" s="2" t="s">
        <v>12129</v>
      </c>
      <c r="BP149" s="2" t="s">
        <v>12129</v>
      </c>
      <c r="BQ149" s="2" t="s">
        <v>12129</v>
      </c>
      <c r="BR149" s="2" t="s">
        <v>12152</v>
      </c>
      <c r="BS149" s="2" t="s">
        <v>15215</v>
      </c>
      <c r="BT149" s="2" t="str">
        <f>HYPERLINK("https%3A%2F%2Fwww.webofscience.com%2Fwos%2Fwoscc%2Ffull-record%2FWOS:000239510400011","View Full Record in Web of Science")</f>
        <v>View Full Record in Web of Science</v>
      </c>
    </row>
    <row r="150" ht="12.75" customHeight="1">
      <c r="A150" s="2" t="s">
        <v>23</v>
      </c>
      <c r="B150" s="2" t="s">
        <v>15216</v>
      </c>
      <c r="C150" s="2" t="s">
        <v>12129</v>
      </c>
      <c r="D150" s="2" t="s">
        <v>12129</v>
      </c>
      <c r="E150" s="2" t="s">
        <v>12129</v>
      </c>
      <c r="F150" s="2" t="s">
        <v>15216</v>
      </c>
      <c r="G150" s="2" t="s">
        <v>12129</v>
      </c>
      <c r="H150" s="2" t="s">
        <v>12129</v>
      </c>
      <c r="I150" s="2" t="s">
        <v>15217</v>
      </c>
      <c r="J150" s="2" t="s">
        <v>15218</v>
      </c>
      <c r="K150" s="2" t="s">
        <v>12129</v>
      </c>
      <c r="L150" s="2" t="s">
        <v>12129</v>
      </c>
      <c r="M150" s="2" t="s">
        <v>3263</v>
      </c>
      <c r="N150" s="2" t="s">
        <v>35</v>
      </c>
      <c r="O150" s="2" t="s">
        <v>12129</v>
      </c>
      <c r="P150" s="2" t="s">
        <v>12129</v>
      </c>
      <c r="Q150" s="2" t="s">
        <v>12129</v>
      </c>
      <c r="R150" s="2" t="s">
        <v>12129</v>
      </c>
      <c r="S150" s="2" t="s">
        <v>12129</v>
      </c>
      <c r="T150" s="2" t="s">
        <v>15219</v>
      </c>
      <c r="U150" s="2" t="s">
        <v>15220</v>
      </c>
      <c r="V150" s="2" t="s">
        <v>15221</v>
      </c>
      <c r="W150" s="2" t="s">
        <v>15222</v>
      </c>
      <c r="X150" s="2" t="s">
        <v>15223</v>
      </c>
      <c r="Y150" s="2" t="s">
        <v>15224</v>
      </c>
      <c r="Z150" s="2" t="s">
        <v>15225</v>
      </c>
      <c r="AA150" s="2" t="s">
        <v>15226</v>
      </c>
      <c r="AB150" s="2" t="s">
        <v>15227</v>
      </c>
      <c r="AC150" s="2" t="s">
        <v>12129</v>
      </c>
      <c r="AD150" s="2" t="s">
        <v>12129</v>
      </c>
      <c r="AE150" s="2" t="s">
        <v>12129</v>
      </c>
      <c r="AF150" s="2" t="s">
        <v>12129</v>
      </c>
      <c r="AG150" s="2">
        <v>24.0</v>
      </c>
      <c r="AH150" s="2">
        <v>172.0</v>
      </c>
      <c r="AI150" s="2">
        <v>202.0</v>
      </c>
      <c r="AJ150" s="2">
        <v>0.0</v>
      </c>
      <c r="AK150" s="2">
        <v>30.0</v>
      </c>
      <c r="AL150" s="2" t="s">
        <v>12930</v>
      </c>
      <c r="AM150" s="2" t="s">
        <v>12270</v>
      </c>
      <c r="AN150" s="2" t="s">
        <v>12931</v>
      </c>
      <c r="AO150" s="2" t="s">
        <v>15228</v>
      </c>
      <c r="AP150" s="2" t="s">
        <v>12129</v>
      </c>
      <c r="AQ150" s="2" t="s">
        <v>12129</v>
      </c>
      <c r="AR150" s="2" t="s">
        <v>15229</v>
      </c>
      <c r="AS150" s="2" t="s">
        <v>15230</v>
      </c>
      <c r="AT150" s="2" t="s">
        <v>12561</v>
      </c>
      <c r="AU150" s="2">
        <v>2006.0</v>
      </c>
      <c r="AV150" s="2">
        <v>113.0</v>
      </c>
      <c r="AW150" s="2" t="s">
        <v>6551</v>
      </c>
      <c r="AX150" s="2" t="s">
        <v>12129</v>
      </c>
      <c r="AY150" s="2" t="s">
        <v>12129</v>
      </c>
      <c r="AZ150" s="2" t="s">
        <v>12129</v>
      </c>
      <c r="BA150" s="2" t="s">
        <v>12129</v>
      </c>
      <c r="BB150" s="2">
        <v>254.0</v>
      </c>
      <c r="BC150" s="2">
        <v>263.0</v>
      </c>
      <c r="BD150" s="2" t="s">
        <v>12129</v>
      </c>
      <c r="BE150" s="2" t="s">
        <v>15231</v>
      </c>
      <c r="BF150" s="15" t="str">
        <f>HYPERLINK("http://dx.doi.org/10.1016/j.agee.2005.10.019","http://dx.doi.org/10.1016/j.agee.2005.10.019")</f>
        <v>http://dx.doi.org/10.1016/j.agee.2005.10.019</v>
      </c>
      <c r="BG150" s="2" t="s">
        <v>12129</v>
      </c>
      <c r="BH150" s="2" t="s">
        <v>12129</v>
      </c>
      <c r="BI150" s="2">
        <v>10.0</v>
      </c>
      <c r="BJ150" s="2" t="s">
        <v>15232</v>
      </c>
      <c r="BK150" s="2" t="s">
        <v>12176</v>
      </c>
      <c r="BL150" s="2" t="s">
        <v>15233</v>
      </c>
      <c r="BM150" s="2" t="s">
        <v>15234</v>
      </c>
      <c r="BN150" s="2" t="s">
        <v>12129</v>
      </c>
      <c r="BO150" s="2" t="s">
        <v>12129</v>
      </c>
      <c r="BP150" s="2" t="s">
        <v>12129</v>
      </c>
      <c r="BQ150" s="2" t="s">
        <v>12129</v>
      </c>
      <c r="BR150" s="2" t="s">
        <v>12152</v>
      </c>
      <c r="BS150" s="2" t="s">
        <v>15235</v>
      </c>
      <c r="BT150" s="2" t="str">
        <f>HYPERLINK("https%3A%2F%2Fwww.webofscience.com%2Fwos%2Fwoscc%2Ffull-record%2FWOS:000235765100023","View Full Record in Web of Science")</f>
        <v>View Full Record in Web of Science</v>
      </c>
    </row>
    <row r="151" ht="12.75" customHeight="1">
      <c r="A151" s="2" t="s">
        <v>633</v>
      </c>
      <c r="B151" s="2" t="s">
        <v>15236</v>
      </c>
      <c r="C151" s="2" t="s">
        <v>12129</v>
      </c>
      <c r="D151" s="2" t="s">
        <v>15237</v>
      </c>
      <c r="E151" s="2" t="s">
        <v>12129</v>
      </c>
      <c r="F151" s="2" t="s">
        <v>15238</v>
      </c>
      <c r="G151" s="2" t="s">
        <v>12129</v>
      </c>
      <c r="H151" s="2" t="s">
        <v>12129</v>
      </c>
      <c r="I151" s="2" t="s">
        <v>15239</v>
      </c>
      <c r="J151" s="2" t="s">
        <v>15240</v>
      </c>
      <c r="K151" s="2" t="s">
        <v>15241</v>
      </c>
      <c r="L151" s="2" t="s">
        <v>12129</v>
      </c>
      <c r="M151" s="2" t="s">
        <v>3263</v>
      </c>
      <c r="N151" s="2" t="s">
        <v>637</v>
      </c>
      <c r="O151" s="2" t="s">
        <v>12129</v>
      </c>
      <c r="P151" s="2" t="s">
        <v>12129</v>
      </c>
      <c r="Q151" s="2" t="s">
        <v>12129</v>
      </c>
      <c r="R151" s="2" t="s">
        <v>12129</v>
      </c>
      <c r="S151" s="2" t="s">
        <v>12129</v>
      </c>
      <c r="T151" s="2" t="s">
        <v>12129</v>
      </c>
      <c r="U151" s="2" t="s">
        <v>15242</v>
      </c>
      <c r="V151" s="2" t="s">
        <v>15243</v>
      </c>
      <c r="W151" s="2" t="s">
        <v>15244</v>
      </c>
      <c r="X151" s="2" t="s">
        <v>15245</v>
      </c>
      <c r="Y151" s="2" t="s">
        <v>15246</v>
      </c>
      <c r="Z151" s="2" t="s">
        <v>12129</v>
      </c>
      <c r="AA151" s="2" t="s">
        <v>12129</v>
      </c>
      <c r="AB151" s="2" t="s">
        <v>15247</v>
      </c>
      <c r="AC151" s="2" t="s">
        <v>12129</v>
      </c>
      <c r="AD151" s="2" t="s">
        <v>12129</v>
      </c>
      <c r="AE151" s="2" t="s">
        <v>12129</v>
      </c>
      <c r="AF151" s="2" t="s">
        <v>12129</v>
      </c>
      <c r="AG151" s="2">
        <v>254.0</v>
      </c>
      <c r="AH151" s="2">
        <v>101.0</v>
      </c>
      <c r="AI151" s="2">
        <v>111.0</v>
      </c>
      <c r="AJ151" s="2">
        <v>0.0</v>
      </c>
      <c r="AK151" s="2">
        <v>107.0</v>
      </c>
      <c r="AL151" s="2" t="s">
        <v>15248</v>
      </c>
      <c r="AM151" s="2" t="s">
        <v>12170</v>
      </c>
      <c r="AN151" s="2" t="s">
        <v>15249</v>
      </c>
      <c r="AO151" s="2" t="s">
        <v>15250</v>
      </c>
      <c r="AP151" s="2" t="s">
        <v>15251</v>
      </c>
      <c r="AQ151" s="2" t="s">
        <v>15252</v>
      </c>
      <c r="AR151" s="2" t="s">
        <v>15253</v>
      </c>
      <c r="AS151" s="2" t="s">
        <v>15254</v>
      </c>
      <c r="AT151" s="2" t="s">
        <v>12129</v>
      </c>
      <c r="AU151" s="2">
        <v>2006.0</v>
      </c>
      <c r="AV151" s="2">
        <v>50.0</v>
      </c>
      <c r="AW151" s="2" t="s">
        <v>12129</v>
      </c>
      <c r="AX151" s="2" t="s">
        <v>12129</v>
      </c>
      <c r="AY151" s="2" t="s">
        <v>12129</v>
      </c>
      <c r="AZ151" s="2" t="s">
        <v>12129</v>
      </c>
      <c r="BA151" s="2" t="s">
        <v>12129</v>
      </c>
      <c r="BB151" s="2">
        <v>1.0</v>
      </c>
      <c r="BC151" s="2">
        <v>55.0</v>
      </c>
      <c r="BD151" s="2" t="s">
        <v>12129</v>
      </c>
      <c r="BE151" s="2" t="s">
        <v>15255</v>
      </c>
      <c r="BF151" s="15" t="str">
        <f>HYPERLINK("http://dx.doi.org/10.1016/S0065-2881(05)50001-4","http://dx.doi.org/10.1016/S0065-2881(05)50001-4")</f>
        <v>http://dx.doi.org/10.1016/S0065-2881(05)50001-4</v>
      </c>
      <c r="BG151" s="2" t="s">
        <v>12129</v>
      </c>
      <c r="BH151" s="2" t="s">
        <v>12129</v>
      </c>
      <c r="BI151" s="2">
        <v>55.0</v>
      </c>
      <c r="BJ151" s="2" t="s">
        <v>15256</v>
      </c>
      <c r="BK151" s="2" t="s">
        <v>15257</v>
      </c>
      <c r="BL151" s="2" t="s">
        <v>15256</v>
      </c>
      <c r="BM151" s="2" t="s">
        <v>15258</v>
      </c>
      <c r="BN151" s="2">
        <v>1.678245E7</v>
      </c>
      <c r="BO151" s="2" t="s">
        <v>12129</v>
      </c>
      <c r="BP151" s="2" t="s">
        <v>12129</v>
      </c>
      <c r="BQ151" s="2" t="s">
        <v>12129</v>
      </c>
      <c r="BR151" s="2" t="s">
        <v>12152</v>
      </c>
      <c r="BS151" s="2" t="s">
        <v>15259</v>
      </c>
      <c r="BT151" s="2" t="str">
        <f>HYPERLINK("https%3A%2F%2Fwww.webofscience.com%2Fwos%2Fwoscc%2Ffull-record%2FWOS:000238223900001","View Full Record in Web of Science")</f>
        <v>View Full Record in Web of Science</v>
      </c>
    </row>
    <row r="152" ht="12.75" customHeight="1">
      <c r="A152" s="2" t="s">
        <v>23</v>
      </c>
      <c r="B152" s="2" t="s">
        <v>15260</v>
      </c>
      <c r="C152" s="2" t="s">
        <v>12129</v>
      </c>
      <c r="D152" s="2" t="s">
        <v>12129</v>
      </c>
      <c r="E152" s="2" t="s">
        <v>12129</v>
      </c>
      <c r="F152" s="2" t="s">
        <v>15260</v>
      </c>
      <c r="G152" s="2" t="s">
        <v>12129</v>
      </c>
      <c r="H152" s="2" t="s">
        <v>12129</v>
      </c>
      <c r="I152" s="2" t="s">
        <v>15261</v>
      </c>
      <c r="J152" s="2" t="s">
        <v>15262</v>
      </c>
      <c r="K152" s="2" t="s">
        <v>12129</v>
      </c>
      <c r="L152" s="2" t="s">
        <v>12129</v>
      </c>
      <c r="M152" s="2" t="s">
        <v>3263</v>
      </c>
      <c r="N152" s="2" t="s">
        <v>27</v>
      </c>
      <c r="O152" s="2" t="s">
        <v>12129</v>
      </c>
      <c r="P152" s="2" t="s">
        <v>12129</v>
      </c>
      <c r="Q152" s="2" t="s">
        <v>12129</v>
      </c>
      <c r="R152" s="2" t="s">
        <v>12129</v>
      </c>
      <c r="S152" s="2" t="s">
        <v>12129</v>
      </c>
      <c r="T152" s="2" t="s">
        <v>12129</v>
      </c>
      <c r="U152" s="2" t="s">
        <v>15263</v>
      </c>
      <c r="V152" s="2" t="s">
        <v>15264</v>
      </c>
      <c r="W152" s="2" t="s">
        <v>15265</v>
      </c>
      <c r="X152" s="2" t="s">
        <v>15266</v>
      </c>
      <c r="Y152" s="2" t="s">
        <v>15267</v>
      </c>
      <c r="Z152" s="2" t="s">
        <v>15268</v>
      </c>
      <c r="AA152" s="2" t="s">
        <v>15269</v>
      </c>
      <c r="AB152" s="2" t="s">
        <v>12129</v>
      </c>
      <c r="AC152" s="2" t="s">
        <v>12129</v>
      </c>
      <c r="AD152" s="2" t="s">
        <v>12129</v>
      </c>
      <c r="AE152" s="2" t="s">
        <v>12129</v>
      </c>
      <c r="AF152" s="2" t="s">
        <v>12129</v>
      </c>
      <c r="AG152" s="2">
        <v>102.0</v>
      </c>
      <c r="AH152" s="2">
        <v>88.0</v>
      </c>
      <c r="AI152" s="2">
        <v>116.0</v>
      </c>
      <c r="AJ152" s="2">
        <v>0.0</v>
      </c>
      <c r="AK152" s="2">
        <v>62.0</v>
      </c>
      <c r="AL152" s="2" t="s">
        <v>12981</v>
      </c>
      <c r="AM152" s="2" t="s">
        <v>12982</v>
      </c>
      <c r="AN152" s="2" t="s">
        <v>15270</v>
      </c>
      <c r="AO152" s="2" t="s">
        <v>15271</v>
      </c>
      <c r="AP152" s="2" t="s">
        <v>15272</v>
      </c>
      <c r="AQ152" s="2" t="s">
        <v>12129</v>
      </c>
      <c r="AR152" s="2" t="s">
        <v>15273</v>
      </c>
      <c r="AS152" s="2" t="s">
        <v>15274</v>
      </c>
      <c r="AT152" s="2" t="s">
        <v>12436</v>
      </c>
      <c r="AU152" s="2">
        <v>2005.0</v>
      </c>
      <c r="AV152" s="2">
        <v>62.0</v>
      </c>
      <c r="AW152" s="2">
        <v>6.0</v>
      </c>
      <c r="AX152" s="2" t="s">
        <v>12129</v>
      </c>
      <c r="AY152" s="2" t="s">
        <v>12129</v>
      </c>
      <c r="AZ152" s="2" t="s">
        <v>12129</v>
      </c>
      <c r="BA152" s="2" t="s">
        <v>12129</v>
      </c>
      <c r="BB152" s="2">
        <v>1432.0</v>
      </c>
      <c r="BC152" s="2">
        <v>1451.0</v>
      </c>
      <c r="BD152" s="2" t="s">
        <v>12129</v>
      </c>
      <c r="BE152" s="2" t="s">
        <v>15275</v>
      </c>
      <c r="BF152" s="15" t="str">
        <f>HYPERLINK("http://dx.doi.org/10.1139/F05-061","http://dx.doi.org/10.1139/F05-061")</f>
        <v>http://dx.doi.org/10.1139/F05-061</v>
      </c>
      <c r="BG152" s="2" t="s">
        <v>12129</v>
      </c>
      <c r="BH152" s="2" t="s">
        <v>12129</v>
      </c>
      <c r="BI152" s="2">
        <v>20.0</v>
      </c>
      <c r="BJ152" s="2" t="s">
        <v>15276</v>
      </c>
      <c r="BK152" s="2" t="s">
        <v>12176</v>
      </c>
      <c r="BL152" s="2" t="s">
        <v>15276</v>
      </c>
      <c r="BM152" s="2" t="s">
        <v>15277</v>
      </c>
      <c r="BN152" s="2" t="s">
        <v>12129</v>
      </c>
      <c r="BO152" s="2" t="s">
        <v>12129</v>
      </c>
      <c r="BP152" s="2" t="s">
        <v>12129</v>
      </c>
      <c r="BQ152" s="2" t="s">
        <v>12129</v>
      </c>
      <c r="BR152" s="2" t="s">
        <v>12152</v>
      </c>
      <c r="BS152" s="2" t="s">
        <v>15278</v>
      </c>
      <c r="BT152" s="2" t="str">
        <f>HYPERLINK("https%3A%2F%2Fwww.webofscience.com%2Fwos%2Fwoscc%2Ffull-record%2FWOS:000230500400020","View Full Record in Web of Science")</f>
        <v>View Full Record in Web of Science</v>
      </c>
    </row>
    <row r="153" ht="12.75" customHeight="1">
      <c r="A153" s="2" t="s">
        <v>23</v>
      </c>
      <c r="B153" s="2" t="s">
        <v>15279</v>
      </c>
      <c r="C153" s="2" t="s">
        <v>12129</v>
      </c>
      <c r="D153" s="2" t="s">
        <v>12129</v>
      </c>
      <c r="E153" s="2" t="s">
        <v>12129</v>
      </c>
      <c r="F153" s="2" t="s">
        <v>15279</v>
      </c>
      <c r="G153" s="2" t="s">
        <v>12129</v>
      </c>
      <c r="H153" s="2" t="s">
        <v>12129</v>
      </c>
      <c r="I153" s="2" t="s">
        <v>15280</v>
      </c>
      <c r="J153" s="2" t="s">
        <v>15281</v>
      </c>
      <c r="K153" s="2" t="s">
        <v>12129</v>
      </c>
      <c r="L153" s="2" t="s">
        <v>12129</v>
      </c>
      <c r="M153" s="2" t="s">
        <v>3263</v>
      </c>
      <c r="N153" s="2" t="s">
        <v>35</v>
      </c>
      <c r="O153" s="2" t="s">
        <v>12129</v>
      </c>
      <c r="P153" s="2" t="s">
        <v>12129</v>
      </c>
      <c r="Q153" s="2" t="s">
        <v>12129</v>
      </c>
      <c r="R153" s="2" t="s">
        <v>12129</v>
      </c>
      <c r="S153" s="2" t="s">
        <v>12129</v>
      </c>
      <c r="T153" s="2" t="s">
        <v>15282</v>
      </c>
      <c r="U153" s="2" t="s">
        <v>15283</v>
      </c>
      <c r="V153" s="2" t="s">
        <v>15284</v>
      </c>
      <c r="W153" s="2" t="s">
        <v>15285</v>
      </c>
      <c r="X153" s="2" t="s">
        <v>15286</v>
      </c>
      <c r="Y153" s="2" t="s">
        <v>15287</v>
      </c>
      <c r="Z153" s="2" t="s">
        <v>15288</v>
      </c>
      <c r="AA153" s="2" t="s">
        <v>12129</v>
      </c>
      <c r="AB153" s="2" t="s">
        <v>12129</v>
      </c>
      <c r="AC153" s="2" t="s">
        <v>12129</v>
      </c>
      <c r="AD153" s="2" t="s">
        <v>12129</v>
      </c>
      <c r="AE153" s="2" t="s">
        <v>12129</v>
      </c>
      <c r="AF153" s="2" t="s">
        <v>12129</v>
      </c>
      <c r="AG153" s="2">
        <v>58.0</v>
      </c>
      <c r="AH153" s="2">
        <v>118.0</v>
      </c>
      <c r="AI153" s="2">
        <v>136.0</v>
      </c>
      <c r="AJ153" s="2">
        <v>1.0</v>
      </c>
      <c r="AK153" s="2">
        <v>54.0</v>
      </c>
      <c r="AL153" s="2" t="s">
        <v>14365</v>
      </c>
      <c r="AM153" s="2" t="s">
        <v>14366</v>
      </c>
      <c r="AN153" s="2" t="s">
        <v>14367</v>
      </c>
      <c r="AO153" s="2" t="s">
        <v>15289</v>
      </c>
      <c r="AP153" s="2" t="s">
        <v>15290</v>
      </c>
      <c r="AQ153" s="2" t="s">
        <v>12129</v>
      </c>
      <c r="AR153" s="2" t="s">
        <v>15291</v>
      </c>
      <c r="AS153" s="2" t="s">
        <v>15292</v>
      </c>
      <c r="AT153" s="2" t="s">
        <v>13127</v>
      </c>
      <c r="AU153" s="2">
        <v>2005.0</v>
      </c>
      <c r="AV153" s="2">
        <v>21.0</v>
      </c>
      <c r="AW153" s="2" t="s">
        <v>12129</v>
      </c>
      <c r="AX153" s="2">
        <v>1.0</v>
      </c>
      <c r="AY153" s="2" t="s">
        <v>12129</v>
      </c>
      <c r="AZ153" s="2" t="s">
        <v>12129</v>
      </c>
      <c r="BA153" s="2" t="s">
        <v>12129</v>
      </c>
      <c r="BB153" s="2">
        <v>9.0</v>
      </c>
      <c r="BC153" s="2">
        <v>19.0</v>
      </c>
      <c r="BD153" s="2" t="s">
        <v>12129</v>
      </c>
      <c r="BE153" s="2" t="s">
        <v>15293</v>
      </c>
      <c r="BF153" s="15" t="str">
        <f>HYPERLINK("http://dx.doi.org/10.1017/S0266467404001683","http://dx.doi.org/10.1017/S0266467404001683")</f>
        <v>http://dx.doi.org/10.1017/S0266467404001683</v>
      </c>
      <c r="BG153" s="2" t="s">
        <v>12129</v>
      </c>
      <c r="BH153" s="2" t="s">
        <v>12129</v>
      </c>
      <c r="BI153" s="2">
        <v>11.0</v>
      </c>
      <c r="BJ153" s="2" t="s">
        <v>814</v>
      </c>
      <c r="BK153" s="2" t="s">
        <v>12176</v>
      </c>
      <c r="BL153" s="2" t="s">
        <v>12251</v>
      </c>
      <c r="BM153" s="2" t="s">
        <v>15294</v>
      </c>
      <c r="BN153" s="2" t="s">
        <v>12129</v>
      </c>
      <c r="BO153" s="2" t="s">
        <v>12129</v>
      </c>
      <c r="BP153" s="2" t="s">
        <v>12129</v>
      </c>
      <c r="BQ153" s="2" t="s">
        <v>12129</v>
      </c>
      <c r="BR153" s="2" t="s">
        <v>12152</v>
      </c>
      <c r="BS153" s="2" t="s">
        <v>15295</v>
      </c>
      <c r="BT153" s="2" t="str">
        <f>HYPERLINK("https%3A%2F%2Fwww.webofscience.com%2Fwos%2Fwoscc%2Ffull-record%2FWOS:000227083400002","View Full Record in Web of Science")</f>
        <v>View Full Record in Web of Science</v>
      </c>
    </row>
    <row r="154" ht="12.75" customHeight="1">
      <c r="A154" s="2" t="s">
        <v>23</v>
      </c>
      <c r="B154" s="2" t="s">
        <v>15296</v>
      </c>
      <c r="C154" s="2" t="s">
        <v>12129</v>
      </c>
      <c r="D154" s="2" t="s">
        <v>12129</v>
      </c>
      <c r="E154" s="2" t="s">
        <v>12129</v>
      </c>
      <c r="F154" s="2" t="s">
        <v>15296</v>
      </c>
      <c r="G154" s="2" t="s">
        <v>12129</v>
      </c>
      <c r="H154" s="2" t="s">
        <v>12129</v>
      </c>
      <c r="I154" s="2" t="s">
        <v>15297</v>
      </c>
      <c r="J154" s="2" t="s">
        <v>248</v>
      </c>
      <c r="K154" s="2" t="s">
        <v>12129</v>
      </c>
      <c r="L154" s="2" t="s">
        <v>12129</v>
      </c>
      <c r="M154" s="2" t="s">
        <v>3263</v>
      </c>
      <c r="N154" s="2" t="s">
        <v>35</v>
      </c>
      <c r="O154" s="2" t="s">
        <v>12129</v>
      </c>
      <c r="P154" s="2" t="s">
        <v>12129</v>
      </c>
      <c r="Q154" s="2" t="s">
        <v>12129</v>
      </c>
      <c r="R154" s="2" t="s">
        <v>12129</v>
      </c>
      <c r="S154" s="2" t="s">
        <v>12129</v>
      </c>
      <c r="T154" s="2" t="s">
        <v>15298</v>
      </c>
      <c r="U154" s="2" t="s">
        <v>15299</v>
      </c>
      <c r="V154" s="2" t="s">
        <v>15300</v>
      </c>
      <c r="W154" s="2" t="s">
        <v>15301</v>
      </c>
      <c r="X154" s="2" t="s">
        <v>15302</v>
      </c>
      <c r="Y154" s="2" t="s">
        <v>15303</v>
      </c>
      <c r="Z154" s="2" t="s">
        <v>15304</v>
      </c>
      <c r="AA154" s="2" t="s">
        <v>15305</v>
      </c>
      <c r="AB154" s="2" t="s">
        <v>15306</v>
      </c>
      <c r="AC154" s="2" t="s">
        <v>12129</v>
      </c>
      <c r="AD154" s="2" t="s">
        <v>12129</v>
      </c>
      <c r="AE154" s="2" t="s">
        <v>12129</v>
      </c>
      <c r="AF154" s="2" t="s">
        <v>12129</v>
      </c>
      <c r="AG154" s="2">
        <v>35.0</v>
      </c>
      <c r="AH154" s="2">
        <v>205.0</v>
      </c>
      <c r="AI154" s="2">
        <v>254.0</v>
      </c>
      <c r="AJ154" s="2">
        <v>1.0</v>
      </c>
      <c r="AK154" s="2">
        <v>63.0</v>
      </c>
      <c r="AL154" s="2" t="s">
        <v>12321</v>
      </c>
      <c r="AM154" s="2" t="s">
        <v>2146</v>
      </c>
      <c r="AN154" s="2" t="s">
        <v>12322</v>
      </c>
      <c r="AO154" s="2" t="s">
        <v>6122</v>
      </c>
      <c r="AP154" s="2" t="s">
        <v>12803</v>
      </c>
      <c r="AQ154" s="2" t="s">
        <v>12129</v>
      </c>
      <c r="AR154" s="2" t="s">
        <v>12804</v>
      </c>
      <c r="AS154" s="2" t="s">
        <v>12805</v>
      </c>
      <c r="AT154" s="2" t="s">
        <v>12764</v>
      </c>
      <c r="AU154" s="2">
        <v>2003.0</v>
      </c>
      <c r="AV154" s="2">
        <v>114.0</v>
      </c>
      <c r="AW154" s="2">
        <v>3.0</v>
      </c>
      <c r="AX154" s="2" t="s">
        <v>12129</v>
      </c>
      <c r="AY154" s="2" t="s">
        <v>12129</v>
      </c>
      <c r="AZ154" s="2" t="s">
        <v>12129</v>
      </c>
      <c r="BA154" s="2" t="s">
        <v>12129</v>
      </c>
      <c r="BB154" s="2">
        <v>317.0</v>
      </c>
      <c r="BC154" s="2">
        <v>326.0</v>
      </c>
      <c r="BD154" s="2" t="s">
        <v>12129</v>
      </c>
      <c r="BE154" s="2" t="s">
        <v>15307</v>
      </c>
      <c r="BF154" s="15" t="str">
        <f>HYPERLINK("http://dx.doi.org/10.1016/S0006-3207(03)00051-X","http://dx.doi.org/10.1016/S0006-3207(03)00051-X")</f>
        <v>http://dx.doi.org/10.1016/S0006-3207(03)00051-X</v>
      </c>
      <c r="BG154" s="2" t="s">
        <v>12129</v>
      </c>
      <c r="BH154" s="2" t="s">
        <v>12129</v>
      </c>
      <c r="BI154" s="2">
        <v>10.0</v>
      </c>
      <c r="BJ154" s="2" t="s">
        <v>252</v>
      </c>
      <c r="BK154" s="2" t="s">
        <v>12176</v>
      </c>
      <c r="BL154" s="2" t="s">
        <v>12376</v>
      </c>
      <c r="BM154" s="2" t="s">
        <v>15308</v>
      </c>
      <c r="BN154" s="2" t="s">
        <v>12129</v>
      </c>
      <c r="BO154" s="2" t="s">
        <v>12129</v>
      </c>
      <c r="BP154" s="2" t="s">
        <v>12129</v>
      </c>
      <c r="BQ154" s="2" t="s">
        <v>12129</v>
      </c>
      <c r="BR154" s="2" t="s">
        <v>12152</v>
      </c>
      <c r="BS154" s="2" t="s">
        <v>15309</v>
      </c>
      <c r="BT154" s="2" t="str">
        <f>HYPERLINK("https%3A%2F%2Fwww.webofscience.com%2Fwos%2Fwoscc%2Ffull-record%2FWOS:000185371200002","View Full Record in Web of Science")</f>
        <v>View Full Record in Web of Science</v>
      </c>
    </row>
    <row r="155" ht="12.75" customHeight="1">
      <c r="A155" s="2" t="s">
        <v>23</v>
      </c>
      <c r="B155" s="2" t="s">
        <v>15310</v>
      </c>
      <c r="C155" s="2" t="s">
        <v>12129</v>
      </c>
      <c r="D155" s="2" t="s">
        <v>12129</v>
      </c>
      <c r="E155" s="2" t="s">
        <v>12129</v>
      </c>
      <c r="F155" s="2" t="s">
        <v>15310</v>
      </c>
      <c r="G155" s="2" t="s">
        <v>12129</v>
      </c>
      <c r="H155" s="2" t="s">
        <v>12129</v>
      </c>
      <c r="I155" s="2" t="s">
        <v>15311</v>
      </c>
      <c r="J155" s="2" t="s">
        <v>13171</v>
      </c>
      <c r="K155" s="2" t="s">
        <v>12129</v>
      </c>
      <c r="L155" s="2" t="s">
        <v>12129</v>
      </c>
      <c r="M155" s="2" t="s">
        <v>3263</v>
      </c>
      <c r="N155" s="2" t="s">
        <v>35</v>
      </c>
      <c r="O155" s="2" t="s">
        <v>12129</v>
      </c>
      <c r="P155" s="2" t="s">
        <v>12129</v>
      </c>
      <c r="Q155" s="2" t="s">
        <v>12129</v>
      </c>
      <c r="R155" s="2" t="s">
        <v>12129</v>
      </c>
      <c r="S155" s="2" t="s">
        <v>12129</v>
      </c>
      <c r="T155" s="2" t="s">
        <v>15312</v>
      </c>
      <c r="U155" s="2" t="s">
        <v>15313</v>
      </c>
      <c r="V155" s="2" t="s">
        <v>15314</v>
      </c>
      <c r="W155" s="2" t="s">
        <v>15315</v>
      </c>
      <c r="X155" s="2" t="s">
        <v>15316</v>
      </c>
      <c r="Y155" s="2" t="s">
        <v>15317</v>
      </c>
      <c r="Z155" s="2" t="s">
        <v>12129</v>
      </c>
      <c r="AA155" s="2" t="s">
        <v>15318</v>
      </c>
      <c r="AB155" s="2" t="s">
        <v>12129</v>
      </c>
      <c r="AC155" s="2" t="s">
        <v>12129</v>
      </c>
      <c r="AD155" s="2" t="s">
        <v>12129</v>
      </c>
      <c r="AE155" s="2" t="s">
        <v>12129</v>
      </c>
      <c r="AF155" s="2" t="s">
        <v>12129</v>
      </c>
      <c r="AG155" s="2">
        <v>84.0</v>
      </c>
      <c r="AH155" s="2">
        <v>24.0</v>
      </c>
      <c r="AI155" s="2">
        <v>28.0</v>
      </c>
      <c r="AJ155" s="2">
        <v>0.0</v>
      </c>
      <c r="AK155" s="2">
        <v>20.0</v>
      </c>
      <c r="AL155" s="2" t="s">
        <v>15319</v>
      </c>
      <c r="AM155" s="2" t="s">
        <v>13182</v>
      </c>
      <c r="AN155" s="2" t="s">
        <v>13183</v>
      </c>
      <c r="AO155" s="2" t="s">
        <v>13184</v>
      </c>
      <c r="AP155" s="2" t="s">
        <v>12129</v>
      </c>
      <c r="AQ155" s="2" t="s">
        <v>12129</v>
      </c>
      <c r="AR155" s="2" t="s">
        <v>13186</v>
      </c>
      <c r="AS155" s="2" t="s">
        <v>13187</v>
      </c>
      <c r="AT155" s="2" t="s">
        <v>12249</v>
      </c>
      <c r="AU155" s="2">
        <v>2003.0</v>
      </c>
      <c r="AV155" s="2">
        <v>12.0</v>
      </c>
      <c r="AW155" s="2">
        <v>9.0</v>
      </c>
      <c r="AX155" s="2" t="s">
        <v>12129</v>
      </c>
      <c r="AY155" s="2" t="s">
        <v>12129</v>
      </c>
      <c r="AZ155" s="2" t="s">
        <v>12129</v>
      </c>
      <c r="BA155" s="2" t="s">
        <v>12129</v>
      </c>
      <c r="BB155" s="2">
        <v>1921.0</v>
      </c>
      <c r="BC155" s="2">
        <v>1936.0</v>
      </c>
      <c r="BD155" s="2" t="s">
        <v>12129</v>
      </c>
      <c r="BE155" s="2" t="s">
        <v>15320</v>
      </c>
      <c r="BF155" s="15" t="str">
        <f>HYPERLINK("http://dx.doi.org/10.1023/A:1024147529295","http://dx.doi.org/10.1023/A:1024147529295")</f>
        <v>http://dx.doi.org/10.1023/A:1024147529295</v>
      </c>
      <c r="BG155" s="2" t="s">
        <v>12129</v>
      </c>
      <c r="BH155" s="2" t="s">
        <v>12129</v>
      </c>
      <c r="BI155" s="2">
        <v>16.0</v>
      </c>
      <c r="BJ155" s="2" t="s">
        <v>252</v>
      </c>
      <c r="BK155" s="2" t="s">
        <v>12176</v>
      </c>
      <c r="BL155" s="2" t="s">
        <v>12376</v>
      </c>
      <c r="BM155" s="2" t="s">
        <v>15321</v>
      </c>
      <c r="BN155" s="2" t="s">
        <v>12129</v>
      </c>
      <c r="BO155" s="2" t="s">
        <v>12129</v>
      </c>
      <c r="BP155" s="2" t="s">
        <v>12129</v>
      </c>
      <c r="BQ155" s="2" t="s">
        <v>12129</v>
      </c>
      <c r="BR155" s="2" t="s">
        <v>12152</v>
      </c>
      <c r="BS155" s="2" t="s">
        <v>15322</v>
      </c>
      <c r="BT155" s="2" t="str">
        <f>HYPERLINK("https%3A%2F%2Fwww.webofscience.com%2Fwos%2Fwoscc%2Ffull-record%2FWOS:000183444300010","View Full Record in Web of Science")</f>
        <v>View Full Record in Web of Science</v>
      </c>
    </row>
    <row r="156" ht="12.75" customHeight="1">
      <c r="A156" s="2" t="s">
        <v>23</v>
      </c>
      <c r="B156" s="2" t="s">
        <v>15323</v>
      </c>
      <c r="C156" s="2" t="s">
        <v>12129</v>
      </c>
      <c r="D156" s="2" t="s">
        <v>12129</v>
      </c>
      <c r="E156" s="2" t="s">
        <v>12129</v>
      </c>
      <c r="F156" s="2" t="s">
        <v>15323</v>
      </c>
      <c r="G156" s="2" t="s">
        <v>12129</v>
      </c>
      <c r="H156" s="2" t="s">
        <v>12129</v>
      </c>
      <c r="I156" s="2" t="s">
        <v>15324</v>
      </c>
      <c r="J156" s="2" t="s">
        <v>771</v>
      </c>
      <c r="K156" s="2" t="s">
        <v>12129</v>
      </c>
      <c r="L156" s="2" t="s">
        <v>12129</v>
      </c>
      <c r="M156" s="2" t="s">
        <v>3263</v>
      </c>
      <c r="N156" s="2" t="s">
        <v>35</v>
      </c>
      <c r="O156" s="2" t="s">
        <v>12129</v>
      </c>
      <c r="P156" s="2" t="s">
        <v>12129</v>
      </c>
      <c r="Q156" s="2" t="s">
        <v>12129</v>
      </c>
      <c r="R156" s="2" t="s">
        <v>12129</v>
      </c>
      <c r="S156" s="2" t="s">
        <v>12129</v>
      </c>
      <c r="T156" s="2" t="s">
        <v>15325</v>
      </c>
      <c r="U156" s="2" t="s">
        <v>15326</v>
      </c>
      <c r="V156" s="2" t="s">
        <v>15327</v>
      </c>
      <c r="W156" s="2" t="s">
        <v>15328</v>
      </c>
      <c r="X156" s="2" t="s">
        <v>15329</v>
      </c>
      <c r="Y156" s="2" t="s">
        <v>15330</v>
      </c>
      <c r="Z156" s="2" t="s">
        <v>15331</v>
      </c>
      <c r="AA156" s="2" t="s">
        <v>15332</v>
      </c>
      <c r="AB156" s="2" t="s">
        <v>15333</v>
      </c>
      <c r="AC156" s="2" t="s">
        <v>12129</v>
      </c>
      <c r="AD156" s="2" t="s">
        <v>12129</v>
      </c>
      <c r="AE156" s="2" t="s">
        <v>12129</v>
      </c>
      <c r="AF156" s="2" t="s">
        <v>12129</v>
      </c>
      <c r="AG156" s="2">
        <v>55.0</v>
      </c>
      <c r="AH156" s="2">
        <v>213.0</v>
      </c>
      <c r="AI156" s="2">
        <v>254.0</v>
      </c>
      <c r="AJ156" s="2">
        <v>2.0</v>
      </c>
      <c r="AK156" s="2">
        <v>120.0</v>
      </c>
      <c r="AL156" s="2" t="s">
        <v>12243</v>
      </c>
      <c r="AM156" s="2" t="s">
        <v>12244</v>
      </c>
      <c r="AN156" s="2" t="s">
        <v>12245</v>
      </c>
      <c r="AO156" s="2" t="s">
        <v>12783</v>
      </c>
      <c r="AP156" s="2" t="s">
        <v>12784</v>
      </c>
      <c r="AQ156" s="2" t="s">
        <v>12129</v>
      </c>
      <c r="AR156" s="2" t="s">
        <v>12785</v>
      </c>
      <c r="AS156" s="2" t="s">
        <v>12786</v>
      </c>
      <c r="AT156" s="2" t="s">
        <v>12436</v>
      </c>
      <c r="AU156" s="2">
        <v>2002.0</v>
      </c>
      <c r="AV156" s="2">
        <v>8.0</v>
      </c>
      <c r="AW156" s="2">
        <v>6.0</v>
      </c>
      <c r="AX156" s="2" t="s">
        <v>12129</v>
      </c>
      <c r="AY156" s="2" t="s">
        <v>12129</v>
      </c>
      <c r="AZ156" s="2" t="s">
        <v>12129</v>
      </c>
      <c r="BA156" s="2" t="s">
        <v>12129</v>
      </c>
      <c r="BB156" s="2">
        <v>545.0</v>
      </c>
      <c r="BC156" s="2">
        <v>562.0</v>
      </c>
      <c r="BD156" s="2" t="s">
        <v>12129</v>
      </c>
      <c r="BE156" s="2" t="s">
        <v>15334</v>
      </c>
      <c r="BF156" s="15" t="str">
        <f>HYPERLINK("http://dx.doi.org/10.1046/j.1365-2486.2002.00482.x","http://dx.doi.org/10.1046/j.1365-2486.2002.00482.x")</f>
        <v>http://dx.doi.org/10.1046/j.1365-2486.2002.00482.x</v>
      </c>
      <c r="BG156" s="2" t="s">
        <v>12129</v>
      </c>
      <c r="BH156" s="2" t="s">
        <v>12129</v>
      </c>
      <c r="BI156" s="2">
        <v>18.0</v>
      </c>
      <c r="BJ156" s="2" t="s">
        <v>252</v>
      </c>
      <c r="BK156" s="2" t="s">
        <v>12176</v>
      </c>
      <c r="BL156" s="2" t="s">
        <v>12376</v>
      </c>
      <c r="BM156" s="2" t="s">
        <v>15335</v>
      </c>
      <c r="BN156" s="2" t="s">
        <v>12129</v>
      </c>
      <c r="BO156" s="2" t="s">
        <v>12129</v>
      </c>
      <c r="BP156" s="2" t="s">
        <v>12129</v>
      </c>
      <c r="BQ156" s="2" t="s">
        <v>12129</v>
      </c>
      <c r="BR156" s="2" t="s">
        <v>12152</v>
      </c>
      <c r="BS156" s="2" t="s">
        <v>15336</v>
      </c>
      <c r="BT156" s="2" t="str">
        <f>HYPERLINK("https%3A%2F%2Fwww.webofscience.com%2Fwos%2Fwoscc%2Ffull-record%2FWOS:000175749000004","View Full Record in Web of Science")</f>
        <v>View Full Record in Web of Science</v>
      </c>
    </row>
    <row r="157" ht="12.75" customHeight="1">
      <c r="A157" s="2" t="s">
        <v>23</v>
      </c>
      <c r="B157" s="2" t="s">
        <v>15337</v>
      </c>
      <c r="C157" s="2" t="s">
        <v>12129</v>
      </c>
      <c r="D157" s="2" t="s">
        <v>12129</v>
      </c>
      <c r="E157" s="2" t="s">
        <v>12129</v>
      </c>
      <c r="F157" s="2" t="s">
        <v>15337</v>
      </c>
      <c r="G157" s="2" t="s">
        <v>12129</v>
      </c>
      <c r="H157" s="2" t="s">
        <v>12129</v>
      </c>
      <c r="I157" s="2" t="s">
        <v>15338</v>
      </c>
      <c r="J157" s="2" t="s">
        <v>15339</v>
      </c>
      <c r="K157" s="2" t="s">
        <v>12129</v>
      </c>
      <c r="L157" s="2" t="s">
        <v>12129</v>
      </c>
      <c r="M157" s="2" t="s">
        <v>3263</v>
      </c>
      <c r="N157" s="2" t="s">
        <v>35</v>
      </c>
      <c r="O157" s="2" t="s">
        <v>12129</v>
      </c>
      <c r="P157" s="2" t="s">
        <v>12129</v>
      </c>
      <c r="Q157" s="2" t="s">
        <v>12129</v>
      </c>
      <c r="R157" s="2" t="s">
        <v>12129</v>
      </c>
      <c r="S157" s="2" t="s">
        <v>12129</v>
      </c>
      <c r="T157" s="2" t="s">
        <v>15340</v>
      </c>
      <c r="U157" s="2" t="s">
        <v>15341</v>
      </c>
      <c r="V157" s="2" t="s">
        <v>15342</v>
      </c>
      <c r="W157" s="2" t="s">
        <v>15343</v>
      </c>
      <c r="X157" s="2" t="s">
        <v>15344</v>
      </c>
      <c r="Y157" s="2" t="s">
        <v>15345</v>
      </c>
      <c r="Z157" s="2" t="s">
        <v>15346</v>
      </c>
      <c r="AA157" s="2" t="s">
        <v>15347</v>
      </c>
      <c r="AB157" s="2" t="s">
        <v>15348</v>
      </c>
      <c r="AC157" s="2" t="s">
        <v>12129</v>
      </c>
      <c r="AD157" s="2" t="s">
        <v>12129</v>
      </c>
      <c r="AE157" s="2" t="s">
        <v>12129</v>
      </c>
      <c r="AF157" s="2" t="s">
        <v>12129</v>
      </c>
      <c r="AG157" s="2">
        <v>93.0</v>
      </c>
      <c r="AH157" s="2">
        <v>101.0</v>
      </c>
      <c r="AI157" s="2">
        <v>136.0</v>
      </c>
      <c r="AJ157" s="2">
        <v>0.0</v>
      </c>
      <c r="AK157" s="2">
        <v>66.0</v>
      </c>
      <c r="AL157" s="2" t="s">
        <v>13181</v>
      </c>
      <c r="AM157" s="2" t="s">
        <v>13182</v>
      </c>
      <c r="AN157" s="2" t="s">
        <v>13183</v>
      </c>
      <c r="AO157" s="2" t="s">
        <v>15349</v>
      </c>
      <c r="AP157" s="2" t="s">
        <v>12129</v>
      </c>
      <c r="AQ157" s="2" t="s">
        <v>12129</v>
      </c>
      <c r="AR157" s="2" t="s">
        <v>15350</v>
      </c>
      <c r="AS157" s="2" t="s">
        <v>15351</v>
      </c>
      <c r="AT157" s="2" t="s">
        <v>12459</v>
      </c>
      <c r="AU157" s="2">
        <v>2001.0</v>
      </c>
      <c r="AV157" s="2">
        <v>16.0</v>
      </c>
      <c r="AW157" s="2">
        <v>4.0</v>
      </c>
      <c r="AX157" s="2" t="s">
        <v>12129</v>
      </c>
      <c r="AY157" s="2" t="s">
        <v>12129</v>
      </c>
      <c r="AZ157" s="2" t="s">
        <v>12129</v>
      </c>
      <c r="BA157" s="2" t="s">
        <v>12129</v>
      </c>
      <c r="BB157" s="2">
        <v>327.0</v>
      </c>
      <c r="BC157" s="2">
        <v>349.0</v>
      </c>
      <c r="BD157" s="2" t="s">
        <v>12129</v>
      </c>
      <c r="BE157" s="2" t="s">
        <v>15352</v>
      </c>
      <c r="BF157" s="15" t="str">
        <f>HYPERLINK("http://dx.doi.org/10.1023/A:1011185409347","http://dx.doi.org/10.1023/A:1011185409347")</f>
        <v>http://dx.doi.org/10.1023/A:1011185409347</v>
      </c>
      <c r="BG157" s="2" t="s">
        <v>12129</v>
      </c>
      <c r="BH157" s="2" t="s">
        <v>12129</v>
      </c>
      <c r="BI157" s="2">
        <v>23.0</v>
      </c>
      <c r="BJ157" s="2" t="s">
        <v>15353</v>
      </c>
      <c r="BK157" s="2" t="s">
        <v>12176</v>
      </c>
      <c r="BL157" s="2" t="s">
        <v>15007</v>
      </c>
      <c r="BM157" s="2" t="s">
        <v>15354</v>
      </c>
      <c r="BN157" s="2" t="s">
        <v>12129</v>
      </c>
      <c r="BO157" s="2" t="s">
        <v>12129</v>
      </c>
      <c r="BP157" s="2" t="s">
        <v>12129</v>
      </c>
      <c r="BQ157" s="2" t="s">
        <v>12129</v>
      </c>
      <c r="BR157" s="2" t="s">
        <v>12152</v>
      </c>
      <c r="BS157" s="2" t="s">
        <v>15355</v>
      </c>
      <c r="BT157" s="2" t="str">
        <f>HYPERLINK("https%3A%2F%2Fwww.webofscience.com%2Fwos%2Fwoscc%2Ffull-record%2FWOS:000169516300004","View Full Record in Web of Science")</f>
        <v>View Full Record in Web of Science</v>
      </c>
    </row>
    <row r="158" ht="12.75" customHeight="1">
      <c r="A158" s="2" t="s">
        <v>23</v>
      </c>
      <c r="B158" s="2" t="s">
        <v>15356</v>
      </c>
      <c r="C158" s="2" t="s">
        <v>12129</v>
      </c>
      <c r="D158" s="2" t="s">
        <v>12129</v>
      </c>
      <c r="E158" s="2" t="s">
        <v>12129</v>
      </c>
      <c r="F158" s="2" t="s">
        <v>15356</v>
      </c>
      <c r="G158" s="2" t="s">
        <v>12129</v>
      </c>
      <c r="H158" s="2" t="s">
        <v>12129</v>
      </c>
      <c r="I158" s="2" t="s">
        <v>15357</v>
      </c>
      <c r="J158" s="2" t="s">
        <v>15358</v>
      </c>
      <c r="K158" s="2" t="s">
        <v>12129</v>
      </c>
      <c r="L158" s="2" t="s">
        <v>12129</v>
      </c>
      <c r="M158" s="2" t="s">
        <v>3263</v>
      </c>
      <c r="N158" s="2" t="s">
        <v>27</v>
      </c>
      <c r="O158" s="2" t="s">
        <v>12129</v>
      </c>
      <c r="P158" s="2" t="s">
        <v>12129</v>
      </c>
      <c r="Q158" s="2" t="s">
        <v>12129</v>
      </c>
      <c r="R158" s="2" t="s">
        <v>12129</v>
      </c>
      <c r="S158" s="2" t="s">
        <v>12129</v>
      </c>
      <c r="T158" s="2" t="s">
        <v>15359</v>
      </c>
      <c r="U158" s="2" t="s">
        <v>15360</v>
      </c>
      <c r="V158" s="2" t="s">
        <v>15361</v>
      </c>
      <c r="W158" s="2" t="s">
        <v>15362</v>
      </c>
      <c r="X158" s="2" t="s">
        <v>15363</v>
      </c>
      <c r="Y158" s="2" t="s">
        <v>15364</v>
      </c>
      <c r="Z158" s="2" t="s">
        <v>12129</v>
      </c>
      <c r="AA158" s="2" t="s">
        <v>12129</v>
      </c>
      <c r="AB158" s="2" t="s">
        <v>12129</v>
      </c>
      <c r="AC158" s="2" t="s">
        <v>12129</v>
      </c>
      <c r="AD158" s="2" t="s">
        <v>12129</v>
      </c>
      <c r="AE158" s="2" t="s">
        <v>12129</v>
      </c>
      <c r="AF158" s="2" t="s">
        <v>12129</v>
      </c>
      <c r="AG158" s="2">
        <v>71.0</v>
      </c>
      <c r="AH158" s="2">
        <v>91.0</v>
      </c>
      <c r="AI158" s="2">
        <v>115.0</v>
      </c>
      <c r="AJ158" s="2">
        <v>0.0</v>
      </c>
      <c r="AK158" s="2">
        <v>96.0</v>
      </c>
      <c r="AL158" s="2" t="s">
        <v>13181</v>
      </c>
      <c r="AM158" s="2" t="s">
        <v>13961</v>
      </c>
      <c r="AN158" s="2" t="s">
        <v>15170</v>
      </c>
      <c r="AO158" s="2" t="s">
        <v>15365</v>
      </c>
      <c r="AP158" s="2" t="s">
        <v>15366</v>
      </c>
      <c r="AQ158" s="2" t="s">
        <v>12129</v>
      </c>
      <c r="AR158" s="2" t="s">
        <v>15367</v>
      </c>
      <c r="AS158" s="2" t="s">
        <v>15368</v>
      </c>
      <c r="AT158" s="2" t="s">
        <v>13517</v>
      </c>
      <c r="AU158" s="2">
        <v>1997.0</v>
      </c>
      <c r="AV158" s="2">
        <v>50.0</v>
      </c>
      <c r="AW158" s="2">
        <v>2.0</v>
      </c>
      <c r="AX158" s="2" t="s">
        <v>12129</v>
      </c>
      <c r="AY158" s="2" t="s">
        <v>12129</v>
      </c>
      <c r="AZ158" s="2" t="s">
        <v>12129</v>
      </c>
      <c r="BA158" s="2" t="s">
        <v>12129</v>
      </c>
      <c r="BB158" s="2">
        <v>117.0</v>
      </c>
      <c r="BC158" s="2">
        <v>131.0</v>
      </c>
      <c r="BD158" s="2" t="s">
        <v>12129</v>
      </c>
      <c r="BE158" s="2" t="s">
        <v>15369</v>
      </c>
      <c r="BF158" s="15" t="str">
        <f>HYPERLINK("http://dx.doi.org/10.1023/A:1007320932349","http://dx.doi.org/10.1023/A:1007320932349")</f>
        <v>http://dx.doi.org/10.1023/A:1007320932349</v>
      </c>
      <c r="BG158" s="2" t="s">
        <v>12129</v>
      </c>
      <c r="BH158" s="2" t="s">
        <v>12129</v>
      </c>
      <c r="BI158" s="2">
        <v>15.0</v>
      </c>
      <c r="BJ158" s="2" t="s">
        <v>127</v>
      </c>
      <c r="BK158" s="2" t="s">
        <v>12176</v>
      </c>
      <c r="BL158" s="2" t="s">
        <v>12303</v>
      </c>
      <c r="BM158" s="2" t="s">
        <v>15370</v>
      </c>
      <c r="BN158" s="2" t="s">
        <v>12129</v>
      </c>
      <c r="BO158" s="2" t="s">
        <v>12129</v>
      </c>
      <c r="BP158" s="2" t="s">
        <v>12129</v>
      </c>
      <c r="BQ158" s="2" t="s">
        <v>12129</v>
      </c>
      <c r="BR158" s="2" t="s">
        <v>12152</v>
      </c>
      <c r="BS158" s="2" t="s">
        <v>15371</v>
      </c>
      <c r="BT158" s="2" t="str">
        <f>HYPERLINK("https%3A%2F%2Fwww.webofscience.com%2Fwos%2Fwoscc%2Ffull-record%2FWOS:A1997XW48900001","View Full Record in Web of Science")</f>
        <v>View Full Record in Web of Science</v>
      </c>
    </row>
    <row r="159" ht="12.75" customHeight="1">
      <c r="A159" s="2" t="s">
        <v>23</v>
      </c>
      <c r="B159" s="2" t="s">
        <v>15372</v>
      </c>
      <c r="C159" s="2" t="s">
        <v>12129</v>
      </c>
      <c r="D159" s="2" t="s">
        <v>12129</v>
      </c>
      <c r="E159" s="2" t="s">
        <v>12129</v>
      </c>
      <c r="F159" s="2" t="s">
        <v>15372</v>
      </c>
      <c r="G159" s="2" t="s">
        <v>12129</v>
      </c>
      <c r="H159" s="2" t="s">
        <v>12129</v>
      </c>
      <c r="I159" s="2" t="s">
        <v>15373</v>
      </c>
      <c r="J159" s="2" t="s">
        <v>15374</v>
      </c>
      <c r="K159" s="2" t="s">
        <v>12129</v>
      </c>
      <c r="L159" s="2" t="s">
        <v>12129</v>
      </c>
      <c r="M159" s="2" t="s">
        <v>3263</v>
      </c>
      <c r="N159" s="2" t="s">
        <v>35</v>
      </c>
      <c r="O159" s="2" t="s">
        <v>12129</v>
      </c>
      <c r="P159" s="2" t="s">
        <v>12129</v>
      </c>
      <c r="Q159" s="2" t="s">
        <v>12129</v>
      </c>
      <c r="R159" s="2" t="s">
        <v>12129</v>
      </c>
      <c r="S159" s="2" t="s">
        <v>12129</v>
      </c>
      <c r="T159" s="2" t="s">
        <v>12129</v>
      </c>
      <c r="U159" s="2" t="s">
        <v>15375</v>
      </c>
      <c r="V159" s="2" t="s">
        <v>15376</v>
      </c>
      <c r="W159" s="2" t="s">
        <v>15377</v>
      </c>
      <c r="X159" s="2" t="s">
        <v>15378</v>
      </c>
      <c r="Y159" s="2" t="s">
        <v>15379</v>
      </c>
      <c r="Z159" s="2" t="s">
        <v>12129</v>
      </c>
      <c r="AA159" s="2" t="s">
        <v>15380</v>
      </c>
      <c r="AB159" s="2" t="s">
        <v>12129</v>
      </c>
      <c r="AC159" s="2" t="s">
        <v>12129</v>
      </c>
      <c r="AD159" s="2" t="s">
        <v>12129</v>
      </c>
      <c r="AE159" s="2" t="s">
        <v>12129</v>
      </c>
      <c r="AF159" s="2" t="s">
        <v>12129</v>
      </c>
      <c r="AG159" s="2">
        <v>46.0</v>
      </c>
      <c r="AH159" s="2">
        <v>92.0</v>
      </c>
      <c r="AI159" s="2">
        <v>106.0</v>
      </c>
      <c r="AJ159" s="2">
        <v>0.0</v>
      </c>
      <c r="AK159" s="2">
        <v>28.0</v>
      </c>
      <c r="AL159" s="2" t="s">
        <v>14464</v>
      </c>
      <c r="AM159" s="2" t="s">
        <v>12632</v>
      </c>
      <c r="AN159" s="2" t="s">
        <v>14465</v>
      </c>
      <c r="AO159" s="2" t="s">
        <v>15381</v>
      </c>
      <c r="AP159" s="2" t="s">
        <v>12129</v>
      </c>
      <c r="AQ159" s="2" t="s">
        <v>12129</v>
      </c>
      <c r="AR159" s="2" t="s">
        <v>15382</v>
      </c>
      <c r="AS159" s="2" t="s">
        <v>15383</v>
      </c>
      <c r="AT159" s="2" t="s">
        <v>15384</v>
      </c>
      <c r="AU159" s="2">
        <v>1996.0</v>
      </c>
      <c r="AV159" s="2">
        <v>101.0</v>
      </c>
      <c r="AW159" s="2" t="s">
        <v>15385</v>
      </c>
      <c r="AX159" s="2" t="s">
        <v>12129</v>
      </c>
      <c r="AY159" s="2" t="s">
        <v>12129</v>
      </c>
      <c r="AZ159" s="2" t="s">
        <v>12129</v>
      </c>
      <c r="BA159" s="2" t="s">
        <v>12129</v>
      </c>
      <c r="BB159" s="2">
        <v>7157.0</v>
      </c>
      <c r="BC159" s="2">
        <v>7162.0</v>
      </c>
      <c r="BD159" s="2" t="s">
        <v>12129</v>
      </c>
      <c r="BE159" s="2" t="s">
        <v>15386</v>
      </c>
      <c r="BF159" s="15" t="str">
        <f>HYPERLINK("http://dx.doi.org/10.1029/95JD02138","http://dx.doi.org/10.1029/95JD02138")</f>
        <v>http://dx.doi.org/10.1029/95JD02138</v>
      </c>
      <c r="BG159" s="2" t="s">
        <v>12129</v>
      </c>
      <c r="BH159" s="2" t="s">
        <v>12129</v>
      </c>
      <c r="BI159" s="2">
        <v>6.0</v>
      </c>
      <c r="BJ159" s="2" t="s">
        <v>47</v>
      </c>
      <c r="BK159" s="2" t="s">
        <v>12176</v>
      </c>
      <c r="BL159" s="2" t="s">
        <v>47</v>
      </c>
      <c r="BM159" s="2" t="s">
        <v>15387</v>
      </c>
      <c r="BN159" s="2" t="s">
        <v>12129</v>
      </c>
      <c r="BO159" s="2" t="s">
        <v>12129</v>
      </c>
      <c r="BP159" s="2" t="s">
        <v>12129</v>
      </c>
      <c r="BQ159" s="2" t="s">
        <v>12129</v>
      </c>
      <c r="BR159" s="2" t="s">
        <v>12152</v>
      </c>
      <c r="BS159" s="2" t="s">
        <v>15388</v>
      </c>
      <c r="BT159" s="2" t="str">
        <f>HYPERLINK("https%3A%2F%2Fwww.webofscience.com%2Fwos%2Fwoscc%2Ffull-record%2FWOS:A1996UB98600039","View Full Record in Web of Science")</f>
        <v>View Full Record in Web of Science</v>
      </c>
    </row>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33.5"/>
    <col customWidth="1" min="3" max="3" width="23.25"/>
    <col customWidth="1" min="4" max="6" width="8.88"/>
    <col customWidth="1" min="7" max="7" width="11.0"/>
    <col customWidth="1" min="8" max="8" width="8.88"/>
    <col customWidth="1" min="9" max="9" width="10.63"/>
    <col customWidth="1" min="10" max="10" width="17.63"/>
    <col customWidth="1" min="11" max="11" width="54.38"/>
    <col customWidth="1" min="12" max="12" width="37.25"/>
    <col customWidth="1" min="13" max="13" width="14.5"/>
    <col customWidth="1" min="14" max="14" width="15.75"/>
    <col customWidth="1" min="15" max="15" width="21.75"/>
  </cols>
  <sheetData>
    <row r="1">
      <c r="A1" s="10" t="s">
        <v>1276</v>
      </c>
      <c r="B1" s="10" t="s">
        <v>1277</v>
      </c>
      <c r="C1" s="16" t="s">
        <v>15389</v>
      </c>
      <c r="D1" s="17" t="s">
        <v>15390</v>
      </c>
      <c r="E1" s="18" t="s">
        <v>15391</v>
      </c>
      <c r="F1" s="19" t="s">
        <v>15392</v>
      </c>
      <c r="G1" s="20" t="s">
        <v>15393</v>
      </c>
      <c r="H1" s="17" t="s">
        <v>15394</v>
      </c>
      <c r="I1" s="16" t="s">
        <v>15395</v>
      </c>
      <c r="J1" s="10" t="s">
        <v>15396</v>
      </c>
      <c r="K1" s="10" t="s">
        <v>1278</v>
      </c>
      <c r="L1" s="10" t="s">
        <v>17</v>
      </c>
      <c r="M1" s="17" t="s">
        <v>15397</v>
      </c>
      <c r="N1" s="17" t="s">
        <v>15398</v>
      </c>
      <c r="O1" s="10" t="s">
        <v>1312</v>
      </c>
    </row>
    <row r="2">
      <c r="A2" s="2">
        <v>2002.0</v>
      </c>
      <c r="B2" s="2" t="s">
        <v>6001</v>
      </c>
      <c r="C2" s="2" t="s">
        <v>15399</v>
      </c>
      <c r="D2" s="2" t="s">
        <v>15399</v>
      </c>
      <c r="K2" s="2" t="s">
        <v>1178</v>
      </c>
      <c r="L2" s="2" t="s">
        <v>1180</v>
      </c>
      <c r="N2" s="2" t="s">
        <v>15399</v>
      </c>
      <c r="O2" s="2" t="s">
        <v>1621</v>
      </c>
    </row>
    <row r="3">
      <c r="A3" s="2">
        <v>2015.0</v>
      </c>
      <c r="B3" s="2" t="s">
        <v>2148</v>
      </c>
      <c r="C3" s="2" t="s">
        <v>15399</v>
      </c>
      <c r="D3" s="2" t="s">
        <v>15399</v>
      </c>
      <c r="K3" s="2" t="s">
        <v>2149</v>
      </c>
      <c r="L3" s="2" t="s">
        <v>333</v>
      </c>
      <c r="N3" s="2" t="s">
        <v>15399</v>
      </c>
      <c r="O3" s="2" t="s">
        <v>2159</v>
      </c>
    </row>
    <row r="4">
      <c r="A4" s="2">
        <v>2016.0</v>
      </c>
      <c r="B4" s="2" t="s">
        <v>5049</v>
      </c>
      <c r="C4" s="2" t="s">
        <v>15399</v>
      </c>
      <c r="D4" s="2" t="s">
        <v>15399</v>
      </c>
      <c r="K4" s="2" t="s">
        <v>198</v>
      </c>
      <c r="L4" s="2" t="s">
        <v>202</v>
      </c>
      <c r="N4" s="2" t="s">
        <v>15399</v>
      </c>
      <c r="O4" s="2" t="s">
        <v>1368</v>
      </c>
    </row>
    <row r="5">
      <c r="A5" s="2">
        <v>2013.0</v>
      </c>
      <c r="B5" s="2" t="s">
        <v>10185</v>
      </c>
      <c r="C5" s="2" t="s">
        <v>15399</v>
      </c>
      <c r="D5" s="2" t="s">
        <v>15399</v>
      </c>
      <c r="K5" s="2" t="s">
        <v>587</v>
      </c>
      <c r="L5" s="2" t="s">
        <v>589</v>
      </c>
      <c r="N5" s="2" t="s">
        <v>15399</v>
      </c>
      <c r="O5" s="2" t="s">
        <v>1542</v>
      </c>
    </row>
    <row r="6">
      <c r="A6" s="2">
        <v>2008.0</v>
      </c>
      <c r="B6" s="2" t="s">
        <v>2224</v>
      </c>
      <c r="C6" s="2" t="s">
        <v>15399</v>
      </c>
      <c r="D6" s="2" t="s">
        <v>15399</v>
      </c>
      <c r="K6" s="2" t="s">
        <v>2225</v>
      </c>
      <c r="L6" s="2" t="s">
        <v>1023</v>
      </c>
      <c r="N6" s="2" t="s">
        <v>15399</v>
      </c>
      <c r="O6" s="2" t="s">
        <v>2159</v>
      </c>
    </row>
    <row r="7">
      <c r="A7" s="2">
        <v>2009.0</v>
      </c>
      <c r="B7" s="2" t="s">
        <v>5477</v>
      </c>
      <c r="C7" s="2" t="s">
        <v>15399</v>
      </c>
      <c r="D7" s="2" t="s">
        <v>15399</v>
      </c>
      <c r="K7" s="2" t="s">
        <v>961</v>
      </c>
      <c r="L7" s="2" t="s">
        <v>963</v>
      </c>
      <c r="N7" s="2" t="s">
        <v>15399</v>
      </c>
      <c r="O7" s="2" t="s">
        <v>3548</v>
      </c>
    </row>
    <row r="8">
      <c r="A8" s="2">
        <v>2014.0</v>
      </c>
      <c r="B8" s="2" t="s">
        <v>10660</v>
      </c>
      <c r="C8" s="2" t="s">
        <v>15399</v>
      </c>
      <c r="I8" s="2" t="s">
        <v>15399</v>
      </c>
      <c r="K8" s="2" t="s">
        <v>519</v>
      </c>
      <c r="L8" s="2" t="s">
        <v>522</v>
      </c>
      <c r="N8" s="2" t="s">
        <v>15399</v>
      </c>
      <c r="O8" s="2" t="s">
        <v>1368</v>
      </c>
    </row>
    <row r="9">
      <c r="A9" s="2">
        <v>2015.0</v>
      </c>
      <c r="B9" s="2" t="s">
        <v>4400</v>
      </c>
      <c r="C9" s="2" t="s">
        <v>15399</v>
      </c>
      <c r="F9" s="2" t="s">
        <v>15399</v>
      </c>
      <c r="K9" s="2" t="s">
        <v>338</v>
      </c>
      <c r="L9" s="2" t="s">
        <v>341</v>
      </c>
      <c r="N9" s="2" t="s">
        <v>15399</v>
      </c>
      <c r="O9" s="2" t="s">
        <v>1368</v>
      </c>
    </row>
    <row r="10">
      <c r="A10" s="2">
        <v>2017.0</v>
      </c>
      <c r="B10" s="2" t="s">
        <v>4437</v>
      </c>
      <c r="C10" s="2" t="s">
        <v>15399</v>
      </c>
      <c r="I10" s="2" t="s">
        <v>15399</v>
      </c>
      <c r="K10" s="2" t="s">
        <v>51</v>
      </c>
      <c r="L10" s="2" t="s">
        <v>54</v>
      </c>
      <c r="N10" s="2" t="s">
        <v>15399</v>
      </c>
      <c r="O10" s="2" t="s">
        <v>1368</v>
      </c>
    </row>
    <row r="11">
      <c r="A11" s="2">
        <v>2005.0</v>
      </c>
      <c r="B11" s="2" t="s">
        <v>2118</v>
      </c>
      <c r="C11" s="2" t="s">
        <v>15399</v>
      </c>
      <c r="I11" s="2" t="s">
        <v>15399</v>
      </c>
      <c r="K11" s="2" t="s">
        <v>1084</v>
      </c>
      <c r="L11" s="2" t="s">
        <v>1087</v>
      </c>
      <c r="N11" s="2" t="s">
        <v>15399</v>
      </c>
      <c r="O11" s="2" t="s">
        <v>1368</v>
      </c>
    </row>
    <row r="12">
      <c r="A12" s="2">
        <v>2012.0</v>
      </c>
      <c r="B12" s="2" t="s">
        <v>4521</v>
      </c>
      <c r="C12" s="2" t="s">
        <v>15399</v>
      </c>
      <c r="I12" s="2" t="s">
        <v>15399</v>
      </c>
      <c r="K12" s="2" t="s">
        <v>715</v>
      </c>
      <c r="L12" s="2" t="s">
        <v>718</v>
      </c>
      <c r="N12" s="2" t="s">
        <v>15399</v>
      </c>
      <c r="O12" s="2" t="s">
        <v>1368</v>
      </c>
    </row>
    <row r="13">
      <c r="A13" s="2">
        <v>2006.0</v>
      </c>
      <c r="B13" s="2" t="s">
        <v>4367</v>
      </c>
      <c r="C13" s="2" t="s">
        <v>15399</v>
      </c>
      <c r="E13" s="2" t="s">
        <v>15399</v>
      </c>
      <c r="K13" s="2" t="s">
        <v>4368</v>
      </c>
      <c r="L13" s="2" t="s">
        <v>15400</v>
      </c>
      <c r="M13" s="2" t="s">
        <v>15401</v>
      </c>
      <c r="O13" s="2" t="s">
        <v>1368</v>
      </c>
    </row>
    <row r="14">
      <c r="A14" s="2">
        <v>1997.0</v>
      </c>
      <c r="B14" s="2" t="s">
        <v>10516</v>
      </c>
      <c r="C14" s="2" t="s">
        <v>15399</v>
      </c>
      <c r="G14" s="2" t="s">
        <v>15399</v>
      </c>
      <c r="K14" s="2" t="s">
        <v>10517</v>
      </c>
      <c r="L14" s="2" t="s">
        <v>15402</v>
      </c>
      <c r="M14" s="2" t="s">
        <v>15399</v>
      </c>
      <c r="O14" s="2" t="s">
        <v>1368</v>
      </c>
    </row>
    <row r="15">
      <c r="A15" s="2">
        <v>2018.0</v>
      </c>
      <c r="B15" s="2" t="s">
        <v>8958</v>
      </c>
      <c r="C15" s="2" t="s">
        <v>15399</v>
      </c>
      <c r="G15" s="2" t="s">
        <v>15399</v>
      </c>
      <c r="J15" s="2" t="s">
        <v>15399</v>
      </c>
      <c r="K15" s="2" t="s">
        <v>8959</v>
      </c>
      <c r="O15" s="2" t="s">
        <v>1368</v>
      </c>
    </row>
    <row r="16">
      <c r="A16" s="2">
        <v>2000.0</v>
      </c>
      <c r="B16" s="2" t="s">
        <v>10370</v>
      </c>
      <c r="C16" s="2" t="s">
        <v>15399</v>
      </c>
      <c r="F16" s="2" t="s">
        <v>15399</v>
      </c>
      <c r="K16" s="2" t="s">
        <v>1234</v>
      </c>
      <c r="L16" s="2" t="s">
        <v>1237</v>
      </c>
      <c r="N16" s="2" t="s">
        <v>15399</v>
      </c>
      <c r="O16" s="2" t="s">
        <v>1368</v>
      </c>
    </row>
    <row r="17">
      <c r="A17" s="2">
        <v>2008.0</v>
      </c>
      <c r="B17" s="2" t="s">
        <v>10513</v>
      </c>
      <c r="C17" s="2" t="s">
        <v>15399</v>
      </c>
      <c r="E17" s="2" t="s">
        <v>15399</v>
      </c>
      <c r="K17" s="2" t="s">
        <v>998</v>
      </c>
      <c r="L17" s="2" t="s">
        <v>1001</v>
      </c>
      <c r="N17" s="2" t="s">
        <v>15399</v>
      </c>
      <c r="O17" s="2" t="s">
        <v>1368</v>
      </c>
    </row>
    <row r="18">
      <c r="A18" s="2">
        <v>2015.0</v>
      </c>
      <c r="B18" s="2" t="s">
        <v>5185</v>
      </c>
      <c r="C18" s="2" t="s">
        <v>15399</v>
      </c>
      <c r="H18" s="2" t="s">
        <v>15399</v>
      </c>
      <c r="K18" s="2" t="s">
        <v>264</v>
      </c>
      <c r="L18" s="2" t="s">
        <v>268</v>
      </c>
      <c r="N18" s="2" t="s">
        <v>15399</v>
      </c>
      <c r="O18" s="2" t="s">
        <v>1368</v>
      </c>
    </row>
    <row r="19">
      <c r="A19" s="2">
        <v>2014.0</v>
      </c>
      <c r="B19" s="2" t="s">
        <v>1794</v>
      </c>
      <c r="C19" s="2" t="s">
        <v>15399</v>
      </c>
      <c r="G19" s="2" t="s">
        <v>15399</v>
      </c>
      <c r="K19" s="2" t="s">
        <v>1795</v>
      </c>
      <c r="L19" s="2" t="s">
        <v>467</v>
      </c>
      <c r="N19" s="2" t="s">
        <v>15399</v>
      </c>
      <c r="O19" s="2" t="s">
        <v>1368</v>
      </c>
    </row>
    <row r="20">
      <c r="A20" s="2">
        <v>2008.0</v>
      </c>
      <c r="B20" s="2" t="s">
        <v>3355</v>
      </c>
      <c r="C20" s="2" t="s">
        <v>15399</v>
      </c>
      <c r="I20" s="2" t="s">
        <v>15399</v>
      </c>
      <c r="K20" s="2" t="s">
        <v>1013</v>
      </c>
      <c r="L20" s="2" t="s">
        <v>1016</v>
      </c>
      <c r="N20" s="2" t="s">
        <v>15399</v>
      </c>
      <c r="O20" s="2" t="s">
        <v>1368</v>
      </c>
    </row>
    <row r="21" ht="15.75" customHeight="1">
      <c r="A21" s="2">
        <v>2013.0</v>
      </c>
      <c r="B21" s="2" t="s">
        <v>4136</v>
      </c>
      <c r="C21" s="2" t="s">
        <v>15399</v>
      </c>
      <c r="G21" s="2" t="s">
        <v>15399</v>
      </c>
      <c r="K21" s="2" t="s">
        <v>549</v>
      </c>
      <c r="L21" s="2" t="s">
        <v>552</v>
      </c>
      <c r="N21" s="2" t="s">
        <v>15399</v>
      </c>
      <c r="O21" s="2" t="s">
        <v>1885</v>
      </c>
    </row>
    <row r="22" ht="15.75" customHeight="1">
      <c r="A22" s="2">
        <v>2008.0</v>
      </c>
      <c r="B22" s="2" t="s">
        <v>9191</v>
      </c>
      <c r="C22" s="2" t="s">
        <v>15399</v>
      </c>
      <c r="I22" s="2" t="s">
        <v>15399</v>
      </c>
      <c r="K22" s="2" t="s">
        <v>9192</v>
      </c>
      <c r="L22" s="2" t="s">
        <v>992</v>
      </c>
      <c r="N22" s="2" t="s">
        <v>15399</v>
      </c>
      <c r="O22" s="2" t="s">
        <v>1368</v>
      </c>
    </row>
    <row r="23" ht="15.75" customHeight="1">
      <c r="A23" s="2">
        <v>2009.0</v>
      </c>
      <c r="B23" s="2" t="s">
        <v>3847</v>
      </c>
      <c r="C23" s="2" t="s">
        <v>15399</v>
      </c>
      <c r="E23" s="2" t="s">
        <v>15399</v>
      </c>
      <c r="K23" s="2" t="s">
        <v>945</v>
      </c>
      <c r="L23" s="2" t="s">
        <v>948</v>
      </c>
      <c r="N23" s="2" t="s">
        <v>15399</v>
      </c>
      <c r="O23" s="2" t="s">
        <v>1368</v>
      </c>
    </row>
    <row r="24" ht="15.75" customHeight="1">
      <c r="A24" s="2">
        <v>2010.0</v>
      </c>
      <c r="B24" s="2" t="s">
        <v>2319</v>
      </c>
      <c r="C24" s="2" t="s">
        <v>15399</v>
      </c>
      <c r="G24" s="2" t="s">
        <v>15399</v>
      </c>
      <c r="K24" s="2" t="s">
        <v>832</v>
      </c>
      <c r="L24" s="2" t="s">
        <v>835</v>
      </c>
      <c r="N24" s="2" t="s">
        <v>15399</v>
      </c>
      <c r="O24" s="2" t="s">
        <v>1368</v>
      </c>
    </row>
    <row r="25" ht="15.75" customHeight="1">
      <c r="A25" s="2">
        <v>2016.0</v>
      </c>
      <c r="B25" s="2" t="s">
        <v>11897</v>
      </c>
      <c r="C25" s="2" t="s">
        <v>15399</v>
      </c>
      <c r="E25" s="2" t="s">
        <v>15399</v>
      </c>
      <c r="K25" s="2" t="s">
        <v>247</v>
      </c>
      <c r="L25" s="2" t="s">
        <v>250</v>
      </c>
      <c r="N25" s="2" t="s">
        <v>15399</v>
      </c>
      <c r="O25" s="2" t="s">
        <v>1542</v>
      </c>
    </row>
    <row r="26" ht="15.75" customHeight="1">
      <c r="A26" s="2">
        <v>2012.0</v>
      </c>
      <c r="B26" s="2" t="s">
        <v>11524</v>
      </c>
      <c r="C26" s="2" t="s">
        <v>15399</v>
      </c>
      <c r="E26" s="2" t="s">
        <v>15399</v>
      </c>
      <c r="K26" s="2" t="s">
        <v>645</v>
      </c>
      <c r="L26" s="2" t="s">
        <v>647</v>
      </c>
      <c r="M26" s="2" t="s">
        <v>15399</v>
      </c>
      <c r="N26" s="2" t="s">
        <v>15399</v>
      </c>
      <c r="O26" s="2" t="s">
        <v>1368</v>
      </c>
    </row>
    <row r="27" ht="15.75" customHeight="1">
      <c r="A27" s="2">
        <v>2013.0</v>
      </c>
      <c r="B27" s="2" t="s">
        <v>6805</v>
      </c>
      <c r="C27" s="2" t="s">
        <v>15399</v>
      </c>
      <c r="E27" s="2" t="s">
        <v>15399</v>
      </c>
      <c r="K27" s="2" t="s">
        <v>571</v>
      </c>
      <c r="L27" s="2" t="s">
        <v>574</v>
      </c>
      <c r="N27" s="2" t="s">
        <v>15399</v>
      </c>
      <c r="O27" s="2" t="s">
        <v>1368</v>
      </c>
    </row>
    <row r="28" ht="15.75" customHeight="1">
      <c r="A28" s="2">
        <v>2010.0</v>
      </c>
      <c r="B28" s="2" t="s">
        <v>3922</v>
      </c>
      <c r="C28" s="2" t="s">
        <v>15399</v>
      </c>
      <c r="I28" s="2" t="s">
        <v>15399</v>
      </c>
      <c r="K28" s="2" t="s">
        <v>3923</v>
      </c>
      <c r="L28" s="2" t="s">
        <v>851</v>
      </c>
      <c r="N28" s="2" t="s">
        <v>15399</v>
      </c>
      <c r="O28" s="2" t="s">
        <v>1368</v>
      </c>
    </row>
    <row r="29" ht="15.75" customHeight="1">
      <c r="A29" s="2">
        <v>2012.0</v>
      </c>
      <c r="B29" s="2" t="s">
        <v>8777</v>
      </c>
      <c r="C29" s="2" t="s">
        <v>15399</v>
      </c>
      <c r="G29" s="2" t="s">
        <v>15399</v>
      </c>
      <c r="K29" s="2" t="s">
        <v>699</v>
      </c>
      <c r="L29" s="2" t="s">
        <v>702</v>
      </c>
      <c r="N29" s="2" t="s">
        <v>15399</v>
      </c>
      <c r="O29" s="2" t="s">
        <v>1368</v>
      </c>
    </row>
    <row r="30" ht="15.75" customHeight="1">
      <c r="A30" s="2">
        <v>2002.0</v>
      </c>
      <c r="B30" s="2" t="s">
        <v>1568</v>
      </c>
      <c r="C30" s="2" t="s">
        <v>15399</v>
      </c>
      <c r="G30" s="2" t="s">
        <v>15399</v>
      </c>
      <c r="K30" s="2" t="s">
        <v>1569</v>
      </c>
      <c r="L30" s="2" t="s">
        <v>226</v>
      </c>
      <c r="N30" s="2" t="s">
        <v>15399</v>
      </c>
      <c r="O30" s="2" t="s">
        <v>1368</v>
      </c>
    </row>
    <row r="31" ht="15.75" customHeight="1">
      <c r="A31" s="2">
        <v>2006.0</v>
      </c>
      <c r="B31" s="2" t="s">
        <v>10915</v>
      </c>
      <c r="C31" s="2" t="s">
        <v>15399</v>
      </c>
      <c r="G31" s="2" t="s">
        <v>15399</v>
      </c>
      <c r="K31" s="2" t="s">
        <v>1076</v>
      </c>
      <c r="L31" s="2" t="s">
        <v>1079</v>
      </c>
      <c r="N31" s="2" t="s">
        <v>15399</v>
      </c>
      <c r="O31" s="2" t="s">
        <v>1368</v>
      </c>
    </row>
    <row r="32" ht="15.75" customHeight="1">
      <c r="A32" s="2">
        <v>2013.0</v>
      </c>
      <c r="B32" s="2" t="s">
        <v>10898</v>
      </c>
      <c r="C32" s="2" t="s">
        <v>15399</v>
      </c>
      <c r="E32" s="2" t="s">
        <v>15399</v>
      </c>
      <c r="K32" s="2" t="s">
        <v>601</v>
      </c>
      <c r="L32" s="2" t="s">
        <v>604</v>
      </c>
      <c r="N32" s="2" t="s">
        <v>15399</v>
      </c>
      <c r="O32" s="2" t="s">
        <v>1368</v>
      </c>
    </row>
    <row r="33" ht="15.75" customHeight="1">
      <c r="A33" s="2">
        <v>2011.0</v>
      </c>
      <c r="B33" s="2" t="s">
        <v>4383</v>
      </c>
      <c r="C33" s="2" t="s">
        <v>15399</v>
      </c>
      <c r="E33" s="2" t="s">
        <v>15399</v>
      </c>
      <c r="K33" s="2" t="s">
        <v>746</v>
      </c>
      <c r="L33" s="2" t="s">
        <v>749</v>
      </c>
      <c r="N33" s="2" t="s">
        <v>15399</v>
      </c>
      <c r="O33" s="2" t="s">
        <v>1368</v>
      </c>
    </row>
    <row r="34" ht="15.75" customHeight="1">
      <c r="A34" s="2">
        <v>2004.0</v>
      </c>
      <c r="B34" s="2" t="s">
        <v>8635</v>
      </c>
      <c r="C34" s="2" t="s">
        <v>15399</v>
      </c>
      <c r="I34" s="2" t="s">
        <v>15399</v>
      </c>
      <c r="K34" s="2" t="s">
        <v>1133</v>
      </c>
      <c r="L34" s="2" t="s">
        <v>1135</v>
      </c>
      <c r="N34" s="2" t="s">
        <v>15399</v>
      </c>
      <c r="O34" s="2" t="s">
        <v>1368</v>
      </c>
    </row>
    <row r="35" ht="15.75" customHeight="1">
      <c r="A35" s="2">
        <v>2012.0</v>
      </c>
      <c r="B35" s="2" t="s">
        <v>4608</v>
      </c>
      <c r="C35" s="2" t="s">
        <v>15399</v>
      </c>
      <c r="E35" s="2" t="s">
        <v>15399</v>
      </c>
      <c r="K35" s="2" t="s">
        <v>4609</v>
      </c>
      <c r="L35" s="2" t="s">
        <v>710</v>
      </c>
      <c r="N35" s="2" t="s">
        <v>15399</v>
      </c>
      <c r="O35" s="2" t="s">
        <v>1368</v>
      </c>
    </row>
    <row r="36" ht="15.75" customHeight="1">
      <c r="A36" s="2">
        <v>2014.0</v>
      </c>
      <c r="B36" s="2" t="s">
        <v>11682</v>
      </c>
      <c r="C36" s="2" t="s">
        <v>15399</v>
      </c>
      <c r="G36" s="2" t="s">
        <v>15399</v>
      </c>
      <c r="K36" s="2" t="s">
        <v>542</v>
      </c>
      <c r="L36" s="2" t="s">
        <v>544</v>
      </c>
      <c r="N36" s="2" t="s">
        <v>15399</v>
      </c>
      <c r="O36" s="2" t="s">
        <v>1368</v>
      </c>
    </row>
    <row r="37" ht="15.75" customHeight="1">
      <c r="A37" s="2">
        <v>2015.0</v>
      </c>
      <c r="B37" s="2" t="s">
        <v>10610</v>
      </c>
      <c r="C37" s="2" t="s">
        <v>15399</v>
      </c>
      <c r="E37" s="2" t="s">
        <v>15399</v>
      </c>
      <c r="K37" s="2" t="s">
        <v>282</v>
      </c>
      <c r="L37" s="2" t="s">
        <v>285</v>
      </c>
      <c r="N37" s="2" t="s">
        <v>15399</v>
      </c>
      <c r="O37" s="2" t="s">
        <v>1368</v>
      </c>
    </row>
    <row r="38" ht="15.75" customHeight="1">
      <c r="A38" s="2">
        <v>2006.0</v>
      </c>
      <c r="B38" s="2" t="s">
        <v>3377</v>
      </c>
      <c r="C38" s="2" t="s">
        <v>15399</v>
      </c>
      <c r="I38" s="2" t="s">
        <v>15399</v>
      </c>
      <c r="K38" s="2" t="s">
        <v>1051</v>
      </c>
      <c r="L38" s="2" t="s">
        <v>1054</v>
      </c>
      <c r="N38" s="2" t="s">
        <v>15399</v>
      </c>
      <c r="O38" s="2" t="s">
        <v>1368</v>
      </c>
    </row>
    <row r="39" ht="15.75" customHeight="1">
      <c r="A39" s="2">
        <v>2004.0</v>
      </c>
      <c r="B39" s="2" t="s">
        <v>4949</v>
      </c>
      <c r="C39" s="2" t="s">
        <v>15399</v>
      </c>
      <c r="E39" s="2" t="s">
        <v>15399</v>
      </c>
      <c r="K39" s="2" t="s">
        <v>1125</v>
      </c>
      <c r="L39" s="2" t="s">
        <v>1128</v>
      </c>
      <c r="N39" s="2" t="s">
        <v>15399</v>
      </c>
      <c r="O39" s="2" t="s">
        <v>1368</v>
      </c>
    </row>
    <row r="40" ht="15.75" customHeight="1">
      <c r="A40" s="2">
        <v>2016.0</v>
      </c>
      <c r="B40" s="2" t="s">
        <v>8455</v>
      </c>
      <c r="C40" s="2" t="s">
        <v>15399</v>
      </c>
      <c r="F40" s="2" t="s">
        <v>15399</v>
      </c>
      <c r="K40" s="2" t="s">
        <v>189</v>
      </c>
      <c r="L40" s="2" t="s">
        <v>192</v>
      </c>
      <c r="N40" s="2" t="s">
        <v>15399</v>
      </c>
      <c r="O40" s="2" t="s">
        <v>2889</v>
      </c>
    </row>
    <row r="41" ht="15.75" customHeight="1">
      <c r="A41" s="2">
        <v>2010.0</v>
      </c>
      <c r="B41" s="2" t="s">
        <v>4488</v>
      </c>
      <c r="C41" s="2" t="s">
        <v>15399</v>
      </c>
      <c r="G41" s="2" t="s">
        <v>15399</v>
      </c>
      <c r="K41" s="2" t="s">
        <v>900</v>
      </c>
      <c r="L41" s="2" t="s">
        <v>903</v>
      </c>
      <c r="N41" s="2" t="s">
        <v>15399</v>
      </c>
      <c r="O41" s="2" t="s">
        <v>1368</v>
      </c>
    </row>
    <row r="42" ht="15.75" customHeight="1">
      <c r="A42" s="2">
        <v>2015.0</v>
      </c>
      <c r="B42" s="2" t="s">
        <v>5005</v>
      </c>
      <c r="C42" s="2" t="s">
        <v>15399</v>
      </c>
      <c r="E42" s="2" t="s">
        <v>15399</v>
      </c>
      <c r="K42" s="2" t="s">
        <v>440</v>
      </c>
      <c r="L42" s="2" t="s">
        <v>443</v>
      </c>
      <c r="M42" s="2" t="s">
        <v>15399</v>
      </c>
      <c r="N42" s="2" t="s">
        <v>15399</v>
      </c>
      <c r="O42" s="2" t="s">
        <v>1368</v>
      </c>
    </row>
    <row r="43" ht="15.75" customHeight="1">
      <c r="A43" s="2">
        <v>2009.0</v>
      </c>
      <c r="B43" s="2" t="s">
        <v>2345</v>
      </c>
      <c r="C43" s="2" t="s">
        <v>15399</v>
      </c>
      <c r="E43" s="2" t="s">
        <v>15399</v>
      </c>
      <c r="K43" s="2" t="s">
        <v>954</v>
      </c>
      <c r="L43" s="2" t="s">
        <v>956</v>
      </c>
      <c r="N43" s="2" t="s">
        <v>15399</v>
      </c>
      <c r="O43" s="2" t="s">
        <v>1368</v>
      </c>
    </row>
    <row r="44" ht="15.75" customHeight="1">
      <c r="A44" s="2">
        <v>2016.0</v>
      </c>
      <c r="B44" s="2" t="s">
        <v>7673</v>
      </c>
      <c r="C44" s="2" t="s">
        <v>15399</v>
      </c>
      <c r="E44" s="2" t="s">
        <v>15399</v>
      </c>
      <c r="K44" s="2" t="s">
        <v>7674</v>
      </c>
      <c r="L44" s="2" t="s">
        <v>167</v>
      </c>
      <c r="N44" s="2" t="s">
        <v>15399</v>
      </c>
      <c r="O44" s="2" t="s">
        <v>1368</v>
      </c>
    </row>
    <row r="45" ht="15.75" customHeight="1">
      <c r="A45" s="2">
        <v>2015.0</v>
      </c>
      <c r="B45" s="2" t="s">
        <v>11577</v>
      </c>
      <c r="C45" s="2" t="s">
        <v>15399</v>
      </c>
      <c r="G45" s="2" t="s">
        <v>15399</v>
      </c>
      <c r="K45" s="2" t="s">
        <v>256</v>
      </c>
      <c r="L45" s="2" t="s">
        <v>259</v>
      </c>
      <c r="N45" s="2" t="s">
        <v>15399</v>
      </c>
      <c r="O45" s="2" t="s">
        <v>1368</v>
      </c>
    </row>
    <row r="46" ht="15.75" customHeight="1">
      <c r="A46" s="2">
        <v>2015.0</v>
      </c>
      <c r="B46" s="2" t="s">
        <v>5145</v>
      </c>
      <c r="C46" s="2" t="s">
        <v>15399</v>
      </c>
      <c r="G46" s="2" t="s">
        <v>15399</v>
      </c>
      <c r="K46" s="2" t="s">
        <v>291</v>
      </c>
      <c r="L46" s="2" t="s">
        <v>294</v>
      </c>
      <c r="N46" s="2" t="s">
        <v>15399</v>
      </c>
      <c r="O46" s="2" t="s">
        <v>1368</v>
      </c>
    </row>
    <row r="47" ht="15.75" customHeight="1">
      <c r="A47" s="2">
        <v>2007.0</v>
      </c>
      <c r="B47" s="2" t="s">
        <v>6883</v>
      </c>
      <c r="C47" s="2" t="s">
        <v>15399</v>
      </c>
      <c r="E47" s="2" t="s">
        <v>15399</v>
      </c>
      <c r="K47" s="2" t="s">
        <v>1042</v>
      </c>
      <c r="L47" s="2" t="s">
        <v>1045</v>
      </c>
      <c r="N47" s="2" t="s">
        <v>15399</v>
      </c>
      <c r="O47" s="2" t="s">
        <v>1368</v>
      </c>
    </row>
    <row r="48" ht="15.75" customHeight="1">
      <c r="A48" s="2">
        <v>2012.0</v>
      </c>
      <c r="B48" s="2" t="s">
        <v>10615</v>
      </c>
      <c r="C48" s="2" t="s">
        <v>15399</v>
      </c>
      <c r="E48" s="2" t="s">
        <v>15399</v>
      </c>
      <c r="K48" s="2" t="s">
        <v>675</v>
      </c>
      <c r="L48" s="2" t="s">
        <v>678</v>
      </c>
      <c r="N48" s="2" t="s">
        <v>15399</v>
      </c>
      <c r="O48" s="2" t="s">
        <v>1368</v>
      </c>
    </row>
    <row r="49" ht="15.75" customHeight="1">
      <c r="A49" s="2">
        <v>2010.0</v>
      </c>
      <c r="B49" s="2" t="s">
        <v>6139</v>
      </c>
      <c r="C49" s="2" t="s">
        <v>15399</v>
      </c>
      <c r="G49" s="2" t="s">
        <v>15399</v>
      </c>
      <c r="K49" s="2" t="s">
        <v>802</v>
      </c>
      <c r="L49" s="2" t="s">
        <v>804</v>
      </c>
      <c r="N49" s="2" t="s">
        <v>15399</v>
      </c>
      <c r="O49" s="2" t="s">
        <v>1368</v>
      </c>
    </row>
    <row r="50" ht="15.75" customHeight="1">
      <c r="A50" s="2">
        <v>2014.0</v>
      </c>
      <c r="B50" s="2" t="s">
        <v>4405</v>
      </c>
      <c r="C50" s="2" t="s">
        <v>15399</v>
      </c>
      <c r="E50" s="2" t="s">
        <v>15399</v>
      </c>
      <c r="K50" s="2" t="s">
        <v>528</v>
      </c>
      <c r="L50" s="2" t="s">
        <v>530</v>
      </c>
      <c r="N50" s="2" t="s">
        <v>15399</v>
      </c>
      <c r="O50" s="2" t="s">
        <v>1368</v>
      </c>
    </row>
    <row r="51" ht="15.75" customHeight="1">
      <c r="A51" s="2">
        <v>2015.0</v>
      </c>
      <c r="B51" s="2" t="s">
        <v>6935</v>
      </c>
      <c r="C51" s="2" t="s">
        <v>15399</v>
      </c>
      <c r="F51" s="2" t="s">
        <v>15399</v>
      </c>
      <c r="K51" s="2" t="s">
        <v>433</v>
      </c>
      <c r="L51" s="2" t="s">
        <v>435</v>
      </c>
      <c r="N51" s="2" t="s">
        <v>15399</v>
      </c>
      <c r="O51" s="2" t="s">
        <v>1368</v>
      </c>
    </row>
    <row r="52" ht="15.75" customHeight="1">
      <c r="A52" s="2">
        <v>2017.0</v>
      </c>
      <c r="B52" s="2" t="s">
        <v>11667</v>
      </c>
      <c r="C52" s="2" t="s">
        <v>15399</v>
      </c>
      <c r="G52" s="2" t="s">
        <v>15399</v>
      </c>
      <c r="K52" s="2" t="s">
        <v>60</v>
      </c>
      <c r="L52" s="2" t="s">
        <v>63</v>
      </c>
      <c r="N52" s="2" t="s">
        <v>15399</v>
      </c>
      <c r="O52" s="2" t="s">
        <v>1368</v>
      </c>
    </row>
    <row r="53" ht="15.75" customHeight="1">
      <c r="A53" s="2">
        <v>2014.0</v>
      </c>
      <c r="B53" s="2" t="s">
        <v>11949</v>
      </c>
      <c r="C53" s="2" t="s">
        <v>15399</v>
      </c>
      <c r="G53" s="2" t="s">
        <v>15399</v>
      </c>
      <c r="J53" s="2" t="s">
        <v>15399</v>
      </c>
      <c r="K53" s="2" t="s">
        <v>11950</v>
      </c>
      <c r="O53" s="2" t="s">
        <v>1368</v>
      </c>
    </row>
    <row r="54" ht="15.75" customHeight="1">
      <c r="A54" s="2">
        <v>2013.0</v>
      </c>
      <c r="B54" s="2" t="s">
        <v>11938</v>
      </c>
      <c r="C54" s="2" t="s">
        <v>15399</v>
      </c>
      <c r="G54" s="2" t="s">
        <v>15399</v>
      </c>
      <c r="J54" s="2" t="s">
        <v>15399</v>
      </c>
      <c r="K54" s="2" t="s">
        <v>11939</v>
      </c>
      <c r="O54" s="2" t="s">
        <v>1368</v>
      </c>
    </row>
    <row r="55" ht="15.75" customHeight="1">
      <c r="A55" s="2">
        <v>2013.0</v>
      </c>
      <c r="B55" s="2" t="s">
        <v>8462</v>
      </c>
      <c r="C55" s="2" t="s">
        <v>15399</v>
      </c>
      <c r="H55" s="2" t="s">
        <v>15399</v>
      </c>
      <c r="K55" s="2" t="s">
        <v>8463</v>
      </c>
      <c r="L55" s="2" t="s">
        <v>628</v>
      </c>
      <c r="N55" s="2" t="s">
        <v>15399</v>
      </c>
      <c r="O55" s="2" t="s">
        <v>2169</v>
      </c>
    </row>
    <row r="56" ht="15.75" customHeight="1">
      <c r="A56" s="2">
        <v>2011.0</v>
      </c>
      <c r="B56" s="2" t="s">
        <v>6293</v>
      </c>
      <c r="C56" s="2" t="s">
        <v>15399</v>
      </c>
      <c r="G56" s="2" t="s">
        <v>15399</v>
      </c>
      <c r="K56" s="2" t="s">
        <v>738</v>
      </c>
      <c r="L56" s="2" t="s">
        <v>741</v>
      </c>
      <c r="N56" s="2" t="s">
        <v>15399</v>
      </c>
      <c r="O56" s="2" t="s">
        <v>1368</v>
      </c>
    </row>
    <row r="57" ht="15.75" customHeight="1">
      <c r="A57" s="2">
        <v>2011.0</v>
      </c>
      <c r="B57" s="2" t="s">
        <v>3197</v>
      </c>
      <c r="C57" s="2" t="s">
        <v>15399</v>
      </c>
      <c r="F57" s="2" t="s">
        <v>15399</v>
      </c>
      <c r="J57" s="2" t="s">
        <v>15399</v>
      </c>
      <c r="K57" s="2" t="s">
        <v>9697</v>
      </c>
      <c r="O57" s="2" t="s">
        <v>2244</v>
      </c>
    </row>
    <row r="58" ht="15.75" customHeight="1">
      <c r="A58" s="2">
        <v>2018.0</v>
      </c>
      <c r="B58" s="2" t="s">
        <v>3197</v>
      </c>
      <c r="C58" s="2" t="s">
        <v>15399</v>
      </c>
      <c r="G58" s="2" t="s">
        <v>15399</v>
      </c>
      <c r="J58" s="2" t="s">
        <v>15399</v>
      </c>
      <c r="K58" s="2" t="s">
        <v>9704</v>
      </c>
      <c r="O58" s="2" t="s">
        <v>1368</v>
      </c>
    </row>
    <row r="59" ht="15.75" customHeight="1">
      <c r="A59" s="2">
        <v>2018.0</v>
      </c>
      <c r="B59" s="2" t="s">
        <v>3197</v>
      </c>
      <c r="C59" s="2" t="s">
        <v>15399</v>
      </c>
      <c r="G59" s="2" t="s">
        <v>15399</v>
      </c>
      <c r="J59" s="2" t="s">
        <v>15399</v>
      </c>
      <c r="K59" s="2" t="s">
        <v>9734</v>
      </c>
      <c r="O59" s="2" t="s">
        <v>1368</v>
      </c>
    </row>
    <row r="60" ht="15.75" customHeight="1">
      <c r="A60" s="2">
        <v>2016.0</v>
      </c>
      <c r="B60" s="2" t="s">
        <v>3197</v>
      </c>
      <c r="C60" s="2" t="s">
        <v>15399</v>
      </c>
      <c r="E60" s="2" t="s">
        <v>15399</v>
      </c>
      <c r="J60" s="2" t="s">
        <v>15399</v>
      </c>
      <c r="K60" s="2" t="s">
        <v>9737</v>
      </c>
      <c r="O60" s="2" t="s">
        <v>1368</v>
      </c>
    </row>
    <row r="61" ht="15.75" customHeight="1">
      <c r="A61" s="2">
        <v>2015.0</v>
      </c>
      <c r="B61" s="2" t="s">
        <v>3197</v>
      </c>
      <c r="C61" s="2" t="s">
        <v>15399</v>
      </c>
      <c r="E61" s="2" t="s">
        <v>15399</v>
      </c>
      <c r="J61" s="2" t="s">
        <v>15399</v>
      </c>
      <c r="K61" s="2" t="s">
        <v>9741</v>
      </c>
      <c r="O61" s="2" t="s">
        <v>1368</v>
      </c>
    </row>
    <row r="62" ht="15.75" customHeight="1">
      <c r="A62" s="2">
        <v>2015.0</v>
      </c>
      <c r="B62" s="2" t="s">
        <v>3197</v>
      </c>
      <c r="C62" s="2" t="s">
        <v>15399</v>
      </c>
      <c r="E62" s="2" t="s">
        <v>15399</v>
      </c>
      <c r="J62" s="2" t="s">
        <v>15399</v>
      </c>
      <c r="K62" s="2" t="s">
        <v>9781</v>
      </c>
      <c r="O62" s="2" t="s">
        <v>1368</v>
      </c>
    </row>
    <row r="63" ht="15.75" customHeight="1">
      <c r="A63" s="2">
        <v>2015.0</v>
      </c>
      <c r="B63" s="2" t="s">
        <v>9684</v>
      </c>
      <c r="C63" s="2" t="s">
        <v>15399</v>
      </c>
      <c r="E63" s="2" t="s">
        <v>15399</v>
      </c>
      <c r="J63" s="2" t="s">
        <v>15399</v>
      </c>
      <c r="K63" s="2" t="s">
        <v>9685</v>
      </c>
      <c r="O63" s="2" t="s">
        <v>9688</v>
      </c>
    </row>
    <row r="64" ht="15.75" customHeight="1">
      <c r="A64" s="2">
        <v>2015.0</v>
      </c>
      <c r="B64" s="2" t="s">
        <v>6190</v>
      </c>
      <c r="C64" s="2" t="s">
        <v>15399</v>
      </c>
      <c r="G64" s="2" t="s">
        <v>15399</v>
      </c>
      <c r="K64" s="2" t="s">
        <v>383</v>
      </c>
      <c r="L64" s="2" t="s">
        <v>386</v>
      </c>
      <c r="N64" s="2" t="s">
        <v>15399</v>
      </c>
      <c r="O64" s="2" t="s">
        <v>1368</v>
      </c>
    </row>
    <row r="65" ht="15.75" customHeight="1">
      <c r="A65" s="2">
        <v>2004.0</v>
      </c>
      <c r="B65" s="2" t="s">
        <v>3642</v>
      </c>
      <c r="C65" s="2" t="s">
        <v>15399</v>
      </c>
      <c r="G65" s="2" t="s">
        <v>15399</v>
      </c>
      <c r="K65" s="2" t="s">
        <v>1107</v>
      </c>
      <c r="L65" s="2" t="s">
        <v>1110</v>
      </c>
      <c r="N65" s="2" t="s">
        <v>15399</v>
      </c>
      <c r="O65" s="2" t="s">
        <v>1368</v>
      </c>
    </row>
    <row r="66" ht="15.75" customHeight="1">
      <c r="A66" s="2">
        <v>2000.0</v>
      </c>
      <c r="B66" s="2" t="s">
        <v>4532</v>
      </c>
      <c r="C66" s="2" t="s">
        <v>15399</v>
      </c>
      <c r="F66" s="2" t="s">
        <v>15399</v>
      </c>
      <c r="K66" s="2" t="s">
        <v>1225</v>
      </c>
      <c r="L66" s="2" t="s">
        <v>1228</v>
      </c>
      <c r="N66" s="2" t="s">
        <v>15399</v>
      </c>
      <c r="O66" s="2" t="s">
        <v>1368</v>
      </c>
    </row>
    <row r="67" ht="15.75" customHeight="1">
      <c r="A67" s="2">
        <v>2014.0</v>
      </c>
      <c r="B67" s="2" t="s">
        <v>10495</v>
      </c>
      <c r="C67" s="2" t="s">
        <v>15399</v>
      </c>
      <c r="E67" s="2" t="s">
        <v>15399</v>
      </c>
      <c r="K67" s="2" t="s">
        <v>473</v>
      </c>
      <c r="L67" s="2" t="s">
        <v>476</v>
      </c>
      <c r="N67" s="2" t="s">
        <v>15399</v>
      </c>
      <c r="O67" s="2" t="s">
        <v>1368</v>
      </c>
    </row>
    <row r="68" ht="15.75" customHeight="1">
      <c r="A68" s="2">
        <v>2004.0</v>
      </c>
      <c r="B68" s="2" t="s">
        <v>4427</v>
      </c>
      <c r="C68" s="2" t="s">
        <v>15399</v>
      </c>
      <c r="F68" s="2" t="s">
        <v>15399</v>
      </c>
      <c r="K68" s="2" t="s">
        <v>1116</v>
      </c>
      <c r="L68" s="2" t="s">
        <v>1119</v>
      </c>
      <c r="N68" s="2" t="s">
        <v>15399</v>
      </c>
      <c r="O68" s="2" t="s">
        <v>1368</v>
      </c>
    </row>
    <row r="69" ht="15.75" customHeight="1">
      <c r="A69" s="2">
        <v>2007.0</v>
      </c>
      <c r="B69" s="2" t="s">
        <v>4346</v>
      </c>
      <c r="C69" s="2" t="s">
        <v>15399</v>
      </c>
      <c r="E69" s="2" t="s">
        <v>15399</v>
      </c>
      <c r="K69" s="2" t="s">
        <v>1035</v>
      </c>
      <c r="L69" s="2" t="s">
        <v>1037</v>
      </c>
      <c r="N69" s="2" t="s">
        <v>15399</v>
      </c>
      <c r="O69" s="2" t="s">
        <v>1368</v>
      </c>
    </row>
    <row r="70" ht="15.75" customHeight="1">
      <c r="A70" s="2">
        <v>2014.0</v>
      </c>
      <c r="B70" s="2" t="s">
        <v>6893</v>
      </c>
      <c r="C70" s="2" t="s">
        <v>15399</v>
      </c>
      <c r="G70" s="2" t="s">
        <v>15399</v>
      </c>
      <c r="K70" s="2" t="s">
        <v>503</v>
      </c>
      <c r="L70" s="2" t="s">
        <v>506</v>
      </c>
      <c r="N70" s="2" t="s">
        <v>15399</v>
      </c>
      <c r="O70" s="2" t="s">
        <v>1368</v>
      </c>
    </row>
    <row r="71" ht="15.75" customHeight="1">
      <c r="A71" s="2">
        <v>1998.0</v>
      </c>
      <c r="B71" s="2" t="s">
        <v>10156</v>
      </c>
      <c r="C71" s="2" t="s">
        <v>15399</v>
      </c>
      <c r="E71" s="2" t="s">
        <v>15399</v>
      </c>
      <c r="K71" s="2" t="s">
        <v>1258</v>
      </c>
      <c r="L71" s="2" t="s">
        <v>1261</v>
      </c>
      <c r="N71" s="2" t="s">
        <v>15399</v>
      </c>
      <c r="O71" s="2" t="s">
        <v>1368</v>
      </c>
    </row>
    <row r="72" ht="15.75" customHeight="1">
      <c r="A72" s="2">
        <v>2001.0</v>
      </c>
      <c r="B72" s="2" t="s">
        <v>8513</v>
      </c>
      <c r="C72" s="2" t="s">
        <v>15399</v>
      </c>
      <c r="G72" s="2" t="s">
        <v>15399</v>
      </c>
      <c r="K72" s="2" t="s">
        <v>1212</v>
      </c>
      <c r="L72" s="2" t="s">
        <v>1214</v>
      </c>
      <c r="N72" s="2" t="s">
        <v>15399</v>
      </c>
      <c r="O72" s="2" t="s">
        <v>1368</v>
      </c>
    </row>
    <row r="73" ht="15.75" customHeight="1">
      <c r="A73" s="2">
        <v>2016.0</v>
      </c>
      <c r="B73" s="2" t="s">
        <v>3138</v>
      </c>
      <c r="C73" s="2" t="s">
        <v>15399</v>
      </c>
      <c r="G73" s="2" t="s">
        <v>15399</v>
      </c>
      <c r="J73" s="2" t="s">
        <v>15399</v>
      </c>
      <c r="K73" s="2" t="s">
        <v>3139</v>
      </c>
      <c r="O73" s="2" t="s">
        <v>1368</v>
      </c>
    </row>
    <row r="74" ht="15.75" customHeight="1">
      <c r="A74" s="2">
        <v>2003.0</v>
      </c>
      <c r="B74" s="2" t="s">
        <v>12037</v>
      </c>
      <c r="C74" s="2" t="s">
        <v>15399</v>
      </c>
      <c r="G74" s="2" t="s">
        <v>15399</v>
      </c>
      <c r="K74" s="2" t="s">
        <v>1163</v>
      </c>
      <c r="L74" s="2" t="s">
        <v>1166</v>
      </c>
      <c r="N74" s="2" t="s">
        <v>15399</v>
      </c>
      <c r="O74" s="2" t="s">
        <v>1368</v>
      </c>
    </row>
    <row r="75" ht="15.75" customHeight="1">
      <c r="A75" s="2">
        <v>2004.0</v>
      </c>
      <c r="B75" s="2" t="s">
        <v>9186</v>
      </c>
      <c r="C75" s="2" t="s">
        <v>15399</v>
      </c>
      <c r="I75" s="2" t="s">
        <v>15399</v>
      </c>
      <c r="K75" s="2" t="s">
        <v>9187</v>
      </c>
      <c r="L75" s="2" t="s">
        <v>1158</v>
      </c>
      <c r="N75" s="2" t="s">
        <v>15399</v>
      </c>
      <c r="O75" s="2" t="s">
        <v>1368</v>
      </c>
    </row>
    <row r="76" ht="15.75" customHeight="1">
      <c r="A76" s="2">
        <v>2002.0</v>
      </c>
      <c r="B76" s="2" t="s">
        <v>1378</v>
      </c>
      <c r="C76" s="2" t="s">
        <v>15399</v>
      </c>
      <c r="G76" s="2" t="s">
        <v>15399</v>
      </c>
      <c r="K76" s="2" t="s">
        <v>1379</v>
      </c>
      <c r="L76" s="2" t="s">
        <v>1201</v>
      </c>
      <c r="N76" s="2" t="s">
        <v>15399</v>
      </c>
      <c r="O76" s="2" t="s">
        <v>1368</v>
      </c>
    </row>
    <row r="77" ht="15.75" customHeight="1">
      <c r="A77" s="2">
        <v>1999.0</v>
      </c>
      <c r="B77" s="2" t="s">
        <v>8585</v>
      </c>
      <c r="C77" s="2" t="s">
        <v>15399</v>
      </c>
      <c r="G77" s="2" t="s">
        <v>15399</v>
      </c>
      <c r="K77" s="2" t="s">
        <v>1242</v>
      </c>
      <c r="L77" s="2" t="s">
        <v>1244</v>
      </c>
      <c r="N77" s="2" t="s">
        <v>15399</v>
      </c>
      <c r="O77" s="2" t="s">
        <v>1368</v>
      </c>
    </row>
    <row r="78" ht="15.75" customHeight="1">
      <c r="A78" s="2">
        <v>2013.0</v>
      </c>
      <c r="B78" s="2" t="s">
        <v>11334</v>
      </c>
      <c r="C78" s="2" t="s">
        <v>15399</v>
      </c>
      <c r="G78" s="2" t="s">
        <v>15399</v>
      </c>
      <c r="J78" s="2" t="s">
        <v>15399</v>
      </c>
      <c r="K78" s="2" t="s">
        <v>565</v>
      </c>
      <c r="L78" s="2" t="s">
        <v>566</v>
      </c>
      <c r="N78" s="2" t="s">
        <v>15399</v>
      </c>
      <c r="O78" s="2" t="s">
        <v>2169</v>
      </c>
    </row>
    <row r="79" ht="15.75" customHeight="1">
      <c r="A79" s="2">
        <v>2003.0</v>
      </c>
      <c r="B79" s="2" t="s">
        <v>4266</v>
      </c>
      <c r="C79" s="2" t="s">
        <v>15399</v>
      </c>
      <c r="I79" s="2" t="s">
        <v>15399</v>
      </c>
      <c r="K79" s="2" t="s">
        <v>4267</v>
      </c>
      <c r="L79" s="2" t="s">
        <v>4268</v>
      </c>
      <c r="O79" s="2" t="s">
        <v>2244</v>
      </c>
    </row>
    <row r="80" ht="15.75" customHeight="1">
      <c r="A80" s="2">
        <v>2003.0</v>
      </c>
      <c r="B80" s="2" t="s">
        <v>9338</v>
      </c>
      <c r="C80" s="2" t="s">
        <v>15399</v>
      </c>
      <c r="E80" s="2" t="s">
        <v>15399</v>
      </c>
      <c r="K80" s="2" t="s">
        <v>1171</v>
      </c>
      <c r="L80" s="2" t="s">
        <v>1173</v>
      </c>
      <c r="N80" s="2" t="s">
        <v>15399</v>
      </c>
      <c r="O80" s="2" t="s">
        <v>1621</v>
      </c>
    </row>
    <row r="81" ht="15.75" customHeight="1">
      <c r="A81" s="2">
        <v>2008.0</v>
      </c>
      <c r="B81" s="2" t="s">
        <v>9579</v>
      </c>
      <c r="C81" s="2" t="s">
        <v>15399</v>
      </c>
      <c r="I81" s="2" t="s">
        <v>15399</v>
      </c>
      <c r="K81" s="2" t="s">
        <v>1006</v>
      </c>
      <c r="L81" s="2" t="s">
        <v>1008</v>
      </c>
      <c r="N81" s="2" t="s">
        <v>15399</v>
      </c>
      <c r="O81" s="2" t="s">
        <v>1368</v>
      </c>
    </row>
    <row r="82" ht="15.75" customHeight="1">
      <c r="A82" s="2">
        <v>2009.0</v>
      </c>
      <c r="B82" s="2" t="s">
        <v>9311</v>
      </c>
      <c r="C82" s="2" t="s">
        <v>15399</v>
      </c>
      <c r="I82" s="2" t="s">
        <v>15399</v>
      </c>
      <c r="K82" s="2" t="s">
        <v>938</v>
      </c>
      <c r="L82" s="2" t="s">
        <v>940</v>
      </c>
      <c r="N82" s="2" t="s">
        <v>15399</v>
      </c>
      <c r="O82" s="2" t="s">
        <v>2169</v>
      </c>
    </row>
    <row r="83" ht="15.75" customHeight="1">
      <c r="A83" s="2">
        <v>2015.0</v>
      </c>
      <c r="B83" s="2" t="s">
        <v>10303</v>
      </c>
      <c r="C83" s="2" t="s">
        <v>15399</v>
      </c>
      <c r="G83" s="2" t="s">
        <v>15399</v>
      </c>
      <c r="K83" s="2" t="s">
        <v>307</v>
      </c>
      <c r="L83" s="2" t="s">
        <v>309</v>
      </c>
      <c r="N83" s="2" t="s">
        <v>15399</v>
      </c>
      <c r="O83" s="2" t="s">
        <v>2238</v>
      </c>
    </row>
    <row r="84" ht="15.75" customHeight="1">
      <c r="A84" s="2">
        <v>2015.0</v>
      </c>
      <c r="B84" s="2" t="s">
        <v>7197</v>
      </c>
      <c r="C84" s="2" t="s">
        <v>15399</v>
      </c>
      <c r="I84" s="2" t="s">
        <v>15399</v>
      </c>
      <c r="K84" s="2" t="s">
        <v>274</v>
      </c>
      <c r="L84" s="2" t="s">
        <v>277</v>
      </c>
      <c r="M84" s="2" t="s">
        <v>15399</v>
      </c>
      <c r="N84" s="2" t="s">
        <v>15399</v>
      </c>
      <c r="O84" s="2" t="s">
        <v>1368</v>
      </c>
    </row>
    <row r="85" ht="15.75" customHeight="1">
      <c r="A85" s="2">
        <v>2012.0</v>
      </c>
      <c r="B85" s="2" t="s">
        <v>4292</v>
      </c>
      <c r="C85" s="2" t="s">
        <v>15399</v>
      </c>
      <c r="I85" s="2" t="s">
        <v>15399</v>
      </c>
      <c r="K85" s="2" t="s">
        <v>652</v>
      </c>
      <c r="L85" s="2" t="s">
        <v>4294</v>
      </c>
      <c r="N85" s="2" t="s">
        <v>15399</v>
      </c>
      <c r="O85" s="2" t="s">
        <v>1368</v>
      </c>
    </row>
    <row r="86" ht="15.75" customHeight="1">
      <c r="A86" s="2">
        <v>2013.0</v>
      </c>
      <c r="B86" s="2" t="s">
        <v>8711</v>
      </c>
      <c r="C86" s="2" t="s">
        <v>15399</v>
      </c>
      <c r="I86" s="2" t="s">
        <v>15399</v>
      </c>
      <c r="K86" s="2" t="s">
        <v>558</v>
      </c>
      <c r="L86" s="2" t="s">
        <v>8712</v>
      </c>
      <c r="N86" s="2" t="s">
        <v>15399</v>
      </c>
      <c r="O86" s="2" t="s">
        <v>1368</v>
      </c>
    </row>
    <row r="87" ht="15.75" customHeight="1">
      <c r="A87" s="2">
        <v>2014.0</v>
      </c>
      <c r="B87" s="2" t="s">
        <v>2648</v>
      </c>
      <c r="C87" s="2" t="s">
        <v>15399</v>
      </c>
      <c r="I87" s="2" t="s">
        <v>15399</v>
      </c>
      <c r="J87" s="2" t="s">
        <v>15399</v>
      </c>
      <c r="K87" s="2" t="s">
        <v>2649</v>
      </c>
      <c r="L87" s="2" t="s">
        <v>498</v>
      </c>
      <c r="M87" s="2" t="s">
        <v>15399</v>
      </c>
      <c r="N87" s="2" t="s">
        <v>15399</v>
      </c>
      <c r="O87" s="2" t="s">
        <v>1368</v>
      </c>
    </row>
    <row r="88" ht="15.75" customHeight="1">
      <c r="A88" s="2">
        <v>2015.0</v>
      </c>
      <c r="B88" s="2" t="s">
        <v>10971</v>
      </c>
      <c r="C88" s="2" t="s">
        <v>15399</v>
      </c>
      <c r="I88" s="2" t="s">
        <v>15399</v>
      </c>
      <c r="K88" s="2" t="s">
        <v>10972</v>
      </c>
      <c r="L88" s="2" t="s">
        <v>10973</v>
      </c>
      <c r="N88" s="2" t="s">
        <v>15399</v>
      </c>
      <c r="O88" s="2" t="s">
        <v>1368</v>
      </c>
    </row>
    <row r="89" ht="15.75" customHeight="1">
      <c r="A89" s="2">
        <v>2016.0</v>
      </c>
      <c r="B89" s="2" t="s">
        <v>11849</v>
      </c>
      <c r="C89" s="2" t="s">
        <v>15399</v>
      </c>
      <c r="H89" s="2" t="s">
        <v>15399</v>
      </c>
      <c r="K89" s="2" t="s">
        <v>207</v>
      </c>
      <c r="L89" s="2" t="s">
        <v>209</v>
      </c>
      <c r="N89" s="2" t="s">
        <v>15399</v>
      </c>
      <c r="O89" s="2" t="s">
        <v>1368</v>
      </c>
    </row>
    <row r="90" ht="15.75" customHeight="1">
      <c r="A90" s="2">
        <v>2017.0</v>
      </c>
      <c r="B90" s="2" t="s">
        <v>8416</v>
      </c>
      <c r="C90" s="2" t="s">
        <v>15399</v>
      </c>
      <c r="H90" s="2" t="s">
        <v>15399</v>
      </c>
      <c r="K90" s="2" t="s">
        <v>115</v>
      </c>
      <c r="L90" s="2" t="s">
        <v>117</v>
      </c>
      <c r="N90" s="2" t="s">
        <v>15399</v>
      </c>
      <c r="O90" s="2" t="s">
        <v>2137</v>
      </c>
    </row>
    <row r="91" ht="15.75" customHeight="1">
      <c r="A91" s="2">
        <v>2012.0</v>
      </c>
      <c r="B91" s="2" t="s">
        <v>11513</v>
      </c>
      <c r="C91" s="2" t="s">
        <v>15399</v>
      </c>
      <c r="G91" s="2" t="s">
        <v>15399</v>
      </c>
      <c r="J91" s="2" t="s">
        <v>15399</v>
      </c>
      <c r="K91" s="2" t="s">
        <v>11514</v>
      </c>
      <c r="O91" s="2" t="s">
        <v>1368</v>
      </c>
    </row>
    <row r="92" ht="15.75" customHeight="1">
      <c r="A92" s="2">
        <v>2017.0</v>
      </c>
      <c r="B92" s="2" t="s">
        <v>9930</v>
      </c>
      <c r="C92" s="2" t="s">
        <v>15399</v>
      </c>
      <c r="G92" s="2" t="s">
        <v>15399</v>
      </c>
      <c r="K92" s="2" t="s">
        <v>9931</v>
      </c>
      <c r="L92" s="2" t="s">
        <v>103</v>
      </c>
      <c r="N92" s="2" t="s">
        <v>15399</v>
      </c>
      <c r="O92" s="2" t="s">
        <v>1885</v>
      </c>
    </row>
    <row r="93" ht="15.75" customHeight="1">
      <c r="A93" s="2">
        <v>2011.0</v>
      </c>
      <c r="B93" s="2" t="s">
        <v>2059</v>
      </c>
      <c r="C93" s="2" t="s">
        <v>15399</v>
      </c>
      <c r="I93" s="2" t="s">
        <v>15399</v>
      </c>
      <c r="K93" s="2" t="s">
        <v>762</v>
      </c>
      <c r="L93" s="2" t="s">
        <v>2060</v>
      </c>
      <c r="N93" s="2" t="s">
        <v>15399</v>
      </c>
      <c r="O93" s="2" t="s">
        <v>1368</v>
      </c>
    </row>
    <row r="94" ht="15.75" customHeight="1">
      <c r="A94" s="2">
        <v>2010.0</v>
      </c>
      <c r="B94" s="2" t="s">
        <v>10162</v>
      </c>
      <c r="C94" s="2" t="s">
        <v>15399</v>
      </c>
      <c r="I94" s="2" t="s">
        <v>15399</v>
      </c>
      <c r="K94" s="2" t="s">
        <v>908</v>
      </c>
      <c r="L94" s="2" t="s">
        <v>15403</v>
      </c>
      <c r="N94" s="2" t="s">
        <v>15399</v>
      </c>
      <c r="O94" s="2" t="s">
        <v>1368</v>
      </c>
    </row>
    <row r="95" ht="15.75" customHeight="1">
      <c r="A95" s="2">
        <v>1972.0</v>
      </c>
      <c r="B95" s="2" t="s">
        <v>11379</v>
      </c>
      <c r="C95" s="2" t="s">
        <v>15399</v>
      </c>
      <c r="G95" s="2" t="s">
        <v>15399</v>
      </c>
      <c r="J95" s="2" t="s">
        <v>15399</v>
      </c>
      <c r="K95" s="2" t="s">
        <v>11392</v>
      </c>
      <c r="O95" s="2" t="s">
        <v>1368</v>
      </c>
    </row>
    <row r="96" ht="15.75" customHeight="1">
      <c r="A96" s="2">
        <v>2018.0</v>
      </c>
      <c r="B96" s="2" t="s">
        <v>11307</v>
      </c>
      <c r="C96" s="2" t="s">
        <v>15399</v>
      </c>
      <c r="E96" s="2" t="s">
        <v>15399</v>
      </c>
      <c r="J96" s="2" t="s">
        <v>15399</v>
      </c>
      <c r="K96" s="2" t="s">
        <v>11355</v>
      </c>
      <c r="O96" s="2" t="s">
        <v>2169</v>
      </c>
    </row>
    <row r="97" ht="15.75" customHeight="1">
      <c r="A97" s="2">
        <v>2018.0</v>
      </c>
      <c r="B97" s="2" t="s">
        <v>11359</v>
      </c>
      <c r="C97" s="2" t="s">
        <v>15399</v>
      </c>
      <c r="E97" s="2" t="s">
        <v>15399</v>
      </c>
      <c r="H97" s="2" t="s">
        <v>15399</v>
      </c>
      <c r="I97" s="2" t="s">
        <v>15399</v>
      </c>
      <c r="J97" s="2" t="s">
        <v>15399</v>
      </c>
      <c r="K97" s="2" t="s">
        <v>11360</v>
      </c>
      <c r="O97" s="2" t="s">
        <v>9692</v>
      </c>
    </row>
    <row r="98" ht="15.75" customHeight="1">
      <c r="A98" s="2">
        <v>2018.0</v>
      </c>
      <c r="B98" s="2" t="s">
        <v>11359</v>
      </c>
      <c r="C98" s="2" t="s">
        <v>15399</v>
      </c>
      <c r="E98" s="2" t="s">
        <v>15399</v>
      </c>
      <c r="J98" s="2" t="s">
        <v>15399</v>
      </c>
      <c r="K98" s="2" t="s">
        <v>11364</v>
      </c>
      <c r="O98" s="2" t="s">
        <v>2169</v>
      </c>
    </row>
    <row r="99" ht="15.75" customHeight="1">
      <c r="A99" s="2">
        <v>2018.0</v>
      </c>
      <c r="B99" s="2" t="s">
        <v>11359</v>
      </c>
      <c r="C99" s="2" t="s">
        <v>15399</v>
      </c>
      <c r="E99" s="2" t="s">
        <v>15399</v>
      </c>
      <c r="J99" s="2" t="s">
        <v>15399</v>
      </c>
      <c r="K99" s="2" t="s">
        <v>11370</v>
      </c>
      <c r="O99" s="2" t="s">
        <v>2169</v>
      </c>
    </row>
    <row r="100" ht="15.75" customHeight="1">
      <c r="A100" s="2">
        <v>2018.0</v>
      </c>
      <c r="B100" s="2" t="s">
        <v>11359</v>
      </c>
      <c r="C100" s="2" t="s">
        <v>15399</v>
      </c>
      <c r="E100" s="2" t="s">
        <v>15399</v>
      </c>
      <c r="I100" s="2" t="s">
        <v>15399</v>
      </c>
      <c r="J100" s="2" t="s">
        <v>15399</v>
      </c>
      <c r="K100" s="2" t="s">
        <v>11375</v>
      </c>
      <c r="O100" s="2" t="s">
        <v>2169</v>
      </c>
    </row>
    <row r="101" ht="15.75" customHeight="1">
      <c r="A101" s="2">
        <v>2018.0</v>
      </c>
      <c r="B101" s="2" t="s">
        <v>11280</v>
      </c>
      <c r="C101" s="2" t="s">
        <v>15399</v>
      </c>
      <c r="I101" s="2" t="s">
        <v>15399</v>
      </c>
      <c r="J101" s="2" t="s">
        <v>15399</v>
      </c>
      <c r="K101" s="2" t="s">
        <v>11281</v>
      </c>
      <c r="O101" s="2" t="s">
        <v>11286</v>
      </c>
    </row>
    <row r="102" ht="15.75" customHeight="1">
      <c r="A102" s="2">
        <v>2013.0</v>
      </c>
      <c r="B102" s="2" t="s">
        <v>11280</v>
      </c>
      <c r="C102" s="2" t="s">
        <v>15399</v>
      </c>
      <c r="I102" s="2" t="s">
        <v>15399</v>
      </c>
      <c r="J102" s="2" t="s">
        <v>15399</v>
      </c>
      <c r="K102" s="2" t="s">
        <v>11346</v>
      </c>
      <c r="O102" s="2" t="s">
        <v>2244</v>
      </c>
    </row>
    <row r="103" ht="15.75" customHeight="1">
      <c r="A103" s="2">
        <v>2014.0</v>
      </c>
      <c r="B103" s="2" t="s">
        <v>11280</v>
      </c>
      <c r="C103" s="2" t="s">
        <v>15399</v>
      </c>
      <c r="I103" s="2" t="s">
        <v>15399</v>
      </c>
      <c r="J103" s="2" t="s">
        <v>15399</v>
      </c>
      <c r="K103" s="2" t="s">
        <v>11350</v>
      </c>
      <c r="O103" s="2" t="s">
        <v>11352</v>
      </c>
    </row>
    <row r="104" ht="15.75" customHeight="1">
      <c r="A104" s="2">
        <v>2010.0</v>
      </c>
      <c r="B104" s="2" t="s">
        <v>3965</v>
      </c>
      <c r="C104" s="2" t="s">
        <v>15399</v>
      </c>
      <c r="G104" s="2" t="s">
        <v>15399</v>
      </c>
      <c r="K104" s="2" t="s">
        <v>886</v>
      </c>
      <c r="L104" s="2" t="s">
        <v>888</v>
      </c>
      <c r="N104" s="2" t="s">
        <v>15399</v>
      </c>
      <c r="O104" s="2" t="s">
        <v>1368</v>
      </c>
    </row>
    <row r="105" ht="15.75" customHeight="1">
      <c r="A105" s="2">
        <v>2017.0</v>
      </c>
      <c r="B105" s="2" t="s">
        <v>1706</v>
      </c>
      <c r="C105" s="2" t="s">
        <v>15399</v>
      </c>
      <c r="H105" s="2" t="s">
        <v>15399</v>
      </c>
      <c r="K105" s="2" t="s">
        <v>76</v>
      </c>
      <c r="L105" s="2" t="s">
        <v>79</v>
      </c>
      <c r="N105" s="2" t="s">
        <v>15399</v>
      </c>
      <c r="O105" s="2" t="s">
        <v>1368</v>
      </c>
    </row>
    <row r="106" ht="15.75" customHeight="1">
      <c r="A106" s="2">
        <v>2015.0</v>
      </c>
      <c r="B106" s="2" t="s">
        <v>4476</v>
      </c>
      <c r="C106" s="2" t="s">
        <v>15399</v>
      </c>
      <c r="G106" s="2" t="s">
        <v>15399</v>
      </c>
      <c r="K106" s="2" t="s">
        <v>300</v>
      </c>
      <c r="L106" s="2" t="s">
        <v>302</v>
      </c>
      <c r="N106" s="2" t="s">
        <v>15399</v>
      </c>
      <c r="O106" s="2" t="s">
        <v>1368</v>
      </c>
    </row>
    <row r="107" ht="15.75" customHeight="1">
      <c r="A107" s="2">
        <v>2009.0</v>
      </c>
      <c r="B107" s="2" t="s">
        <v>10026</v>
      </c>
      <c r="C107" s="2" t="s">
        <v>15399</v>
      </c>
      <c r="H107" s="2" t="s">
        <v>15399</v>
      </c>
      <c r="J107" s="2" t="s">
        <v>15399</v>
      </c>
      <c r="K107" s="2" t="s">
        <v>10027</v>
      </c>
      <c r="O107" s="2" t="s">
        <v>1368</v>
      </c>
    </row>
    <row r="108" ht="15.75" customHeight="1">
      <c r="A108" s="2">
        <v>2016.0</v>
      </c>
      <c r="B108" s="2" t="s">
        <v>2478</v>
      </c>
      <c r="C108" s="2" t="s">
        <v>15399</v>
      </c>
      <c r="I108" s="2" t="s">
        <v>15399</v>
      </c>
      <c r="K108" s="2" t="s">
        <v>2479</v>
      </c>
      <c r="L108" s="2" t="s">
        <v>159</v>
      </c>
      <c r="N108" s="2" t="s">
        <v>15399</v>
      </c>
      <c r="O108" s="2" t="s">
        <v>1368</v>
      </c>
    </row>
    <row r="109" ht="15.75" customHeight="1">
      <c r="A109" s="2">
        <v>1999.0</v>
      </c>
      <c r="B109" s="2" t="s">
        <v>10547</v>
      </c>
      <c r="C109" s="2" t="s">
        <v>15399</v>
      </c>
      <c r="E109" s="2" t="s">
        <v>15399</v>
      </c>
      <c r="K109" s="2" t="s">
        <v>10548</v>
      </c>
      <c r="L109" s="2" t="s">
        <v>1252</v>
      </c>
      <c r="N109" s="2" t="s">
        <v>15399</v>
      </c>
      <c r="O109" s="2" t="s">
        <v>1368</v>
      </c>
    </row>
    <row r="110" ht="15.75" customHeight="1">
      <c r="A110" s="2">
        <v>2012.0</v>
      </c>
      <c r="B110" s="2" t="s">
        <v>10241</v>
      </c>
      <c r="C110" s="2" t="s">
        <v>15399</v>
      </c>
      <c r="E110" s="2" t="s">
        <v>15399</v>
      </c>
      <c r="J110" s="2" t="s">
        <v>15399</v>
      </c>
      <c r="K110" s="2" t="s">
        <v>10242</v>
      </c>
      <c r="O110" s="2" t="s">
        <v>1885</v>
      </c>
    </row>
    <row r="111" ht="15.75" customHeight="1">
      <c r="A111" s="2">
        <v>2007.0</v>
      </c>
      <c r="B111" s="2" t="s">
        <v>10430</v>
      </c>
      <c r="C111" s="2" t="s">
        <v>15399</v>
      </c>
      <c r="G111" s="2" t="s">
        <v>15399</v>
      </c>
      <c r="K111" s="2" t="s">
        <v>1028</v>
      </c>
      <c r="L111" s="2" t="s">
        <v>1030</v>
      </c>
      <c r="N111" s="2" t="s">
        <v>15399</v>
      </c>
      <c r="O111" s="2" t="s">
        <v>1368</v>
      </c>
    </row>
    <row r="112" ht="15.75" customHeight="1">
      <c r="A112" s="2">
        <v>2010.0</v>
      </c>
      <c r="B112" s="2" t="s">
        <v>2891</v>
      </c>
      <c r="C112" s="2" t="s">
        <v>15399</v>
      </c>
      <c r="E112" s="2" t="s">
        <v>15399</v>
      </c>
      <c r="K112" s="2" t="s">
        <v>818</v>
      </c>
      <c r="L112" s="2" t="s">
        <v>820</v>
      </c>
      <c r="N112" s="2" t="s">
        <v>15399</v>
      </c>
      <c r="O112" s="2" t="s">
        <v>1885</v>
      </c>
    </row>
    <row r="113" ht="15.75" customHeight="1">
      <c r="A113" s="2">
        <v>2010.0</v>
      </c>
      <c r="B113" s="2" t="s">
        <v>1897</v>
      </c>
      <c r="C113" s="2" t="s">
        <v>15399</v>
      </c>
      <c r="E113" s="2" t="s">
        <v>15399</v>
      </c>
      <c r="K113" s="2" t="s">
        <v>841</v>
      </c>
      <c r="L113" s="2" t="s">
        <v>843</v>
      </c>
      <c r="N113" s="2" t="s">
        <v>15399</v>
      </c>
      <c r="O113" s="2" t="s">
        <v>1621</v>
      </c>
    </row>
    <row r="114" ht="15.75" customHeight="1">
      <c r="A114" s="2">
        <v>2011.0</v>
      </c>
      <c r="B114" s="2" t="s">
        <v>10263</v>
      </c>
      <c r="C114" s="2" t="s">
        <v>15399</v>
      </c>
      <c r="E114" s="2" t="s">
        <v>15399</v>
      </c>
      <c r="K114" s="2" t="s">
        <v>755</v>
      </c>
      <c r="L114" s="2" t="s">
        <v>757</v>
      </c>
      <c r="N114" s="2" t="s">
        <v>15399</v>
      </c>
      <c r="O114" s="2" t="s">
        <v>2159</v>
      </c>
    </row>
    <row r="115" ht="15.75" customHeight="1">
      <c r="A115" s="2">
        <v>2012.0</v>
      </c>
      <c r="B115" s="2" t="s">
        <v>9571</v>
      </c>
      <c r="C115" s="2" t="s">
        <v>15399</v>
      </c>
      <c r="E115" s="2" t="s">
        <v>15399</v>
      </c>
      <c r="K115" s="2" t="s">
        <v>724</v>
      </c>
      <c r="L115" s="2" t="s">
        <v>726</v>
      </c>
      <c r="N115" s="2" t="s">
        <v>15399</v>
      </c>
      <c r="O115" s="2" t="s">
        <v>1368</v>
      </c>
    </row>
    <row r="116" ht="15.75" customHeight="1">
      <c r="A116" s="2">
        <v>2014.0</v>
      </c>
      <c r="B116" s="2" t="s">
        <v>2233</v>
      </c>
      <c r="C116" s="2" t="s">
        <v>15399</v>
      </c>
      <c r="F116" s="2" t="s">
        <v>15399</v>
      </c>
      <c r="K116" s="2" t="s">
        <v>512</v>
      </c>
      <c r="L116" s="2" t="s">
        <v>514</v>
      </c>
      <c r="N116" s="2" t="s">
        <v>15399</v>
      </c>
      <c r="O116" s="2" t="s">
        <v>2238</v>
      </c>
    </row>
    <row r="117" ht="15.75" customHeight="1">
      <c r="A117" s="2">
        <v>2013.0</v>
      </c>
      <c r="B117" s="2" t="s">
        <v>8083</v>
      </c>
      <c r="C117" s="2" t="s">
        <v>15399</v>
      </c>
      <c r="G117" s="2" t="s">
        <v>15399</v>
      </c>
      <c r="K117" s="2" t="s">
        <v>580</v>
      </c>
      <c r="L117" s="2" t="s">
        <v>582</v>
      </c>
      <c r="N117" s="2" t="s">
        <v>15399</v>
      </c>
      <c r="O117" s="2" t="s">
        <v>1885</v>
      </c>
    </row>
    <row r="118" ht="15.75" customHeight="1">
      <c r="A118" s="2">
        <v>2014.0</v>
      </c>
      <c r="B118" s="2" t="s">
        <v>9543</v>
      </c>
      <c r="C118" s="2" t="s">
        <v>15399</v>
      </c>
      <c r="G118" s="2" t="s">
        <v>15399</v>
      </c>
      <c r="K118" s="2" t="s">
        <v>482</v>
      </c>
      <c r="L118" s="2" t="s">
        <v>484</v>
      </c>
      <c r="N118" s="2" t="s">
        <v>15399</v>
      </c>
      <c r="O118" s="2" t="s">
        <v>1368</v>
      </c>
    </row>
    <row r="119" ht="15.75" customHeight="1">
      <c r="A119" s="2">
        <v>2015.0</v>
      </c>
      <c r="B119" s="2" t="s">
        <v>8484</v>
      </c>
      <c r="C119" s="2" t="s">
        <v>15399</v>
      </c>
      <c r="G119" s="2" t="s">
        <v>15399</v>
      </c>
      <c r="K119" s="2" t="s">
        <v>369</v>
      </c>
      <c r="L119" s="2" t="s">
        <v>371</v>
      </c>
      <c r="N119" s="2" t="s">
        <v>15399</v>
      </c>
      <c r="O119" s="2" t="s">
        <v>1885</v>
      </c>
    </row>
    <row r="120" ht="15.75" customHeight="1">
      <c r="A120" s="2">
        <v>2015.0</v>
      </c>
      <c r="B120" s="2" t="s">
        <v>1687</v>
      </c>
      <c r="C120" s="2" t="s">
        <v>15399</v>
      </c>
      <c r="F120" s="2" t="s">
        <v>15399</v>
      </c>
      <c r="K120" s="2" t="s">
        <v>376</v>
      </c>
      <c r="L120" s="2" t="s">
        <v>378</v>
      </c>
      <c r="N120" s="2" t="s">
        <v>15399</v>
      </c>
      <c r="O120" s="2" t="s">
        <v>1368</v>
      </c>
    </row>
    <row r="121" ht="15.75" customHeight="1">
      <c r="A121" s="2">
        <v>2017.0</v>
      </c>
      <c r="B121" s="2" t="s">
        <v>8937</v>
      </c>
      <c r="C121" s="2" t="s">
        <v>15399</v>
      </c>
      <c r="G121" s="2" t="s">
        <v>15399</v>
      </c>
      <c r="K121" s="2" t="s">
        <v>8938</v>
      </c>
      <c r="L121" s="2" t="s">
        <v>110</v>
      </c>
      <c r="N121" s="2" t="s">
        <v>15399</v>
      </c>
      <c r="O121" s="2" t="s">
        <v>1556</v>
      </c>
    </row>
    <row r="122" ht="15.75" customHeight="1">
      <c r="A122" s="2">
        <v>2017.0</v>
      </c>
      <c r="B122" s="2" t="s">
        <v>9833</v>
      </c>
      <c r="C122" s="2" t="s">
        <v>15399</v>
      </c>
      <c r="I122" s="2" t="s">
        <v>15399</v>
      </c>
      <c r="K122" s="2" t="s">
        <v>9834</v>
      </c>
      <c r="L122" s="2" t="s">
        <v>71</v>
      </c>
      <c r="N122" s="2" t="s">
        <v>15399</v>
      </c>
      <c r="O122" s="2" t="s">
        <v>1368</v>
      </c>
    </row>
    <row r="123" ht="15.75" customHeight="1">
      <c r="A123" s="2">
        <v>2018.0</v>
      </c>
      <c r="B123" s="2" t="s">
        <v>8508</v>
      </c>
      <c r="C123" s="2" t="s">
        <v>15399</v>
      </c>
      <c r="H123" s="2" t="s">
        <v>15399</v>
      </c>
      <c r="K123" s="2" t="s">
        <v>33</v>
      </c>
      <c r="L123" s="2" t="s">
        <v>37</v>
      </c>
      <c r="N123" s="2" t="s">
        <v>15399</v>
      </c>
      <c r="O123" s="2" t="s">
        <v>1368</v>
      </c>
    </row>
    <row r="124" ht="15.75" customHeight="1">
      <c r="A124" s="2">
        <v>2008.0</v>
      </c>
      <c r="B124" s="2" t="s">
        <v>3681</v>
      </c>
      <c r="C124" s="2" t="s">
        <v>15399</v>
      </c>
      <c r="F124" s="2" t="s">
        <v>15399</v>
      </c>
      <c r="K124" s="2" t="s">
        <v>3682</v>
      </c>
      <c r="L124" s="2" t="s">
        <v>15404</v>
      </c>
      <c r="M124" s="2" t="s">
        <v>15399</v>
      </c>
      <c r="O124" s="2" t="s">
        <v>1368</v>
      </c>
    </row>
    <row r="125" ht="15.75" customHeight="1">
      <c r="A125" s="2">
        <v>2016.0</v>
      </c>
      <c r="B125" s="2" t="s">
        <v>5141</v>
      </c>
      <c r="C125" s="2" t="s">
        <v>15399</v>
      </c>
      <c r="G125" s="2" t="s">
        <v>15399</v>
      </c>
      <c r="K125" s="2" t="s">
        <v>239</v>
      </c>
      <c r="L125" s="2" t="s">
        <v>242</v>
      </c>
      <c r="N125" s="2" t="s">
        <v>15399</v>
      </c>
      <c r="O125" s="2" t="s">
        <v>1368</v>
      </c>
    </row>
    <row r="126" ht="15.75" customHeight="1">
      <c r="A126" s="2">
        <v>2015.0</v>
      </c>
      <c r="B126" s="2" t="s">
        <v>10427</v>
      </c>
      <c r="C126" s="2" t="s">
        <v>15399</v>
      </c>
      <c r="I126" s="2" t="s">
        <v>15399</v>
      </c>
      <c r="K126" s="2" t="s">
        <v>314</v>
      </c>
      <c r="L126" s="2" t="s">
        <v>317</v>
      </c>
      <c r="N126" s="2" t="s">
        <v>15399</v>
      </c>
      <c r="O126" s="2" t="s">
        <v>1368</v>
      </c>
    </row>
    <row r="127" ht="15.75" customHeight="1">
      <c r="A127" s="2">
        <v>2011.0</v>
      </c>
      <c r="B127" s="2" t="s">
        <v>11477</v>
      </c>
      <c r="C127" s="2" t="s">
        <v>15399</v>
      </c>
      <c r="E127" s="2" t="s">
        <v>15399</v>
      </c>
      <c r="K127" s="2" t="s">
        <v>731</v>
      </c>
      <c r="L127" s="2" t="s">
        <v>733</v>
      </c>
      <c r="N127" s="2" t="s">
        <v>15399</v>
      </c>
      <c r="O127" s="2" t="s">
        <v>1368</v>
      </c>
    </row>
    <row r="128" ht="15.75" customHeight="1">
      <c r="A128" s="2">
        <v>2012.0</v>
      </c>
      <c r="B128" s="2" t="s">
        <v>11328</v>
      </c>
      <c r="C128" s="2" t="s">
        <v>15399</v>
      </c>
      <c r="E128" s="2" t="s">
        <v>15399</v>
      </c>
      <c r="K128" s="2" t="s">
        <v>668</v>
      </c>
      <c r="L128" s="2" t="s">
        <v>670</v>
      </c>
      <c r="N128" s="2" t="s">
        <v>15399</v>
      </c>
      <c r="O128" s="2" t="s">
        <v>1542</v>
      </c>
    </row>
    <row r="129" ht="15.75" customHeight="1">
      <c r="A129" s="2">
        <v>2013.0</v>
      </c>
      <c r="B129" s="2" t="s">
        <v>10454</v>
      </c>
      <c r="C129" s="2" t="s">
        <v>15399</v>
      </c>
      <c r="G129" s="2" t="s">
        <v>15399</v>
      </c>
      <c r="K129" s="2" t="s">
        <v>10455</v>
      </c>
      <c r="L129" s="2" t="s">
        <v>620</v>
      </c>
      <c r="N129" s="2" t="s">
        <v>15399</v>
      </c>
      <c r="O129" s="2" t="s">
        <v>1368</v>
      </c>
    </row>
    <row r="130" ht="15.75" customHeight="1">
      <c r="A130" s="2">
        <v>2017.0</v>
      </c>
      <c r="B130" s="2" t="s">
        <v>2065</v>
      </c>
      <c r="C130" s="2" t="s">
        <v>15399</v>
      </c>
      <c r="I130" s="2" t="s">
        <v>15399</v>
      </c>
      <c r="K130" s="2" t="s">
        <v>131</v>
      </c>
      <c r="L130" s="2" t="s">
        <v>134</v>
      </c>
      <c r="N130" s="2" t="s">
        <v>15399</v>
      </c>
      <c r="O130" s="2" t="s">
        <v>1368</v>
      </c>
    </row>
    <row r="131" ht="15.75" customHeight="1">
      <c r="A131" s="2">
        <v>2006.0</v>
      </c>
      <c r="B131" s="2" t="s">
        <v>6605</v>
      </c>
      <c r="C131" s="2" t="s">
        <v>15399</v>
      </c>
      <c r="I131" s="2" t="s">
        <v>15399</v>
      </c>
      <c r="K131" s="2" t="s">
        <v>1068</v>
      </c>
      <c r="L131" s="2" t="s">
        <v>1071</v>
      </c>
      <c r="N131" s="2" t="s">
        <v>15399</v>
      </c>
      <c r="O131" s="2" t="s">
        <v>1368</v>
      </c>
    </row>
    <row r="132" ht="15.75" customHeight="1">
      <c r="A132" s="2">
        <v>2009.0</v>
      </c>
      <c r="B132" s="2" t="s">
        <v>1362</v>
      </c>
      <c r="C132" s="2" t="s">
        <v>15399</v>
      </c>
      <c r="G132" s="2" t="s">
        <v>15399</v>
      </c>
      <c r="K132" s="2" t="s">
        <v>968</v>
      </c>
      <c r="L132" s="2" t="s">
        <v>970</v>
      </c>
      <c r="N132" s="2" t="s">
        <v>15399</v>
      </c>
      <c r="O132" s="2" t="s">
        <v>1368</v>
      </c>
    </row>
    <row r="133" ht="15.75" customHeight="1">
      <c r="A133" s="2">
        <v>2014.0</v>
      </c>
      <c r="B133" s="2" t="s">
        <v>3836</v>
      </c>
      <c r="C133" s="2" t="s">
        <v>15399</v>
      </c>
      <c r="G133" s="2" t="s">
        <v>15399</v>
      </c>
      <c r="K133" s="2" t="s">
        <v>3837</v>
      </c>
      <c r="L133" s="2" t="s">
        <v>459</v>
      </c>
      <c r="N133" s="2" t="s">
        <v>15399</v>
      </c>
      <c r="O133" s="2" t="s">
        <v>1368</v>
      </c>
    </row>
    <row r="134" ht="15.75" customHeight="1">
      <c r="A134" s="2">
        <v>2010.0</v>
      </c>
      <c r="B134" s="2" t="s">
        <v>10685</v>
      </c>
      <c r="C134" s="2" t="s">
        <v>15399</v>
      </c>
      <c r="E134" s="2" t="s">
        <v>15399</v>
      </c>
      <c r="K134" s="2" t="s">
        <v>10686</v>
      </c>
      <c r="L134" s="2" t="s">
        <v>15405</v>
      </c>
      <c r="M134" s="2" t="s">
        <v>15399</v>
      </c>
      <c r="O134" s="2" t="s">
        <v>1368</v>
      </c>
    </row>
    <row r="135" ht="15.75" customHeight="1">
      <c r="A135" s="2">
        <v>2015.0</v>
      </c>
      <c r="B135" s="2" t="s">
        <v>9618</v>
      </c>
      <c r="C135" s="2" t="s">
        <v>15399</v>
      </c>
      <c r="G135" s="2" t="s">
        <v>15399</v>
      </c>
      <c r="J135" s="2" t="s">
        <v>15399</v>
      </c>
      <c r="K135" s="2" t="s">
        <v>9619</v>
      </c>
      <c r="O135" s="2" t="s">
        <v>1368</v>
      </c>
    </row>
    <row r="136" ht="15.75" customHeight="1">
      <c r="A136" s="2">
        <v>2016.0</v>
      </c>
      <c r="B136" s="2" t="s">
        <v>8683</v>
      </c>
      <c r="C136" s="2" t="s">
        <v>15399</v>
      </c>
      <c r="G136" s="2" t="s">
        <v>15399</v>
      </c>
      <c r="K136" s="2" t="s">
        <v>180</v>
      </c>
      <c r="L136" s="2" t="s">
        <v>183</v>
      </c>
      <c r="N136" s="2" t="s">
        <v>15399</v>
      </c>
      <c r="O136" s="2" t="s">
        <v>1368</v>
      </c>
    </row>
    <row r="137" ht="15.75" customHeight="1">
      <c r="A137" s="2">
        <v>2017.0</v>
      </c>
      <c r="B137" s="2" t="s">
        <v>3908</v>
      </c>
      <c r="C137" s="2" t="s">
        <v>15399</v>
      </c>
      <c r="F137" s="2" t="s">
        <v>15399</v>
      </c>
      <c r="K137" s="2" t="s">
        <v>122</v>
      </c>
      <c r="L137" s="2" t="s">
        <v>125</v>
      </c>
      <c r="N137" s="2" t="s">
        <v>15399</v>
      </c>
      <c r="O137" s="2" t="s">
        <v>1368</v>
      </c>
    </row>
    <row r="138" ht="15.75" customHeight="1">
      <c r="A138" s="2">
        <v>2011.0</v>
      </c>
      <c r="B138" s="2" t="s">
        <v>5901</v>
      </c>
      <c r="C138" s="2" t="s">
        <v>15399</v>
      </c>
      <c r="E138" s="2" t="s">
        <v>15399</v>
      </c>
      <c r="K138" s="2" t="s">
        <v>770</v>
      </c>
      <c r="L138" s="2" t="s">
        <v>773</v>
      </c>
      <c r="N138" s="2" t="s">
        <v>15399</v>
      </c>
      <c r="O138" s="2" t="s">
        <v>2169</v>
      </c>
    </row>
    <row r="139" ht="15.75" customHeight="1">
      <c r="A139" s="2">
        <v>2004.0</v>
      </c>
      <c r="B139" s="2" t="s">
        <v>7824</v>
      </c>
      <c r="C139" s="2" t="s">
        <v>15399</v>
      </c>
      <c r="F139" s="2" t="s">
        <v>15399</v>
      </c>
      <c r="K139" s="2" t="s">
        <v>1147</v>
      </c>
      <c r="L139" s="2" t="s">
        <v>1150</v>
      </c>
      <c r="N139" s="2" t="s">
        <v>15399</v>
      </c>
      <c r="O139" s="2" t="s">
        <v>1368</v>
      </c>
    </row>
    <row r="140" ht="15.75" customHeight="1">
      <c r="A140" s="2">
        <v>2010.0</v>
      </c>
      <c r="B140" s="2" t="s">
        <v>10194</v>
      </c>
      <c r="C140" s="2" t="s">
        <v>15399</v>
      </c>
      <c r="I140" s="2" t="s">
        <v>15399</v>
      </c>
      <c r="K140" s="2" t="s">
        <v>10195</v>
      </c>
      <c r="L140" s="2" t="s">
        <v>812</v>
      </c>
      <c r="N140" s="2" t="s">
        <v>15399</v>
      </c>
      <c r="O140" s="2" t="s">
        <v>10201</v>
      </c>
    </row>
    <row r="141" ht="15.75" customHeight="1">
      <c r="A141" s="2">
        <v>2013.0</v>
      </c>
      <c r="B141" s="2" t="s">
        <v>8181</v>
      </c>
      <c r="C141" s="2" t="s">
        <v>15399</v>
      </c>
      <c r="E141" s="2" t="s">
        <v>15399</v>
      </c>
      <c r="K141" s="2" t="s">
        <v>610</v>
      </c>
      <c r="L141" s="2" t="s">
        <v>612</v>
      </c>
      <c r="N141" s="2" t="s">
        <v>15399</v>
      </c>
      <c r="O141" s="2" t="s">
        <v>1368</v>
      </c>
    </row>
    <row r="142" ht="15.75" customHeight="1">
      <c r="A142" s="2">
        <v>2007.0</v>
      </c>
      <c r="B142" s="2" t="s">
        <v>11040</v>
      </c>
      <c r="C142" s="2" t="s">
        <v>15399</v>
      </c>
      <c r="E142" s="2" t="s">
        <v>15399</v>
      </c>
      <c r="K142" s="2" t="s">
        <v>11041</v>
      </c>
      <c r="L142" s="2" t="s">
        <v>11043</v>
      </c>
      <c r="O142" s="2" t="s">
        <v>1368</v>
      </c>
    </row>
    <row r="143" ht="15.75" customHeight="1">
      <c r="A143" s="2">
        <v>2012.0</v>
      </c>
      <c r="B143" s="2" t="s">
        <v>6655</v>
      </c>
      <c r="C143" s="2" t="s">
        <v>15399</v>
      </c>
      <c r="E143" s="2" t="s">
        <v>15399</v>
      </c>
      <c r="K143" s="2" t="s">
        <v>659</v>
      </c>
      <c r="L143" s="2" t="s">
        <v>662</v>
      </c>
      <c r="N143" s="2" t="s">
        <v>15399</v>
      </c>
      <c r="O143" s="2" t="s">
        <v>1368</v>
      </c>
    </row>
    <row r="144" ht="15.75" customHeight="1">
      <c r="A144" s="2">
        <v>2015.0</v>
      </c>
      <c r="B144" s="2" t="s">
        <v>2363</v>
      </c>
      <c r="C144" s="2" t="s">
        <v>15399</v>
      </c>
      <c r="E144" s="2" t="s">
        <v>15399</v>
      </c>
      <c r="K144" s="2" t="s">
        <v>2364</v>
      </c>
      <c r="L144" s="2" t="s">
        <v>403</v>
      </c>
      <c r="N144" s="2" t="s">
        <v>15399</v>
      </c>
      <c r="O144" s="2" t="s">
        <v>1368</v>
      </c>
    </row>
    <row r="145" ht="15.75" customHeight="1">
      <c r="A145" s="2">
        <v>2016.0</v>
      </c>
      <c r="B145" s="2" t="s">
        <v>5009</v>
      </c>
      <c r="C145" s="2" t="s">
        <v>15399</v>
      </c>
      <c r="E145" s="2" t="s">
        <v>15399</v>
      </c>
      <c r="K145" s="2" t="s">
        <v>232</v>
      </c>
      <c r="L145" s="2" t="s">
        <v>234</v>
      </c>
      <c r="N145" s="2" t="s">
        <v>15399</v>
      </c>
      <c r="O145" s="2" t="s">
        <v>1368</v>
      </c>
    </row>
    <row r="146" ht="15.75" customHeight="1">
      <c r="A146" s="2">
        <v>2016.0</v>
      </c>
      <c r="B146" s="2" t="s">
        <v>3320</v>
      </c>
      <c r="C146" s="2" t="s">
        <v>15399</v>
      </c>
      <c r="I146" s="2" t="s">
        <v>15399</v>
      </c>
      <c r="K146" s="2" t="s">
        <v>173</v>
      </c>
      <c r="L146" s="2" t="s">
        <v>175</v>
      </c>
      <c r="N146" s="2" t="s">
        <v>15399</v>
      </c>
      <c r="O146" s="2" t="s">
        <v>1368</v>
      </c>
    </row>
    <row r="147" ht="15.75" customHeight="1">
      <c r="A147" s="2">
        <v>2017.0</v>
      </c>
      <c r="B147" s="2" t="s">
        <v>5957</v>
      </c>
      <c r="C147" s="2" t="s">
        <v>15399</v>
      </c>
      <c r="E147" s="2" t="s">
        <v>15399</v>
      </c>
      <c r="K147" s="2" t="s">
        <v>149</v>
      </c>
      <c r="L147" s="2" t="s">
        <v>151</v>
      </c>
      <c r="N147" s="2" t="s">
        <v>15399</v>
      </c>
      <c r="O147" s="2" t="s">
        <v>5966</v>
      </c>
    </row>
    <row r="148" ht="15.75" customHeight="1">
      <c r="A148" s="2">
        <v>2017.0</v>
      </c>
      <c r="B148" s="2" t="s">
        <v>2955</v>
      </c>
      <c r="C148" s="2" t="s">
        <v>15399</v>
      </c>
      <c r="G148" s="2" t="s">
        <v>15399</v>
      </c>
      <c r="K148" s="2" t="s">
        <v>85</v>
      </c>
      <c r="L148" s="2" t="s">
        <v>88</v>
      </c>
      <c r="N148" s="2" t="s">
        <v>15399</v>
      </c>
      <c r="O148" s="2" t="s">
        <v>2169</v>
      </c>
    </row>
    <row r="149" ht="15.75" customHeight="1">
      <c r="A149" s="2">
        <v>2018.0</v>
      </c>
      <c r="B149" s="2" t="s">
        <v>6869</v>
      </c>
      <c r="C149" s="2" t="s">
        <v>15399</v>
      </c>
      <c r="G149" s="2" t="s">
        <v>15399</v>
      </c>
      <c r="J149" s="2" t="s">
        <v>15399</v>
      </c>
      <c r="K149" s="2" t="s">
        <v>7128</v>
      </c>
      <c r="O149" s="2" t="s">
        <v>1368</v>
      </c>
    </row>
    <row r="150" ht="15.75" customHeight="1">
      <c r="A150" s="2">
        <v>2015.0</v>
      </c>
      <c r="B150" s="2" t="s">
        <v>6284</v>
      </c>
      <c r="C150" s="2" t="s">
        <v>15399</v>
      </c>
      <c r="G150" s="2" t="s">
        <v>15399</v>
      </c>
      <c r="J150" s="2" t="s">
        <v>15399</v>
      </c>
      <c r="K150" s="2" t="s">
        <v>6285</v>
      </c>
      <c r="O150" s="2" t="s">
        <v>1368</v>
      </c>
    </row>
    <row r="151" ht="15.75" customHeight="1">
      <c r="A151" s="2">
        <v>2002.0</v>
      </c>
      <c r="B151" s="2" t="s">
        <v>9180</v>
      </c>
      <c r="C151" s="2" t="s">
        <v>15399</v>
      </c>
      <c r="I151" s="2" t="s">
        <v>15399</v>
      </c>
      <c r="K151" s="2" t="s">
        <v>9181</v>
      </c>
      <c r="L151" s="2" t="s">
        <v>1195</v>
      </c>
      <c r="N151" s="2" t="s">
        <v>15399</v>
      </c>
      <c r="O151" s="2" t="s">
        <v>1368</v>
      </c>
    </row>
    <row r="152" ht="15.75" customHeight="1">
      <c r="A152" s="2">
        <v>2004.0</v>
      </c>
      <c r="B152" s="2" t="s">
        <v>3242</v>
      </c>
      <c r="C152" s="2" t="s">
        <v>15399</v>
      </c>
      <c r="I152" s="2" t="s">
        <v>15399</v>
      </c>
      <c r="K152" s="2" t="s">
        <v>1140</v>
      </c>
      <c r="L152" s="2" t="s">
        <v>1142</v>
      </c>
      <c r="N152" s="2" t="s">
        <v>15399</v>
      </c>
      <c r="O152" s="2" t="s">
        <v>1368</v>
      </c>
    </row>
    <row r="153" ht="15.75" customHeight="1">
      <c r="A153" s="2">
        <v>2005.0</v>
      </c>
      <c r="B153" s="2" t="s">
        <v>2842</v>
      </c>
      <c r="C153" s="2" t="s">
        <v>15399</v>
      </c>
      <c r="E153" s="2" t="s">
        <v>15399</v>
      </c>
      <c r="K153" s="2" t="s">
        <v>2843</v>
      </c>
      <c r="L153" s="2" t="s">
        <v>1094</v>
      </c>
      <c r="N153" s="2" t="s">
        <v>15399</v>
      </c>
      <c r="O153" s="2" t="s">
        <v>2852</v>
      </c>
    </row>
    <row r="154" ht="15.75" customHeight="1">
      <c r="A154" s="2">
        <v>2010.0</v>
      </c>
      <c r="B154" s="2" t="s">
        <v>8077</v>
      </c>
      <c r="C154" s="2" t="s">
        <v>15399</v>
      </c>
      <c r="I154" s="2" t="s">
        <v>15399</v>
      </c>
      <c r="K154" s="2" t="s">
        <v>8078</v>
      </c>
      <c r="L154" s="2" t="s">
        <v>917</v>
      </c>
      <c r="N154" s="2" t="s">
        <v>15399</v>
      </c>
      <c r="O154" s="2" t="s">
        <v>1368</v>
      </c>
    </row>
    <row r="155" ht="15.75" customHeight="1">
      <c r="A155" s="2">
        <v>2014.0</v>
      </c>
      <c r="B155" s="2" t="s">
        <v>6025</v>
      </c>
      <c r="C155" s="2" t="s">
        <v>15399</v>
      </c>
      <c r="I155" s="2" t="s">
        <v>15399</v>
      </c>
      <c r="J155" s="2" t="s">
        <v>15399</v>
      </c>
      <c r="K155" s="2" t="s">
        <v>6026</v>
      </c>
      <c r="O155" s="2" t="s">
        <v>2169</v>
      </c>
    </row>
    <row r="156" ht="15.75" customHeight="1">
      <c r="A156" s="2">
        <v>2010.0</v>
      </c>
      <c r="B156" s="2" t="s">
        <v>6784</v>
      </c>
      <c r="C156" s="2" t="s">
        <v>15399</v>
      </c>
      <c r="I156" s="2" t="s">
        <v>15399</v>
      </c>
      <c r="K156" s="2" t="s">
        <v>863</v>
      </c>
      <c r="L156" s="2" t="s">
        <v>865</v>
      </c>
      <c r="N156" s="2" t="s">
        <v>15399</v>
      </c>
      <c r="O156" s="2" t="s">
        <v>1368</v>
      </c>
    </row>
    <row r="157" ht="15.75" customHeight="1">
      <c r="A157" s="2">
        <v>2010.0</v>
      </c>
      <c r="B157" s="2" t="s">
        <v>10978</v>
      </c>
      <c r="C157" s="2" t="s">
        <v>15399</v>
      </c>
      <c r="F157" s="2" t="s">
        <v>15399</v>
      </c>
      <c r="K157" s="2" t="s">
        <v>879</v>
      </c>
      <c r="L157" s="2" t="s">
        <v>881</v>
      </c>
      <c r="N157" s="2" t="s">
        <v>15399</v>
      </c>
      <c r="O157" s="2" t="s">
        <v>10987</v>
      </c>
    </row>
    <row r="158" ht="15.75" customHeight="1">
      <c r="A158" s="2">
        <v>2010.0</v>
      </c>
      <c r="B158" s="2" t="s">
        <v>2240</v>
      </c>
      <c r="C158" s="2" t="s">
        <v>15399</v>
      </c>
      <c r="I158" s="2" t="s">
        <v>15399</v>
      </c>
      <c r="K158" s="2" t="s">
        <v>856</v>
      </c>
      <c r="L158" s="2" t="s">
        <v>858</v>
      </c>
      <c r="N158" s="2" t="s">
        <v>15399</v>
      </c>
      <c r="O158" s="2" t="s">
        <v>2244</v>
      </c>
    </row>
    <row r="159" ht="15.75" customHeight="1">
      <c r="A159" s="2">
        <v>2010.0</v>
      </c>
      <c r="B159" s="2" t="s">
        <v>10325</v>
      </c>
      <c r="C159" s="2" t="s">
        <v>15399</v>
      </c>
      <c r="G159" s="2" t="s">
        <v>15399</v>
      </c>
      <c r="K159" s="2" t="s">
        <v>825</v>
      </c>
      <c r="L159" s="2" t="s">
        <v>827</v>
      </c>
      <c r="N159" s="2" t="s">
        <v>15399</v>
      </c>
      <c r="O159" s="2" t="s">
        <v>1368</v>
      </c>
    </row>
    <row r="160" ht="15.75" customHeight="1">
      <c r="A160" s="2">
        <v>2014.0</v>
      </c>
      <c r="B160" s="2" t="s">
        <v>6690</v>
      </c>
      <c r="C160" s="2" t="s">
        <v>15399</v>
      </c>
      <c r="E160" s="2" t="s">
        <v>15399</v>
      </c>
      <c r="K160" s="2" t="s">
        <v>489</v>
      </c>
      <c r="L160" s="2" t="s">
        <v>491</v>
      </c>
      <c r="N160" s="2" t="s">
        <v>15399</v>
      </c>
      <c r="O160" s="2" t="s">
        <v>1872</v>
      </c>
    </row>
    <row r="161" ht="15.75" customHeight="1">
      <c r="A161" s="2">
        <v>2015.0</v>
      </c>
      <c r="B161" s="2" t="s">
        <v>11289</v>
      </c>
      <c r="C161" s="2" t="s">
        <v>15399</v>
      </c>
      <c r="G161" s="2" t="s">
        <v>15399</v>
      </c>
      <c r="K161" s="2" t="s">
        <v>408</v>
      </c>
      <c r="L161" s="2" t="s">
        <v>410</v>
      </c>
      <c r="N161" s="2" t="s">
        <v>15399</v>
      </c>
      <c r="O161" s="2" t="s">
        <v>9675</v>
      </c>
    </row>
    <row r="162" ht="15.75" customHeight="1">
      <c r="A162" s="2">
        <v>2015.0</v>
      </c>
      <c r="B162" s="2" t="s">
        <v>10920</v>
      </c>
      <c r="C162" s="2" t="s">
        <v>15399</v>
      </c>
      <c r="H162" s="2" t="s">
        <v>15399</v>
      </c>
      <c r="K162" s="2" t="s">
        <v>347</v>
      </c>
      <c r="L162" s="2" t="s">
        <v>349</v>
      </c>
      <c r="N162" s="2" t="s">
        <v>15399</v>
      </c>
      <c r="O162" s="2" t="s">
        <v>1368</v>
      </c>
    </row>
    <row r="163" ht="15.75" customHeight="1">
      <c r="A163" s="2">
        <v>2015.0</v>
      </c>
      <c r="B163" s="2" t="s">
        <v>2939</v>
      </c>
      <c r="C163" s="2" t="s">
        <v>15399</v>
      </c>
      <c r="I163" s="2" t="s">
        <v>15399</v>
      </c>
      <c r="K163" s="2" t="s">
        <v>2940</v>
      </c>
      <c r="L163" s="2" t="s">
        <v>326</v>
      </c>
      <c r="N163" s="2" t="s">
        <v>15399</v>
      </c>
      <c r="O163" s="2" t="s">
        <v>2852</v>
      </c>
    </row>
    <row r="164" ht="15.75" customHeight="1">
      <c r="A164" s="2">
        <v>2012.0</v>
      </c>
      <c r="B164" s="2" t="s">
        <v>11480</v>
      </c>
      <c r="C164" s="2" t="s">
        <v>15399</v>
      </c>
      <c r="E164" s="2" t="s">
        <v>15399</v>
      </c>
      <c r="K164" s="2" t="s">
        <v>11481</v>
      </c>
      <c r="L164" s="2" t="s">
        <v>11484</v>
      </c>
      <c r="O164" s="2" t="s">
        <v>1368</v>
      </c>
    </row>
    <row r="165" ht="15.75" customHeight="1">
      <c r="A165" s="2">
        <v>2011.0</v>
      </c>
      <c r="B165" s="2" t="s">
        <v>10751</v>
      </c>
      <c r="C165" s="2" t="s">
        <v>15399</v>
      </c>
      <c r="G165" s="2" t="s">
        <v>15399</v>
      </c>
      <c r="K165" s="2" t="s">
        <v>778</v>
      </c>
      <c r="L165" s="2" t="s">
        <v>781</v>
      </c>
      <c r="N165" s="2" t="s">
        <v>15399</v>
      </c>
      <c r="O165" s="2" t="s">
        <v>2169</v>
      </c>
    </row>
    <row r="166" ht="15.75" customHeight="1">
      <c r="A166" s="2">
        <v>2018.0</v>
      </c>
      <c r="B166" s="2" t="s">
        <v>4280</v>
      </c>
      <c r="C166" s="2" t="s">
        <v>15399</v>
      </c>
      <c r="G166" s="2" t="s">
        <v>15399</v>
      </c>
      <c r="J166" s="2" t="s">
        <v>15399</v>
      </c>
      <c r="K166" s="2" t="s">
        <v>4281</v>
      </c>
      <c r="O166" s="2" t="s">
        <v>1368</v>
      </c>
    </row>
    <row r="167" ht="15.75" customHeight="1">
      <c r="A167" s="2">
        <v>2010.0</v>
      </c>
      <c r="B167" s="2" t="s">
        <v>4214</v>
      </c>
      <c r="C167" s="2" t="s">
        <v>15399</v>
      </c>
      <c r="H167" s="2" t="s">
        <v>15399</v>
      </c>
      <c r="K167" s="2" t="s">
        <v>930</v>
      </c>
      <c r="L167" s="2" t="s">
        <v>933</v>
      </c>
      <c r="N167" s="2" t="s">
        <v>15399</v>
      </c>
      <c r="O167" s="2" t="s">
        <v>2169</v>
      </c>
    </row>
    <row r="168" ht="15.75" customHeight="1">
      <c r="A168" s="2">
        <v>2010.0</v>
      </c>
      <c r="B168" s="2" t="s">
        <v>10700</v>
      </c>
      <c r="C168" s="2" t="s">
        <v>15399</v>
      </c>
      <c r="I168" s="2" t="s">
        <v>15399</v>
      </c>
      <c r="K168" s="2" t="s">
        <v>10701</v>
      </c>
      <c r="L168" s="2" t="s">
        <v>925</v>
      </c>
      <c r="N168" s="2" t="s">
        <v>15399</v>
      </c>
      <c r="O168" s="2" t="s">
        <v>1368</v>
      </c>
    </row>
    <row r="169" ht="15.75" customHeight="1">
      <c r="A169" s="2">
        <v>2013.0</v>
      </c>
      <c r="B169" s="2" t="s">
        <v>8336</v>
      </c>
      <c r="C169" s="2" t="s">
        <v>15399</v>
      </c>
      <c r="I169" s="2" t="s">
        <v>15399</v>
      </c>
      <c r="K169" s="2" t="s">
        <v>8337</v>
      </c>
      <c r="L169" s="2" t="s">
        <v>639</v>
      </c>
      <c r="N169" s="2" t="s">
        <v>15399</v>
      </c>
      <c r="O169" s="2" t="s">
        <v>1368</v>
      </c>
    </row>
    <row r="170" ht="15.75" customHeight="1">
      <c r="A170" s="2">
        <v>2009.0</v>
      </c>
      <c r="B170" s="2" t="s">
        <v>12026</v>
      </c>
      <c r="C170" s="2" t="s">
        <v>15399</v>
      </c>
      <c r="I170" s="2" t="s">
        <v>15399</v>
      </c>
      <c r="K170" s="2" t="s">
        <v>982</v>
      </c>
      <c r="L170" s="2" t="s">
        <v>984</v>
      </c>
      <c r="N170" s="2" t="s">
        <v>15399</v>
      </c>
      <c r="O170" s="2" t="s">
        <v>1368</v>
      </c>
    </row>
    <row r="171" ht="15.75" customHeight="1">
      <c r="A171" s="2">
        <v>2006.0</v>
      </c>
      <c r="B171" s="2" t="s">
        <v>8629</v>
      </c>
      <c r="C171" s="2" t="s">
        <v>15399</v>
      </c>
      <c r="F171" s="2" t="s">
        <v>15399</v>
      </c>
      <c r="K171" s="2" t="s">
        <v>8630</v>
      </c>
      <c r="L171" s="2" t="s">
        <v>1063</v>
      </c>
      <c r="N171" s="2" t="s">
        <v>15399</v>
      </c>
      <c r="O171" s="2" t="s">
        <v>1368</v>
      </c>
    </row>
    <row r="172" ht="15.75" customHeight="1">
      <c r="A172" s="2">
        <v>2015.0</v>
      </c>
      <c r="B172" s="2" t="s">
        <v>11048</v>
      </c>
      <c r="C172" s="2" t="s">
        <v>15399</v>
      </c>
      <c r="G172" s="2" t="s">
        <v>15399</v>
      </c>
      <c r="K172" s="2" t="s">
        <v>11049</v>
      </c>
      <c r="L172" s="2" t="s">
        <v>395</v>
      </c>
      <c r="N172" s="2" t="s">
        <v>15399</v>
      </c>
      <c r="O172" s="2" t="s">
        <v>1368</v>
      </c>
    </row>
    <row r="173" ht="15.75" customHeight="1">
      <c r="A173" s="2">
        <v>2016.0</v>
      </c>
      <c r="B173" s="2" t="s">
        <v>10406</v>
      </c>
      <c r="C173" s="2" t="s">
        <v>15399</v>
      </c>
      <c r="I173" s="2" t="s">
        <v>15399</v>
      </c>
      <c r="K173" s="2" t="s">
        <v>10407</v>
      </c>
      <c r="L173" s="2" t="s">
        <v>95</v>
      </c>
      <c r="N173" s="2" t="s">
        <v>15399</v>
      </c>
      <c r="O173" s="2" t="s">
        <v>1368</v>
      </c>
    </row>
    <row r="174" ht="15.75" customHeight="1">
      <c r="A174" s="2">
        <v>2016.0</v>
      </c>
      <c r="B174" s="2" t="s">
        <v>2265</v>
      </c>
      <c r="C174" s="2" t="s">
        <v>15399</v>
      </c>
      <c r="I174" s="2" t="s">
        <v>15399</v>
      </c>
      <c r="K174" s="2" t="s">
        <v>2266</v>
      </c>
      <c r="L174" s="2" t="s">
        <v>2268</v>
      </c>
      <c r="O174" s="2" t="s">
        <v>1368</v>
      </c>
    </row>
    <row r="175" ht="15.75" customHeight="1">
      <c r="A175" s="2">
        <v>2018.0</v>
      </c>
      <c r="B175" s="2" t="s">
        <v>6930</v>
      </c>
      <c r="C175" s="2" t="s">
        <v>15399</v>
      </c>
      <c r="I175" s="2" t="s">
        <v>15399</v>
      </c>
      <c r="K175" s="2" t="s">
        <v>6931</v>
      </c>
      <c r="L175" s="2" t="s">
        <v>45</v>
      </c>
      <c r="N175" s="2" t="s">
        <v>15399</v>
      </c>
      <c r="O175" s="2" t="s">
        <v>1368</v>
      </c>
    </row>
    <row r="176" ht="15.75" customHeight="1">
      <c r="A176" s="2">
        <v>2011.0</v>
      </c>
      <c r="B176" s="2" t="s">
        <v>2449</v>
      </c>
      <c r="C176" s="2" t="s">
        <v>15399</v>
      </c>
      <c r="E176" s="2" t="s">
        <v>15399</v>
      </c>
      <c r="K176" s="2" t="s">
        <v>2450</v>
      </c>
      <c r="L176" s="2" t="s">
        <v>2453</v>
      </c>
      <c r="O176" s="2" t="s">
        <v>1368</v>
      </c>
    </row>
    <row r="177" ht="15.75" customHeight="1">
      <c r="A177" s="2">
        <v>2010.0</v>
      </c>
      <c r="B177" s="2" t="s">
        <v>4990</v>
      </c>
      <c r="C177" s="2" t="s">
        <v>15399</v>
      </c>
      <c r="G177" s="2" t="s">
        <v>15399</v>
      </c>
      <c r="K177" s="2" t="s">
        <v>870</v>
      </c>
      <c r="L177" s="2" t="s">
        <v>873</v>
      </c>
      <c r="M177" s="2" t="s">
        <v>15399</v>
      </c>
      <c r="N177" s="2" t="s">
        <v>15399</v>
      </c>
      <c r="O177" s="2" t="s">
        <v>1368</v>
      </c>
    </row>
    <row r="178" ht="15.75" customHeight="1">
      <c r="A178" s="2">
        <v>2010.0</v>
      </c>
      <c r="B178" s="2" t="s">
        <v>6700</v>
      </c>
      <c r="C178" s="2" t="s">
        <v>15399</v>
      </c>
      <c r="E178" s="2" t="s">
        <v>15399</v>
      </c>
      <c r="K178" s="2" t="s">
        <v>6701</v>
      </c>
      <c r="L178" s="2" t="s">
        <v>789</v>
      </c>
      <c r="N178" s="2" t="s">
        <v>15399</v>
      </c>
      <c r="O178" s="2" t="s">
        <v>1621</v>
      </c>
    </row>
    <row r="179" ht="15.75" customHeight="1">
      <c r="A179" s="2">
        <v>2013.0</v>
      </c>
      <c r="B179" s="2" t="s">
        <v>7703</v>
      </c>
      <c r="C179" s="2" t="s">
        <v>15399</v>
      </c>
      <c r="G179" s="2" t="s">
        <v>15399</v>
      </c>
      <c r="K179" s="2" t="s">
        <v>594</v>
      </c>
      <c r="L179" s="2" t="s">
        <v>596</v>
      </c>
      <c r="N179" s="2" t="s">
        <v>15399</v>
      </c>
      <c r="O179" s="2" t="s">
        <v>1368</v>
      </c>
    </row>
    <row r="180" ht="15.75" customHeight="1">
      <c r="A180" s="2">
        <v>2014.0</v>
      </c>
      <c r="B180" s="2" t="s">
        <v>9667</v>
      </c>
      <c r="C180" s="2" t="s">
        <v>15399</v>
      </c>
      <c r="G180" s="2" t="s">
        <v>15399</v>
      </c>
      <c r="K180" s="2" t="s">
        <v>449</v>
      </c>
      <c r="L180" s="2" t="s">
        <v>451</v>
      </c>
      <c r="N180" s="2" t="s">
        <v>15399</v>
      </c>
      <c r="O180" s="2" t="s">
        <v>9675</v>
      </c>
    </row>
    <row r="181" ht="15.75" customHeight="1">
      <c r="A181" s="2">
        <v>2015.0</v>
      </c>
      <c r="B181" s="2" t="s">
        <v>5933</v>
      </c>
      <c r="C181" s="2" t="s">
        <v>15399</v>
      </c>
      <c r="I181" s="2" t="s">
        <v>15399</v>
      </c>
      <c r="K181" s="2" t="s">
        <v>5934</v>
      </c>
      <c r="L181" s="2" t="s">
        <v>364</v>
      </c>
      <c r="N181" s="2" t="s">
        <v>15399</v>
      </c>
      <c r="O181" s="2" t="s">
        <v>1885</v>
      </c>
    </row>
    <row r="182" ht="15.75" customHeight="1">
      <c r="A182" s="2">
        <v>2010.0</v>
      </c>
      <c r="B182" s="2" t="s">
        <v>8171</v>
      </c>
      <c r="C182" s="2" t="s">
        <v>15399</v>
      </c>
      <c r="H182" s="2" t="s">
        <v>15399</v>
      </c>
      <c r="K182" s="2" t="s">
        <v>794</v>
      </c>
      <c r="L182" s="2" t="s">
        <v>797</v>
      </c>
      <c r="N182" s="2" t="s">
        <v>15399</v>
      </c>
      <c r="O182" s="2" t="s">
        <v>1368</v>
      </c>
    </row>
    <row r="183" ht="15.75" customHeight="1">
      <c r="A183" s="2">
        <v>2001.0</v>
      </c>
      <c r="B183" s="2" t="s">
        <v>11954</v>
      </c>
      <c r="C183" s="2" t="s">
        <v>15399</v>
      </c>
      <c r="E183" s="2" t="s">
        <v>15399</v>
      </c>
      <c r="K183" s="2" t="s">
        <v>11955</v>
      </c>
      <c r="L183" s="2" t="s">
        <v>11956</v>
      </c>
      <c r="N183" s="2" t="s">
        <v>15399</v>
      </c>
      <c r="O183" s="2" t="s">
        <v>1368</v>
      </c>
    </row>
    <row r="184" ht="15.75" customHeight="1">
      <c r="A184" s="2">
        <v>2001.0</v>
      </c>
      <c r="B184" s="2" t="s">
        <v>8765</v>
      </c>
      <c r="C184" s="2" t="s">
        <v>15399</v>
      </c>
      <c r="I184" s="2" t="s">
        <v>15399</v>
      </c>
      <c r="J184" s="2" t="s">
        <v>15399</v>
      </c>
      <c r="K184" s="2" t="s">
        <v>8766</v>
      </c>
      <c r="O184" s="2" t="s">
        <v>1368</v>
      </c>
    </row>
    <row r="185" ht="15.75" customHeight="1">
      <c r="A185" s="2">
        <v>2002.0</v>
      </c>
      <c r="B185" s="2" t="s">
        <v>2949</v>
      </c>
      <c r="C185" s="2" t="s">
        <v>15399</v>
      </c>
      <c r="F185" s="2" t="s">
        <v>15399</v>
      </c>
      <c r="I185" s="2" t="s">
        <v>15399</v>
      </c>
      <c r="K185" s="2" t="s">
        <v>2950</v>
      </c>
      <c r="L185" s="2" t="s">
        <v>1207</v>
      </c>
      <c r="N185" s="2" t="s">
        <v>15399</v>
      </c>
      <c r="O185" s="2" t="s">
        <v>2169</v>
      </c>
    </row>
    <row r="186" ht="15.75" customHeight="1">
      <c r="A186" s="2">
        <v>2002.0</v>
      </c>
      <c r="B186" s="2" t="s">
        <v>2631</v>
      </c>
      <c r="C186" s="2" t="s">
        <v>15399</v>
      </c>
      <c r="I186" s="2" t="s">
        <v>15399</v>
      </c>
      <c r="K186" s="2" t="s">
        <v>2632</v>
      </c>
      <c r="L186" s="2" t="s">
        <v>1188</v>
      </c>
      <c r="N186" s="2" t="s">
        <v>15399</v>
      </c>
      <c r="O186" s="2" t="s">
        <v>1368</v>
      </c>
    </row>
    <row r="187" ht="15.75" customHeight="1">
      <c r="A187" s="2">
        <v>2005.0</v>
      </c>
      <c r="B187" s="2" t="s">
        <v>9938</v>
      </c>
      <c r="C187" s="2" t="s">
        <v>15399</v>
      </c>
      <c r="E187" s="2" t="s">
        <v>15399</v>
      </c>
      <c r="K187" s="2" t="s">
        <v>9939</v>
      </c>
      <c r="L187" s="2" t="s">
        <v>1102</v>
      </c>
      <c r="N187" s="2" t="s">
        <v>15399</v>
      </c>
      <c r="O187" s="2" t="s">
        <v>1368</v>
      </c>
    </row>
    <row r="188" ht="15.75" customHeight="1">
      <c r="A188" s="2">
        <v>2009.0</v>
      </c>
      <c r="B188" s="2" t="s">
        <v>6442</v>
      </c>
      <c r="C188" s="2" t="s">
        <v>15399</v>
      </c>
      <c r="F188" s="2" t="s">
        <v>15399</v>
      </c>
      <c r="K188" s="2" t="s">
        <v>6443</v>
      </c>
      <c r="L188" s="2" t="s">
        <v>977</v>
      </c>
      <c r="N188" s="2" t="s">
        <v>15399</v>
      </c>
      <c r="O188" s="2" t="s">
        <v>2244</v>
      </c>
    </row>
    <row r="189" ht="15.75" customHeight="1">
      <c r="A189" s="2">
        <v>2010.0</v>
      </c>
      <c r="B189" s="2" t="s">
        <v>5012</v>
      </c>
      <c r="C189" s="2" t="s">
        <v>15399</v>
      </c>
      <c r="H189" s="2" t="s">
        <v>15399</v>
      </c>
      <c r="K189" s="2" t="s">
        <v>893</v>
      </c>
      <c r="L189" s="2" t="s">
        <v>895</v>
      </c>
      <c r="N189" s="2" t="s">
        <v>15399</v>
      </c>
      <c r="O189" s="2" t="s">
        <v>1368</v>
      </c>
    </row>
    <row r="190" ht="15.75" customHeight="1">
      <c r="A190" s="2">
        <v>2007.0</v>
      </c>
      <c r="B190" s="2" t="s">
        <v>7356</v>
      </c>
      <c r="C190" s="2" t="s">
        <v>15399</v>
      </c>
      <c r="E190" s="2" t="s">
        <v>15399</v>
      </c>
      <c r="J190" s="2" t="s">
        <v>15399</v>
      </c>
      <c r="K190" s="2" t="s">
        <v>7744</v>
      </c>
      <c r="O190" s="2" t="s">
        <v>1368</v>
      </c>
    </row>
    <row r="191" ht="15.75" customHeight="1">
      <c r="A191" s="2">
        <v>1997.0</v>
      </c>
      <c r="B191" s="2" t="s">
        <v>4772</v>
      </c>
      <c r="C191" s="2" t="s">
        <v>15399</v>
      </c>
      <c r="G191" s="2" t="s">
        <v>15399</v>
      </c>
      <c r="K191" s="2" t="s">
        <v>4773</v>
      </c>
      <c r="L191" s="2" t="s">
        <v>4774</v>
      </c>
      <c r="O191" s="2" t="s">
        <v>1872</v>
      </c>
    </row>
    <row r="192" ht="15.75" customHeight="1">
      <c r="A192" s="2">
        <v>2015.0</v>
      </c>
      <c r="B192" s="2" t="s">
        <v>7828</v>
      </c>
      <c r="C192" s="2" t="s">
        <v>15399</v>
      </c>
      <c r="G192" s="2" t="s">
        <v>15399</v>
      </c>
      <c r="J192" s="2" t="s">
        <v>15399</v>
      </c>
      <c r="K192" s="2" t="s">
        <v>7829</v>
      </c>
      <c r="O192" s="2" t="s">
        <v>1368</v>
      </c>
    </row>
    <row r="193" ht="15.75" customHeight="1">
      <c r="A193" s="2">
        <v>2017.0</v>
      </c>
      <c r="B193" s="2" t="s">
        <v>7447</v>
      </c>
      <c r="C193" s="2" t="s">
        <v>15399</v>
      </c>
      <c r="G193" s="2" t="s">
        <v>15399</v>
      </c>
      <c r="J193" s="2" t="s">
        <v>15399</v>
      </c>
      <c r="K193" s="2" t="s">
        <v>7522</v>
      </c>
      <c r="O193" s="2" t="s">
        <v>3748</v>
      </c>
    </row>
    <row r="194" ht="15.75" customHeight="1">
      <c r="A194" s="2">
        <v>2016.0</v>
      </c>
      <c r="B194" s="2" t="s">
        <v>7447</v>
      </c>
      <c r="C194" s="2" t="s">
        <v>15399</v>
      </c>
      <c r="I194" s="2" t="s">
        <v>15399</v>
      </c>
      <c r="J194" s="2" t="s">
        <v>15399</v>
      </c>
      <c r="K194" s="2" t="s">
        <v>7588</v>
      </c>
      <c r="O194" s="2" t="s">
        <v>1368</v>
      </c>
    </row>
    <row r="195" ht="15.75" customHeight="1">
      <c r="A195" s="2">
        <v>2003.0</v>
      </c>
      <c r="B195" s="2" t="s">
        <v>7447</v>
      </c>
      <c r="C195" s="2" t="s">
        <v>15399</v>
      </c>
      <c r="G195" s="2" t="s">
        <v>15399</v>
      </c>
      <c r="J195" s="2" t="s">
        <v>15399</v>
      </c>
      <c r="K195" s="2" t="s">
        <v>7905</v>
      </c>
      <c r="O195" s="2" t="s">
        <v>1368</v>
      </c>
    </row>
    <row r="196" ht="15.75" customHeight="1">
      <c r="A196" s="2">
        <v>2015.0</v>
      </c>
      <c r="B196" s="2" t="s">
        <v>7584</v>
      </c>
      <c r="C196" s="2" t="s">
        <v>15399</v>
      </c>
      <c r="G196" s="2" t="s">
        <v>15399</v>
      </c>
      <c r="J196" s="2" t="s">
        <v>15399</v>
      </c>
      <c r="K196" s="2" t="s">
        <v>7585</v>
      </c>
      <c r="O196" s="2" t="s">
        <v>1368</v>
      </c>
    </row>
    <row r="197" ht="15.75" customHeight="1">
      <c r="A197" s="2">
        <v>2012.0</v>
      </c>
      <c r="B197" s="2" t="s">
        <v>7506</v>
      </c>
      <c r="C197" s="2" t="s">
        <v>15399</v>
      </c>
      <c r="G197" s="2" t="s">
        <v>15399</v>
      </c>
      <c r="J197" s="2" t="s">
        <v>15399</v>
      </c>
      <c r="K197" s="2" t="s">
        <v>7527</v>
      </c>
      <c r="O197" s="2" t="s">
        <v>7531</v>
      </c>
    </row>
    <row r="198" ht="15.75" customHeight="1">
      <c r="A198" s="2">
        <v>2016.0</v>
      </c>
      <c r="B198" s="2" t="s">
        <v>7506</v>
      </c>
      <c r="C198" s="2" t="s">
        <v>15399</v>
      </c>
      <c r="E198" s="2" t="s">
        <v>15399</v>
      </c>
      <c r="G198" s="2" t="s">
        <v>15399</v>
      </c>
      <c r="J198" s="2" t="s">
        <v>15399</v>
      </c>
      <c r="K198" s="2" t="s">
        <v>7533</v>
      </c>
      <c r="O198" s="2" t="s">
        <v>2238</v>
      </c>
    </row>
    <row r="199" ht="15.75" customHeight="1">
      <c r="A199" s="2">
        <v>2016.0</v>
      </c>
      <c r="B199" s="2" t="s">
        <v>7506</v>
      </c>
      <c r="C199" s="2" t="s">
        <v>15399</v>
      </c>
      <c r="E199" s="2" t="s">
        <v>15399</v>
      </c>
      <c r="G199" s="2" t="s">
        <v>15399</v>
      </c>
      <c r="J199" s="2" t="s">
        <v>15399</v>
      </c>
      <c r="K199" s="2" t="s">
        <v>7660</v>
      </c>
      <c r="O199" s="2" t="s">
        <v>1368</v>
      </c>
    </row>
    <row r="200" ht="15.75" customHeight="1">
      <c r="A200" s="2">
        <v>2016.0</v>
      </c>
      <c r="B200" s="2" t="s">
        <v>7506</v>
      </c>
      <c r="C200" s="2" t="s">
        <v>15399</v>
      </c>
      <c r="E200" s="2" t="s">
        <v>15399</v>
      </c>
      <c r="G200" s="2" t="s">
        <v>15399</v>
      </c>
      <c r="J200" s="2" t="s">
        <v>15399</v>
      </c>
      <c r="K200" s="2" t="s">
        <v>7664</v>
      </c>
      <c r="O200" s="2" t="s">
        <v>1368</v>
      </c>
    </row>
    <row r="201" ht="15.75" customHeight="1">
      <c r="A201" s="2">
        <v>2016.0</v>
      </c>
      <c r="B201" s="2" t="s">
        <v>7506</v>
      </c>
      <c r="C201" s="2" t="s">
        <v>15399</v>
      </c>
      <c r="E201" s="2" t="s">
        <v>15399</v>
      </c>
      <c r="G201" s="2" t="s">
        <v>15399</v>
      </c>
      <c r="J201" s="2" t="s">
        <v>15399</v>
      </c>
      <c r="K201" s="2" t="s">
        <v>7667</v>
      </c>
      <c r="O201" s="2" t="s">
        <v>1368</v>
      </c>
    </row>
    <row r="202" ht="15.75" customHeight="1">
      <c r="A202" s="2">
        <v>2016.0</v>
      </c>
      <c r="B202" s="2" t="s">
        <v>7506</v>
      </c>
      <c r="C202" s="2" t="s">
        <v>15399</v>
      </c>
      <c r="E202" s="2" t="s">
        <v>15399</v>
      </c>
      <c r="G202" s="2" t="s">
        <v>15399</v>
      </c>
      <c r="J202" s="2" t="s">
        <v>15399</v>
      </c>
      <c r="K202" s="2" t="s">
        <v>7669</v>
      </c>
      <c r="O202" s="2" t="s">
        <v>1368</v>
      </c>
    </row>
    <row r="203" ht="15.75" customHeight="1">
      <c r="A203" s="2">
        <v>2016.0</v>
      </c>
      <c r="B203" s="2" t="s">
        <v>7506</v>
      </c>
      <c r="C203" s="2" t="s">
        <v>15399</v>
      </c>
      <c r="E203" s="2" t="s">
        <v>15399</v>
      </c>
      <c r="G203" s="2" t="s">
        <v>15399</v>
      </c>
      <c r="J203" s="2" t="s">
        <v>15399</v>
      </c>
      <c r="K203" s="2" t="s">
        <v>7671</v>
      </c>
      <c r="O203" s="2" t="s">
        <v>1368</v>
      </c>
    </row>
    <row r="204" ht="15.75" customHeight="1">
      <c r="A204" s="2">
        <v>2017.0</v>
      </c>
      <c r="B204" s="2" t="s">
        <v>7568</v>
      </c>
      <c r="C204" s="2" t="s">
        <v>15399</v>
      </c>
      <c r="G204" s="2" t="s">
        <v>15399</v>
      </c>
      <c r="J204" s="2" t="s">
        <v>15399</v>
      </c>
      <c r="K204" s="2" t="s">
        <v>7569</v>
      </c>
      <c r="O204" s="2" t="s">
        <v>1368</v>
      </c>
    </row>
    <row r="205" ht="15.75" customHeight="1">
      <c r="A205" s="2">
        <v>2015.0</v>
      </c>
      <c r="B205" s="2" t="s">
        <v>7890</v>
      </c>
      <c r="C205" s="2" t="s">
        <v>15399</v>
      </c>
      <c r="I205" s="2" t="s">
        <v>15399</v>
      </c>
      <c r="J205" s="2" t="s">
        <v>15399</v>
      </c>
      <c r="K205" s="2" t="s">
        <v>7891</v>
      </c>
      <c r="O205" s="2" t="s">
        <v>1368</v>
      </c>
    </row>
    <row r="206" ht="15.75" customHeight="1">
      <c r="A206" s="2">
        <v>2012.0</v>
      </c>
      <c r="B206" s="2" t="s">
        <v>2555</v>
      </c>
      <c r="C206" s="2" t="s">
        <v>15399</v>
      </c>
      <c r="E206" s="2" t="s">
        <v>15399</v>
      </c>
      <c r="K206" s="2" t="s">
        <v>690</v>
      </c>
      <c r="L206" s="2" t="s">
        <v>693</v>
      </c>
      <c r="M206" s="2" t="s">
        <v>15399</v>
      </c>
      <c r="N206" s="2" t="s">
        <v>15399</v>
      </c>
      <c r="O206" s="2" t="s">
        <v>1368</v>
      </c>
    </row>
    <row r="207" ht="15.75" customHeight="1">
      <c r="A207" s="2">
        <v>1987.0</v>
      </c>
      <c r="B207" s="2" t="s">
        <v>10529</v>
      </c>
      <c r="C207" s="2" t="s">
        <v>15399</v>
      </c>
      <c r="E207" s="2" t="s">
        <v>15399</v>
      </c>
      <c r="K207" s="2" t="s">
        <v>10530</v>
      </c>
      <c r="L207" s="2" t="s">
        <v>1270</v>
      </c>
      <c r="N207" s="2" t="s">
        <v>15399</v>
      </c>
      <c r="O207" s="2" t="s">
        <v>1368</v>
      </c>
    </row>
    <row r="208" ht="15.75" customHeight="1">
      <c r="A208" s="2">
        <v>2013.0</v>
      </c>
      <c r="B208" s="2" t="s">
        <v>7145</v>
      </c>
      <c r="C208" s="2" t="s">
        <v>15399</v>
      </c>
      <c r="G208" s="2" t="s">
        <v>15399</v>
      </c>
      <c r="K208" s="2" t="s">
        <v>7146</v>
      </c>
      <c r="L208" s="2" t="s">
        <v>7148</v>
      </c>
      <c r="O208" s="2" t="s">
        <v>1368</v>
      </c>
    </row>
    <row r="209" ht="15.75" customHeight="1">
      <c r="A209" s="2">
        <v>2014.0</v>
      </c>
      <c r="B209" s="2" t="s">
        <v>2368</v>
      </c>
      <c r="C209" s="2" t="s">
        <v>15399</v>
      </c>
      <c r="I209" s="2" t="s">
        <v>15399</v>
      </c>
      <c r="K209" s="2" t="s">
        <v>535</v>
      </c>
      <c r="L209" s="2" t="s">
        <v>537</v>
      </c>
      <c r="N209" s="2" t="s">
        <v>15399</v>
      </c>
      <c r="O209" s="2" t="s">
        <v>1368</v>
      </c>
    </row>
    <row r="210" ht="15.75" customHeight="1">
      <c r="A210" s="2">
        <v>2017.0</v>
      </c>
      <c r="B210" s="2" t="s">
        <v>2161</v>
      </c>
      <c r="C210" s="2" t="s">
        <v>15399</v>
      </c>
      <c r="I210" s="2" t="s">
        <v>15399</v>
      </c>
      <c r="K210" s="2" t="s">
        <v>140</v>
      </c>
      <c r="L210" s="2" t="s">
        <v>143</v>
      </c>
      <c r="N210" s="2" t="s">
        <v>15399</v>
      </c>
      <c r="O210" s="2" t="s">
        <v>2169</v>
      </c>
    </row>
    <row r="211" ht="15.75" customHeight="1">
      <c r="A211" s="2">
        <v>2015.0</v>
      </c>
      <c r="B211" s="2" t="s">
        <v>9482</v>
      </c>
      <c r="C211" s="2" t="s">
        <v>15399</v>
      </c>
      <c r="G211" s="2" t="s">
        <v>15399</v>
      </c>
      <c r="K211" s="2" t="s">
        <v>9483</v>
      </c>
      <c r="L211" s="2" t="s">
        <v>427</v>
      </c>
      <c r="N211" s="2" t="s">
        <v>15399</v>
      </c>
      <c r="O211" s="2" t="s">
        <v>1368</v>
      </c>
    </row>
    <row r="212" ht="15.75" customHeight="1">
      <c r="A212" s="2">
        <v>2011.0</v>
      </c>
      <c r="B212" s="2" t="s">
        <v>9910</v>
      </c>
      <c r="C212" s="2" t="s">
        <v>15399</v>
      </c>
      <c r="E212" s="2" t="s">
        <v>15399</v>
      </c>
      <c r="K212" s="2" t="s">
        <v>9911</v>
      </c>
      <c r="L212" s="2" t="s">
        <v>15406</v>
      </c>
      <c r="M212" s="2" t="s">
        <v>15399</v>
      </c>
      <c r="O212" s="2" t="s">
        <v>1368</v>
      </c>
    </row>
    <row r="213" ht="15.75" customHeight="1">
      <c r="A213" s="2">
        <v>2012.0</v>
      </c>
      <c r="B213" s="2" t="s">
        <v>8954</v>
      </c>
      <c r="C213" s="2" t="s">
        <v>15399</v>
      </c>
      <c r="I213" s="2" t="s">
        <v>15399</v>
      </c>
      <c r="J213" s="2" t="s">
        <v>15399</v>
      </c>
      <c r="K213" s="2" t="s">
        <v>8955</v>
      </c>
      <c r="L213" s="2" t="s">
        <v>685</v>
      </c>
      <c r="N213" s="2" t="s">
        <v>15399</v>
      </c>
      <c r="O213" s="2" t="s">
        <v>1368</v>
      </c>
    </row>
    <row r="214" ht="15.75" customHeight="1">
      <c r="A214" s="2">
        <v>2015.0</v>
      </c>
      <c r="B214" s="2" t="s">
        <v>7203</v>
      </c>
      <c r="C214" s="2" t="s">
        <v>15399</v>
      </c>
      <c r="I214" s="2" t="s">
        <v>15399</v>
      </c>
      <c r="K214" s="2" t="s">
        <v>7204</v>
      </c>
      <c r="L214" s="2" t="s">
        <v>356</v>
      </c>
      <c r="N214" s="2" t="s">
        <v>15399</v>
      </c>
      <c r="O214" s="2" t="s">
        <v>1368</v>
      </c>
    </row>
    <row r="215" ht="15.75" customHeight="1">
      <c r="A215" s="2">
        <v>2016.0</v>
      </c>
      <c r="B215" s="2" t="s">
        <v>4693</v>
      </c>
      <c r="C215" s="2" t="s">
        <v>15399</v>
      </c>
      <c r="I215" s="2" t="s">
        <v>15399</v>
      </c>
      <c r="K215" s="2" t="s">
        <v>214</v>
      </c>
      <c r="L215" s="2" t="s">
        <v>217</v>
      </c>
      <c r="M215" s="2" t="s">
        <v>15399</v>
      </c>
      <c r="N215" s="2" t="s">
        <v>15399</v>
      </c>
      <c r="O215" s="2" t="s">
        <v>1368</v>
      </c>
    </row>
    <row r="216" ht="15.75" customHeight="1">
      <c r="A216" s="2">
        <v>2016.0</v>
      </c>
      <c r="B216" s="2" t="s">
        <v>5152</v>
      </c>
      <c r="C216" s="2" t="s">
        <v>15399</v>
      </c>
      <c r="G216" s="2" t="s">
        <v>15399</v>
      </c>
      <c r="J216" s="2" t="s">
        <v>15399</v>
      </c>
      <c r="K216" s="2" t="s">
        <v>5167</v>
      </c>
      <c r="O216" s="2" t="s">
        <v>1368</v>
      </c>
    </row>
    <row r="217" ht="15.75" customHeight="1">
      <c r="A217" s="2">
        <v>2013.0</v>
      </c>
      <c r="B217" s="2" t="s">
        <v>4838</v>
      </c>
      <c r="C217" s="2" t="s">
        <v>15399</v>
      </c>
      <c r="G217" s="2" t="s">
        <v>15399</v>
      </c>
      <c r="J217" s="2" t="s">
        <v>15399</v>
      </c>
      <c r="K217" s="2" t="s">
        <v>4839</v>
      </c>
      <c r="O217" s="2" t="s">
        <v>1368</v>
      </c>
    </row>
    <row r="218" ht="15.75" customHeight="1">
      <c r="A218" s="2">
        <v>2008.0</v>
      </c>
      <c r="B218" s="2" t="s">
        <v>4856</v>
      </c>
      <c r="C218" s="2" t="s">
        <v>15399</v>
      </c>
      <c r="F218" s="2" t="s">
        <v>15399</v>
      </c>
      <c r="J218" s="2" t="s">
        <v>15399</v>
      </c>
      <c r="K218" s="2" t="s">
        <v>4857</v>
      </c>
      <c r="O218" s="2" t="s">
        <v>1368</v>
      </c>
    </row>
    <row r="219" ht="15.75" customHeight="1">
      <c r="A219" s="2">
        <v>2008.0</v>
      </c>
      <c r="B219" s="2" t="s">
        <v>2512</v>
      </c>
      <c r="C219" s="2" t="s">
        <v>15399</v>
      </c>
      <c r="I219" s="2" t="s">
        <v>15399</v>
      </c>
      <c r="K219" s="2" t="s">
        <v>2513</v>
      </c>
      <c r="O219" s="2" t="s">
        <v>1368</v>
      </c>
    </row>
    <row r="220" ht="15.75" customHeight="1">
      <c r="A220" s="2">
        <v>2008.0</v>
      </c>
      <c r="B220" s="2" t="s">
        <v>10137</v>
      </c>
      <c r="C220" s="2" t="s">
        <v>15399</v>
      </c>
      <c r="H220" s="2" t="s">
        <v>15399</v>
      </c>
      <c r="K220" s="2" t="s">
        <v>10138</v>
      </c>
      <c r="N220" s="2" t="s">
        <v>15399</v>
      </c>
      <c r="O220" s="2" t="s">
        <v>1368</v>
      </c>
    </row>
    <row r="221" ht="15.75" customHeight="1">
      <c r="A221" s="2">
        <v>2011.0</v>
      </c>
      <c r="B221" s="2" t="s">
        <v>9147</v>
      </c>
      <c r="C221" s="2" t="s">
        <v>15399</v>
      </c>
      <c r="F221" s="2" t="s">
        <v>15399</v>
      </c>
      <c r="K221" s="2" t="s">
        <v>9148</v>
      </c>
      <c r="O221" s="2" t="s">
        <v>1368</v>
      </c>
    </row>
    <row r="222" ht="15.75" customHeight="1">
      <c r="A222" s="2">
        <v>2018.0</v>
      </c>
      <c r="B222" s="2" t="s">
        <v>4843</v>
      </c>
      <c r="C222" s="2" t="s">
        <v>15399</v>
      </c>
      <c r="G222" s="2" t="s">
        <v>15399</v>
      </c>
      <c r="J222" s="2" t="s">
        <v>15399</v>
      </c>
      <c r="K222" s="2" t="s">
        <v>4853</v>
      </c>
      <c r="O222" s="2" t="s">
        <v>1368</v>
      </c>
    </row>
    <row r="223" ht="15.75" customHeight="1">
      <c r="A223" s="2">
        <v>2018.0</v>
      </c>
      <c r="B223" s="2" t="s">
        <v>4843</v>
      </c>
      <c r="C223" s="2" t="s">
        <v>15399</v>
      </c>
      <c r="G223" s="2" t="s">
        <v>15399</v>
      </c>
      <c r="J223" s="2" t="s">
        <v>15399</v>
      </c>
      <c r="K223" s="2" t="s">
        <v>4904</v>
      </c>
      <c r="O223" s="2" t="s">
        <v>1368</v>
      </c>
    </row>
    <row r="224" ht="15.75" customHeight="1">
      <c r="A224" s="2">
        <v>2017.0</v>
      </c>
      <c r="B224" s="2" t="s">
        <v>4843</v>
      </c>
      <c r="C224" s="2" t="s">
        <v>15399</v>
      </c>
      <c r="G224" s="2" t="s">
        <v>15399</v>
      </c>
      <c r="J224" s="2" t="s">
        <v>15399</v>
      </c>
      <c r="K224" s="2" t="s">
        <v>5531</v>
      </c>
      <c r="O224" s="2" t="s">
        <v>1368</v>
      </c>
    </row>
    <row r="225" ht="15.75" customHeight="1">
      <c r="A225" s="2">
        <v>2009.0</v>
      </c>
      <c r="B225" s="2" t="s">
        <v>8791</v>
      </c>
      <c r="C225" s="2" t="s">
        <v>15399</v>
      </c>
      <c r="E225" s="2" t="s">
        <v>15399</v>
      </c>
      <c r="K225" s="2" t="s">
        <v>8792</v>
      </c>
      <c r="O225" s="2" t="s">
        <v>1368</v>
      </c>
    </row>
    <row r="226" ht="15.75" customHeight="1">
      <c r="A226" s="2">
        <v>2017.0</v>
      </c>
      <c r="B226" s="2" t="s">
        <v>2487</v>
      </c>
      <c r="C226" s="2" t="s">
        <v>15399</v>
      </c>
      <c r="G226" s="2" t="s">
        <v>15399</v>
      </c>
      <c r="J226" s="2" t="s">
        <v>15399</v>
      </c>
      <c r="K226" s="2" t="s">
        <v>5554</v>
      </c>
      <c r="O226" s="2" t="s">
        <v>1368</v>
      </c>
    </row>
    <row r="227" ht="15.75" customHeight="1">
      <c r="A227" s="2">
        <v>2015.0</v>
      </c>
      <c r="B227" s="2" t="s">
        <v>5630</v>
      </c>
      <c r="C227" s="2" t="s">
        <v>15399</v>
      </c>
      <c r="F227" s="2" t="s">
        <v>15399</v>
      </c>
      <c r="J227" s="2" t="s">
        <v>15399</v>
      </c>
      <c r="K227" s="2" t="s">
        <v>5631</v>
      </c>
      <c r="O227" s="2" t="s">
        <v>1368</v>
      </c>
    </row>
    <row r="228" ht="15.75" customHeight="1">
      <c r="A228" s="2">
        <v>2012.0</v>
      </c>
      <c r="B228" s="2" t="s">
        <v>5509</v>
      </c>
      <c r="C228" s="2" t="s">
        <v>15399</v>
      </c>
      <c r="G228" s="2" t="s">
        <v>15399</v>
      </c>
      <c r="J228" s="2" t="s">
        <v>15399</v>
      </c>
      <c r="K228" s="2" t="s">
        <v>5510</v>
      </c>
      <c r="O228" s="2" t="s">
        <v>2169</v>
      </c>
    </row>
    <row r="229" ht="15.75" customHeight="1">
      <c r="A229" s="2">
        <v>2016.0</v>
      </c>
      <c r="B229" s="2" t="s">
        <v>5498</v>
      </c>
      <c r="C229" s="2" t="s">
        <v>15399</v>
      </c>
      <c r="F229" s="2" t="s">
        <v>15399</v>
      </c>
      <c r="J229" s="2" t="s">
        <v>15399</v>
      </c>
      <c r="K229" s="2" t="s">
        <v>5499</v>
      </c>
      <c r="O229" s="2" t="s">
        <v>5503</v>
      </c>
    </row>
  </sheetData>
  <autoFilter ref="$A$1:$O$229">
    <sortState ref="A1:O229">
      <sortCondition descending="1" ref="C1:C229"/>
      <sortCondition descending="1" ref="D1:D229"/>
      <sortCondition ref="B1:B229"/>
      <sortCondition ref="L1:L229"/>
    </sortState>
  </autoFilter>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33.5"/>
    <col customWidth="1" min="3" max="3" width="23.25"/>
    <col customWidth="1" min="4" max="6" width="8.88"/>
    <col customWidth="1" min="7" max="7" width="11.0"/>
    <col customWidth="1" min="8" max="8" width="8.88"/>
    <col customWidth="1" min="9" max="9" width="10.63"/>
    <col customWidth="1" min="10" max="10" width="17.63"/>
    <col customWidth="1" min="11" max="11" width="54.38"/>
    <col customWidth="1" min="12" max="12" width="37.25"/>
    <col customWidth="1" min="13" max="13" width="14.5"/>
    <col customWidth="1" min="14" max="14" width="15.75"/>
    <col customWidth="1" min="15" max="15" width="21.75"/>
  </cols>
  <sheetData>
    <row r="1">
      <c r="A1" s="10" t="s">
        <v>1276</v>
      </c>
      <c r="B1" s="10" t="s">
        <v>1277</v>
      </c>
      <c r="C1" s="16" t="s">
        <v>15389</v>
      </c>
      <c r="D1" s="17" t="s">
        <v>15390</v>
      </c>
      <c r="E1" s="18" t="s">
        <v>15391</v>
      </c>
      <c r="F1" s="19" t="s">
        <v>15392</v>
      </c>
      <c r="G1" s="20" t="s">
        <v>15393</v>
      </c>
      <c r="H1" s="17" t="s">
        <v>15394</v>
      </c>
      <c r="I1" s="16" t="s">
        <v>15395</v>
      </c>
      <c r="J1" s="10" t="s">
        <v>15396</v>
      </c>
      <c r="K1" s="10" t="s">
        <v>1278</v>
      </c>
      <c r="L1" s="10" t="s">
        <v>17</v>
      </c>
      <c r="M1" s="17" t="s">
        <v>15397</v>
      </c>
      <c r="N1" s="17" t="s">
        <v>15398</v>
      </c>
      <c r="O1" s="10" t="s">
        <v>1312</v>
      </c>
    </row>
    <row r="2">
      <c r="A2" s="2">
        <v>2010.0</v>
      </c>
      <c r="B2" s="2" t="s">
        <v>5256</v>
      </c>
      <c r="C2" s="2" t="s">
        <v>12129</v>
      </c>
      <c r="K2" s="2" t="s">
        <v>5257</v>
      </c>
      <c r="L2" s="2" t="s">
        <v>5259</v>
      </c>
      <c r="O2" s="2" t="s">
        <v>1368</v>
      </c>
    </row>
    <row r="3">
      <c r="A3" s="2">
        <v>2010.0</v>
      </c>
      <c r="B3" s="2" t="s">
        <v>5276</v>
      </c>
      <c r="C3" s="2" t="s">
        <v>12129</v>
      </c>
      <c r="K3" s="2" t="s">
        <v>5277</v>
      </c>
      <c r="O3" s="2" t="s">
        <v>1368</v>
      </c>
    </row>
    <row r="4">
      <c r="A4" s="2">
        <v>2003.0</v>
      </c>
      <c r="B4" s="2" t="s">
        <v>5240</v>
      </c>
      <c r="C4" s="2" t="s">
        <v>12129</v>
      </c>
      <c r="K4" s="2" t="s">
        <v>5241</v>
      </c>
      <c r="O4" s="2" t="s">
        <v>1368</v>
      </c>
    </row>
    <row r="5">
      <c r="A5" s="2">
        <v>2017.0</v>
      </c>
      <c r="B5" s="2" t="s">
        <v>5264</v>
      </c>
      <c r="C5" s="2" t="s">
        <v>12129</v>
      </c>
      <c r="K5" s="2" t="s">
        <v>5265</v>
      </c>
      <c r="O5" s="2" t="s">
        <v>1368</v>
      </c>
    </row>
    <row r="6">
      <c r="A6" s="2">
        <v>2001.0</v>
      </c>
      <c r="B6" s="2" t="s">
        <v>5297</v>
      </c>
      <c r="C6" s="2" t="s">
        <v>12129</v>
      </c>
      <c r="K6" s="2" t="s">
        <v>5298</v>
      </c>
      <c r="L6" s="2" t="s">
        <v>5299</v>
      </c>
      <c r="O6" s="2" t="s">
        <v>1368</v>
      </c>
    </row>
    <row r="7">
      <c r="A7" s="2">
        <v>2005.0</v>
      </c>
      <c r="B7" s="2" t="s">
        <v>5284</v>
      </c>
      <c r="C7" s="2" t="s">
        <v>12129</v>
      </c>
      <c r="K7" s="2" t="s">
        <v>5285</v>
      </c>
      <c r="O7" s="2" t="s">
        <v>1368</v>
      </c>
    </row>
    <row r="8">
      <c r="A8" s="2">
        <v>1988.0</v>
      </c>
      <c r="B8" s="2" t="s">
        <v>5269</v>
      </c>
      <c r="C8" s="2" t="s">
        <v>12129</v>
      </c>
      <c r="K8" s="2" t="s">
        <v>5270</v>
      </c>
      <c r="O8" s="2" t="s">
        <v>1368</v>
      </c>
    </row>
    <row r="9">
      <c r="A9" s="2">
        <v>2012.0</v>
      </c>
      <c r="B9" s="2" t="s">
        <v>5290</v>
      </c>
      <c r="C9" s="2" t="s">
        <v>12129</v>
      </c>
      <c r="K9" s="2" t="s">
        <v>5291</v>
      </c>
      <c r="O9" s="2" t="s">
        <v>1368</v>
      </c>
    </row>
    <row r="10">
      <c r="A10" s="2">
        <v>2003.0</v>
      </c>
      <c r="B10" s="2" t="s">
        <v>5231</v>
      </c>
      <c r="C10" s="2" t="s">
        <v>12129</v>
      </c>
      <c r="K10" s="2" t="s">
        <v>5232</v>
      </c>
      <c r="L10" s="2" t="s">
        <v>5234</v>
      </c>
      <c r="O10" s="2" t="s">
        <v>1609</v>
      </c>
    </row>
    <row r="11">
      <c r="A11" s="2">
        <v>1992.0</v>
      </c>
      <c r="B11" s="2" t="s">
        <v>5248</v>
      </c>
      <c r="C11" s="2" t="s">
        <v>12129</v>
      </c>
      <c r="K11" s="2" t="s">
        <v>5249</v>
      </c>
      <c r="L11" s="2" t="s">
        <v>5251</v>
      </c>
      <c r="O11" s="2" t="s">
        <v>1368</v>
      </c>
    </row>
    <row r="12">
      <c r="A12" s="2">
        <v>2009.0</v>
      </c>
      <c r="B12" s="2" t="s">
        <v>1909</v>
      </c>
      <c r="C12" s="2" t="s">
        <v>12129</v>
      </c>
      <c r="K12" s="2" t="s">
        <v>1910</v>
      </c>
      <c r="L12" s="2" t="s">
        <v>1911</v>
      </c>
      <c r="O12" s="2" t="s">
        <v>1368</v>
      </c>
    </row>
    <row r="13">
      <c r="A13" s="2">
        <v>2014.0</v>
      </c>
      <c r="B13" s="2" t="s">
        <v>1888</v>
      </c>
      <c r="C13" s="2" t="s">
        <v>12129</v>
      </c>
      <c r="K13" s="2" t="s">
        <v>1889</v>
      </c>
      <c r="L13" s="2" t="s">
        <v>1892</v>
      </c>
      <c r="O13" s="2" t="s">
        <v>1368</v>
      </c>
    </row>
    <row r="14">
      <c r="A14" s="2">
        <v>2009.0</v>
      </c>
      <c r="B14" s="2" t="s">
        <v>1874</v>
      </c>
      <c r="C14" s="2" t="s">
        <v>12129</v>
      </c>
      <c r="K14" s="2" t="s">
        <v>1875</v>
      </c>
      <c r="L14" s="2" t="s">
        <v>1878</v>
      </c>
      <c r="O14" s="2" t="s">
        <v>1885</v>
      </c>
    </row>
    <row r="15">
      <c r="A15" s="2">
        <v>2016.0</v>
      </c>
      <c r="B15" s="2" t="s">
        <v>1854</v>
      </c>
      <c r="C15" s="2" t="s">
        <v>12129</v>
      </c>
      <c r="K15" s="2" t="s">
        <v>1855</v>
      </c>
      <c r="L15" s="2" t="s">
        <v>1857</v>
      </c>
      <c r="O15" s="2" t="s">
        <v>1368</v>
      </c>
    </row>
    <row r="16">
      <c r="A16" s="2">
        <v>2014.0</v>
      </c>
      <c r="B16" s="2" t="s">
        <v>1846</v>
      </c>
      <c r="C16" s="2" t="s">
        <v>12129</v>
      </c>
      <c r="K16" s="2" t="s">
        <v>1847</v>
      </c>
      <c r="O16" s="2" t="s">
        <v>1368</v>
      </c>
    </row>
    <row r="17">
      <c r="A17" s="2">
        <v>2001.0</v>
      </c>
      <c r="B17" s="2" t="s">
        <v>1846</v>
      </c>
      <c r="C17" s="2" t="s">
        <v>12129</v>
      </c>
      <c r="K17" s="2" t="s">
        <v>1862</v>
      </c>
      <c r="L17" s="2" t="s">
        <v>1865</v>
      </c>
      <c r="O17" s="2" t="s">
        <v>1872</v>
      </c>
    </row>
    <row r="18">
      <c r="A18" s="2">
        <v>2008.0</v>
      </c>
      <c r="B18" s="2" t="s">
        <v>1915</v>
      </c>
      <c r="C18" s="2" t="s">
        <v>12129</v>
      </c>
      <c r="K18" s="2" t="s">
        <v>1916</v>
      </c>
      <c r="L18" s="2" t="s">
        <v>1918</v>
      </c>
      <c r="O18" s="2" t="s">
        <v>1368</v>
      </c>
    </row>
    <row r="19">
      <c r="A19" s="2">
        <v>2005.0</v>
      </c>
      <c r="B19" s="2" t="s">
        <v>1903</v>
      </c>
      <c r="C19" s="2" t="s">
        <v>12129</v>
      </c>
      <c r="K19" s="2" t="s">
        <v>1904</v>
      </c>
      <c r="L19" s="2" t="s">
        <v>1905</v>
      </c>
      <c r="O19" s="2" t="s">
        <v>1368</v>
      </c>
    </row>
    <row r="20">
      <c r="A20" s="2">
        <v>1997.0</v>
      </c>
      <c r="B20" s="2" t="s">
        <v>1838</v>
      </c>
      <c r="C20" s="2" t="s">
        <v>12129</v>
      </c>
      <c r="K20" s="2" t="s">
        <v>1839</v>
      </c>
      <c r="L20" s="2" t="s">
        <v>1841</v>
      </c>
      <c r="O20" s="2" t="s">
        <v>1368</v>
      </c>
    </row>
    <row r="21" ht="15.75" customHeight="1">
      <c r="A21" s="2">
        <v>2014.0</v>
      </c>
      <c r="B21" s="2" t="s">
        <v>10660</v>
      </c>
      <c r="C21" s="2" t="s">
        <v>15399</v>
      </c>
      <c r="I21" s="2" t="s">
        <v>15399</v>
      </c>
      <c r="K21" s="2" t="s">
        <v>519</v>
      </c>
      <c r="L21" s="2" t="s">
        <v>522</v>
      </c>
      <c r="N21" s="2" t="s">
        <v>15399</v>
      </c>
      <c r="O21" s="2" t="s">
        <v>1368</v>
      </c>
    </row>
    <row r="22" ht="15.75" customHeight="1">
      <c r="A22" s="2">
        <v>2015.0</v>
      </c>
      <c r="B22" s="2" t="s">
        <v>4400</v>
      </c>
      <c r="C22" s="2" t="s">
        <v>15399</v>
      </c>
      <c r="F22" s="2" t="s">
        <v>15399</v>
      </c>
      <c r="K22" s="2" t="s">
        <v>338</v>
      </c>
      <c r="L22" s="2" t="s">
        <v>341</v>
      </c>
      <c r="N22" s="2" t="s">
        <v>15399</v>
      </c>
      <c r="O22" s="2" t="s">
        <v>1368</v>
      </c>
    </row>
    <row r="23" ht="15.75" customHeight="1">
      <c r="A23" s="2">
        <v>2004.0</v>
      </c>
      <c r="B23" s="2" t="s">
        <v>11093</v>
      </c>
      <c r="C23" s="2" t="s">
        <v>12129</v>
      </c>
      <c r="K23" s="2" t="s">
        <v>11094</v>
      </c>
      <c r="L23" s="2" t="s">
        <v>11095</v>
      </c>
      <c r="O23" s="2" t="s">
        <v>1368</v>
      </c>
    </row>
    <row r="24" ht="15.75" customHeight="1">
      <c r="A24" s="2">
        <v>1985.0</v>
      </c>
      <c r="B24" s="2" t="s">
        <v>11077</v>
      </c>
      <c r="C24" s="2" t="s">
        <v>12129</v>
      </c>
      <c r="K24" s="2" t="s">
        <v>11078</v>
      </c>
      <c r="L24" s="2" t="s">
        <v>11081</v>
      </c>
      <c r="O24" s="2" t="s">
        <v>1368</v>
      </c>
    </row>
    <row r="25" ht="15.75" customHeight="1">
      <c r="A25" s="2">
        <v>2012.0</v>
      </c>
      <c r="B25" s="2" t="s">
        <v>11054</v>
      </c>
      <c r="C25" s="2" t="s">
        <v>12129</v>
      </c>
      <c r="K25" s="2" t="s">
        <v>11055</v>
      </c>
      <c r="L25" s="2" t="s">
        <v>11057</v>
      </c>
      <c r="O25" s="2" t="s">
        <v>1368</v>
      </c>
    </row>
    <row r="26" ht="15.75" customHeight="1">
      <c r="A26" s="2">
        <v>1980.0</v>
      </c>
      <c r="B26" s="2" t="s">
        <v>11087</v>
      </c>
      <c r="C26" s="2" t="s">
        <v>12129</v>
      </c>
      <c r="K26" s="2" t="s">
        <v>11088</v>
      </c>
      <c r="O26" s="2" t="s">
        <v>1368</v>
      </c>
    </row>
    <row r="27" ht="15.75" customHeight="1">
      <c r="A27" s="2">
        <v>2017.0</v>
      </c>
      <c r="B27" s="2" t="s">
        <v>4437</v>
      </c>
      <c r="C27" s="2" t="s">
        <v>15399</v>
      </c>
      <c r="I27" s="2" t="s">
        <v>15399</v>
      </c>
      <c r="K27" s="2" t="s">
        <v>51</v>
      </c>
      <c r="L27" s="2" t="s">
        <v>54</v>
      </c>
      <c r="N27" s="2" t="s">
        <v>15399</v>
      </c>
      <c r="O27" s="2" t="s">
        <v>1368</v>
      </c>
    </row>
    <row r="28" ht="15.75" customHeight="1">
      <c r="A28" s="2">
        <v>2010.0</v>
      </c>
      <c r="B28" s="2" t="s">
        <v>11084</v>
      </c>
      <c r="C28" s="2" t="s">
        <v>12129</v>
      </c>
      <c r="K28" s="2" t="s">
        <v>11085</v>
      </c>
      <c r="O28" s="2" t="s">
        <v>1368</v>
      </c>
    </row>
    <row r="29" ht="15.75" customHeight="1">
      <c r="A29" s="2">
        <v>2010.0</v>
      </c>
      <c r="B29" s="2" t="s">
        <v>11061</v>
      </c>
      <c r="C29" s="2" t="s">
        <v>12129</v>
      </c>
      <c r="K29" s="2" t="s">
        <v>11062</v>
      </c>
      <c r="L29" s="2" t="s">
        <v>11065</v>
      </c>
      <c r="O29" s="2" t="s">
        <v>1368</v>
      </c>
    </row>
    <row r="30" ht="15.75" customHeight="1">
      <c r="A30" s="2">
        <v>1997.0</v>
      </c>
      <c r="B30" s="2" t="s">
        <v>11072</v>
      </c>
      <c r="C30" s="2" t="s">
        <v>12129</v>
      </c>
      <c r="K30" s="2" t="s">
        <v>11073</v>
      </c>
      <c r="L30" s="2" t="s">
        <v>11074</v>
      </c>
      <c r="O30" s="2" t="s">
        <v>1368</v>
      </c>
    </row>
    <row r="31" ht="15.75" customHeight="1">
      <c r="A31" s="2">
        <v>2013.0</v>
      </c>
      <c r="B31" s="2" t="s">
        <v>11035</v>
      </c>
      <c r="C31" s="2" t="s">
        <v>12129</v>
      </c>
      <c r="K31" s="2" t="s">
        <v>11036</v>
      </c>
      <c r="L31" s="2" t="s">
        <v>11037</v>
      </c>
      <c r="O31" s="2" t="s">
        <v>1368</v>
      </c>
    </row>
    <row r="32" ht="15.75" customHeight="1">
      <c r="A32" s="2">
        <v>2003.0</v>
      </c>
      <c r="B32" s="2" t="s">
        <v>10621</v>
      </c>
      <c r="C32" s="2" t="s">
        <v>12129</v>
      </c>
      <c r="K32" s="2" t="s">
        <v>10622</v>
      </c>
      <c r="L32" s="2" t="s">
        <v>10623</v>
      </c>
      <c r="O32" s="2" t="s">
        <v>1368</v>
      </c>
    </row>
    <row r="33" ht="15.75" customHeight="1">
      <c r="A33" s="2">
        <v>2005.0</v>
      </c>
      <c r="B33" s="2" t="s">
        <v>2118</v>
      </c>
      <c r="C33" s="2" t="s">
        <v>15399</v>
      </c>
      <c r="I33" s="2" t="s">
        <v>15399</v>
      </c>
      <c r="K33" s="2" t="s">
        <v>1084</v>
      </c>
      <c r="L33" s="2" t="s">
        <v>1087</v>
      </c>
      <c r="N33" s="2" t="s">
        <v>15399</v>
      </c>
      <c r="O33" s="2" t="s">
        <v>1368</v>
      </c>
    </row>
    <row r="34" ht="15.75" customHeight="1">
      <c r="A34" s="2">
        <v>1994.0</v>
      </c>
      <c r="B34" s="2" t="s">
        <v>10618</v>
      </c>
      <c r="C34" s="2" t="s">
        <v>12129</v>
      </c>
      <c r="K34" s="2" t="s">
        <v>10619</v>
      </c>
      <c r="O34" s="2" t="s">
        <v>1368</v>
      </c>
    </row>
    <row r="35" ht="15.75" customHeight="1">
      <c r="A35" s="2">
        <v>2010.0</v>
      </c>
      <c r="B35" s="2" t="s">
        <v>10583</v>
      </c>
      <c r="C35" s="2" t="s">
        <v>12129</v>
      </c>
      <c r="K35" s="2" t="s">
        <v>10584</v>
      </c>
      <c r="L35" s="2" t="s">
        <v>10585</v>
      </c>
      <c r="O35" s="2" t="s">
        <v>1368</v>
      </c>
    </row>
    <row r="36" ht="15.75" customHeight="1">
      <c r="A36" s="2">
        <v>2012.0</v>
      </c>
      <c r="B36" s="2" t="s">
        <v>4521</v>
      </c>
      <c r="C36" s="2" t="s">
        <v>15399</v>
      </c>
      <c r="I36" s="2" t="s">
        <v>15399</v>
      </c>
      <c r="K36" s="2" t="s">
        <v>715</v>
      </c>
      <c r="L36" s="2" t="s">
        <v>718</v>
      </c>
      <c r="N36" s="2" t="s">
        <v>15399</v>
      </c>
      <c r="O36" s="2" t="s">
        <v>1368</v>
      </c>
    </row>
    <row r="37" ht="15.75" customHeight="1">
      <c r="A37" s="2">
        <v>2012.0</v>
      </c>
      <c r="B37" s="2" t="s">
        <v>10604</v>
      </c>
      <c r="C37" s="2" t="s">
        <v>12129</v>
      </c>
      <c r="K37" s="2" t="s">
        <v>10605</v>
      </c>
      <c r="O37" s="2" t="s">
        <v>1368</v>
      </c>
    </row>
    <row r="38" ht="15.75" customHeight="1">
      <c r="A38" s="2">
        <v>2010.0</v>
      </c>
      <c r="B38" s="2" t="s">
        <v>10576</v>
      </c>
      <c r="C38" s="2" t="s">
        <v>12129</v>
      </c>
      <c r="K38" s="2" t="s">
        <v>10577</v>
      </c>
      <c r="L38" s="2" t="s">
        <v>10578</v>
      </c>
      <c r="O38" s="2" t="s">
        <v>1368</v>
      </c>
    </row>
    <row r="39" ht="15.75" customHeight="1">
      <c r="A39" s="2">
        <v>2005.0</v>
      </c>
      <c r="B39" s="2" t="s">
        <v>10626</v>
      </c>
      <c r="C39" s="2" t="s">
        <v>12129</v>
      </c>
      <c r="K39" s="2" t="s">
        <v>10627</v>
      </c>
      <c r="L39" s="2" t="s">
        <v>10628</v>
      </c>
      <c r="O39" s="2" t="s">
        <v>1368</v>
      </c>
    </row>
    <row r="40" ht="15.75" customHeight="1">
      <c r="A40" s="2">
        <v>2011.0</v>
      </c>
      <c r="B40" s="2" t="s">
        <v>10590</v>
      </c>
      <c r="C40" s="2" t="s">
        <v>12129</v>
      </c>
      <c r="K40" s="2" t="s">
        <v>10591</v>
      </c>
      <c r="L40" s="2" t="s">
        <v>10593</v>
      </c>
      <c r="O40" s="2" t="s">
        <v>1368</v>
      </c>
    </row>
    <row r="41" ht="15.75" customHeight="1">
      <c r="A41" s="2">
        <v>2014.0</v>
      </c>
      <c r="B41" s="2" t="s">
        <v>10597</v>
      </c>
      <c r="C41" s="2" t="s">
        <v>12129</v>
      </c>
      <c r="K41" s="2" t="s">
        <v>10598</v>
      </c>
      <c r="L41" s="2" t="s">
        <v>10599</v>
      </c>
      <c r="O41" s="2" t="s">
        <v>1368</v>
      </c>
    </row>
    <row r="42" ht="15.75" customHeight="1">
      <c r="A42" s="2">
        <v>2016.0</v>
      </c>
      <c r="B42" s="2" t="s">
        <v>8972</v>
      </c>
      <c r="C42" s="2" t="s">
        <v>12129</v>
      </c>
      <c r="K42" s="2" t="s">
        <v>8973</v>
      </c>
      <c r="O42" s="2" t="s">
        <v>1368</v>
      </c>
    </row>
    <row r="43" ht="15.75" customHeight="1">
      <c r="A43" s="2">
        <v>2004.0</v>
      </c>
      <c r="B43" s="2" t="s">
        <v>8980</v>
      </c>
      <c r="C43" s="2" t="s">
        <v>12129</v>
      </c>
      <c r="K43" s="2" t="s">
        <v>8981</v>
      </c>
      <c r="L43" s="2" t="s">
        <v>8983</v>
      </c>
      <c r="O43" s="2" t="s">
        <v>1368</v>
      </c>
    </row>
    <row r="44" ht="15.75" customHeight="1">
      <c r="A44" s="2">
        <v>2006.0</v>
      </c>
      <c r="B44" s="2" t="s">
        <v>4367</v>
      </c>
      <c r="C44" s="2" t="s">
        <v>15399</v>
      </c>
      <c r="E44" s="2" t="s">
        <v>15399</v>
      </c>
      <c r="K44" s="2" t="s">
        <v>4368</v>
      </c>
      <c r="L44" s="2" t="s">
        <v>15400</v>
      </c>
      <c r="M44" s="2" t="s">
        <v>15401</v>
      </c>
      <c r="O44" s="2" t="s">
        <v>1368</v>
      </c>
    </row>
    <row r="45" ht="15.75" customHeight="1">
      <c r="A45" s="2">
        <v>1995.0</v>
      </c>
      <c r="B45" s="2" t="s">
        <v>8969</v>
      </c>
      <c r="C45" s="2" t="s">
        <v>12129</v>
      </c>
      <c r="K45" s="2" t="s">
        <v>8970</v>
      </c>
      <c r="O45" s="2" t="s">
        <v>1368</v>
      </c>
    </row>
    <row r="46" ht="15.75" customHeight="1">
      <c r="A46" s="2">
        <v>2012.0</v>
      </c>
      <c r="B46" s="2" t="s">
        <v>8964</v>
      </c>
      <c r="C46" s="2" t="s">
        <v>12129</v>
      </c>
      <c r="K46" s="2" t="s">
        <v>8965</v>
      </c>
      <c r="O46" s="2" t="s">
        <v>1368</v>
      </c>
    </row>
    <row r="47" ht="15.75" customHeight="1">
      <c r="A47" s="2">
        <v>2015.0</v>
      </c>
      <c r="B47" s="2" t="s">
        <v>8945</v>
      </c>
      <c r="C47" s="2" t="s">
        <v>12129</v>
      </c>
      <c r="K47" s="2" t="s">
        <v>8946</v>
      </c>
      <c r="L47" s="2" t="s">
        <v>8947</v>
      </c>
      <c r="O47" s="2" t="s">
        <v>1368</v>
      </c>
    </row>
    <row r="48" ht="15.75" customHeight="1">
      <c r="A48" s="2">
        <v>2007.0</v>
      </c>
      <c r="B48" s="2" t="s">
        <v>8987</v>
      </c>
      <c r="C48" s="2" t="s">
        <v>12129</v>
      </c>
      <c r="K48" s="2" t="s">
        <v>8988</v>
      </c>
      <c r="L48" s="2" t="s">
        <v>8989</v>
      </c>
      <c r="O48" s="2" t="s">
        <v>1368</v>
      </c>
    </row>
    <row r="49" ht="15.75" customHeight="1">
      <c r="A49" s="2">
        <v>1997.0</v>
      </c>
      <c r="B49" s="2" t="s">
        <v>10516</v>
      </c>
      <c r="C49" s="2" t="s">
        <v>15399</v>
      </c>
      <c r="G49" s="2" t="s">
        <v>15399</v>
      </c>
      <c r="K49" s="2" t="s">
        <v>10517</v>
      </c>
      <c r="L49" s="2" t="s">
        <v>15402</v>
      </c>
      <c r="M49" s="2" t="s">
        <v>15399</v>
      </c>
      <c r="O49" s="2" t="s">
        <v>1368</v>
      </c>
    </row>
    <row r="50" ht="15.75" customHeight="1">
      <c r="A50" s="2">
        <v>2018.0</v>
      </c>
      <c r="B50" s="2" t="s">
        <v>8958</v>
      </c>
      <c r="C50" s="2" t="s">
        <v>15399</v>
      </c>
      <c r="G50" s="2" t="s">
        <v>15399</v>
      </c>
      <c r="J50" s="2" t="s">
        <v>15399</v>
      </c>
      <c r="K50" s="2" t="s">
        <v>8959</v>
      </c>
      <c r="O50" s="2" t="s">
        <v>1368</v>
      </c>
    </row>
    <row r="51" ht="15.75" customHeight="1">
      <c r="A51" s="2">
        <v>2012.0</v>
      </c>
      <c r="B51" s="2" t="s">
        <v>8958</v>
      </c>
      <c r="C51" s="2" t="s">
        <v>12129</v>
      </c>
      <c r="K51" s="2" t="s">
        <v>8961</v>
      </c>
      <c r="O51" s="2" t="s">
        <v>1368</v>
      </c>
    </row>
    <row r="52" ht="15.75" customHeight="1">
      <c r="A52" s="2">
        <v>2007.0</v>
      </c>
      <c r="B52" s="2" t="s">
        <v>7131</v>
      </c>
      <c r="C52" s="2" t="s">
        <v>12129</v>
      </c>
      <c r="K52" s="2" t="s">
        <v>7132</v>
      </c>
      <c r="L52" s="2" t="s">
        <v>7133</v>
      </c>
      <c r="O52" s="2" t="s">
        <v>1368</v>
      </c>
    </row>
    <row r="53" ht="15.75" customHeight="1">
      <c r="A53" s="2">
        <v>2011.0</v>
      </c>
      <c r="B53" s="2" t="s">
        <v>7186</v>
      </c>
      <c r="C53" s="2" t="s">
        <v>12129</v>
      </c>
      <c r="K53" s="2" t="s">
        <v>7187</v>
      </c>
      <c r="O53" s="2" t="s">
        <v>1368</v>
      </c>
    </row>
    <row r="54" ht="15.75" customHeight="1">
      <c r="A54" s="2">
        <v>2010.0</v>
      </c>
      <c r="B54" s="2" t="s">
        <v>7138</v>
      </c>
      <c r="C54" s="2" t="s">
        <v>12129</v>
      </c>
      <c r="K54" s="2" t="s">
        <v>7139</v>
      </c>
      <c r="L54" s="2" t="s">
        <v>7140</v>
      </c>
      <c r="O54" s="2" t="s">
        <v>1368</v>
      </c>
    </row>
    <row r="55" ht="15.75" customHeight="1">
      <c r="A55" s="2">
        <v>2002.0</v>
      </c>
      <c r="B55" s="2" t="s">
        <v>7182</v>
      </c>
      <c r="C55" s="2" t="s">
        <v>12129</v>
      </c>
      <c r="K55" s="2" t="s">
        <v>7183</v>
      </c>
      <c r="O55" s="2" t="s">
        <v>1368</v>
      </c>
    </row>
    <row r="56" ht="15.75" customHeight="1">
      <c r="A56" s="2">
        <v>2000.0</v>
      </c>
      <c r="B56" s="2" t="s">
        <v>7163</v>
      </c>
      <c r="C56" s="2" t="s">
        <v>12129</v>
      </c>
      <c r="K56" s="2" t="s">
        <v>7164</v>
      </c>
      <c r="O56" s="2" t="s">
        <v>1368</v>
      </c>
    </row>
    <row r="57" ht="15.75" customHeight="1">
      <c r="A57" s="2">
        <v>2011.0</v>
      </c>
      <c r="B57" s="2" t="s">
        <v>7176</v>
      </c>
      <c r="C57" s="2" t="s">
        <v>12129</v>
      </c>
      <c r="K57" s="2" t="s">
        <v>7177</v>
      </c>
      <c r="L57" s="2" t="s">
        <v>7178</v>
      </c>
      <c r="O57" s="2" t="s">
        <v>1368</v>
      </c>
    </row>
    <row r="58" ht="15.75" customHeight="1">
      <c r="A58" s="2">
        <v>2000.0</v>
      </c>
      <c r="B58" s="2" t="s">
        <v>10370</v>
      </c>
      <c r="C58" s="2" t="s">
        <v>15399</v>
      </c>
      <c r="F58" s="2" t="s">
        <v>15399</v>
      </c>
      <c r="K58" s="2" t="s">
        <v>1234</v>
      </c>
      <c r="L58" s="2" t="s">
        <v>1237</v>
      </c>
      <c r="N58" s="2" t="s">
        <v>15399</v>
      </c>
      <c r="O58" s="2" t="s">
        <v>1368</v>
      </c>
    </row>
    <row r="59" ht="15.75" customHeight="1">
      <c r="A59" s="2">
        <v>2011.0</v>
      </c>
      <c r="B59" s="2" t="s">
        <v>7171</v>
      </c>
      <c r="C59" s="2" t="s">
        <v>12129</v>
      </c>
      <c r="K59" s="2" t="s">
        <v>7172</v>
      </c>
      <c r="L59" s="2" t="s">
        <v>7173</v>
      </c>
      <c r="O59" s="2" t="s">
        <v>1368</v>
      </c>
    </row>
    <row r="60" ht="15.75" customHeight="1">
      <c r="A60" s="2">
        <v>2007.0</v>
      </c>
      <c r="B60" s="2" t="s">
        <v>7168</v>
      </c>
      <c r="C60" s="2" t="s">
        <v>12129</v>
      </c>
      <c r="K60" s="2" t="s">
        <v>7169</v>
      </c>
      <c r="O60" s="2" t="s">
        <v>1368</v>
      </c>
    </row>
    <row r="61" ht="15.75" customHeight="1">
      <c r="A61" s="2">
        <v>1999.0</v>
      </c>
      <c r="B61" s="2" t="s">
        <v>7152</v>
      </c>
      <c r="C61" s="2" t="s">
        <v>12129</v>
      </c>
      <c r="K61" s="2" t="s">
        <v>7153</v>
      </c>
      <c r="L61" s="2" t="s">
        <v>7156</v>
      </c>
      <c r="O61" s="2" t="s">
        <v>1368</v>
      </c>
    </row>
    <row r="62" ht="15.75" customHeight="1">
      <c r="A62" s="2">
        <v>2012.0</v>
      </c>
      <c r="B62" s="2" t="s">
        <v>6387</v>
      </c>
      <c r="C62" s="2" t="s">
        <v>12129</v>
      </c>
      <c r="K62" s="2" t="s">
        <v>6388</v>
      </c>
      <c r="O62" s="2" t="s">
        <v>1368</v>
      </c>
    </row>
    <row r="63" ht="15.75" customHeight="1">
      <c r="A63" s="2">
        <v>2008.0</v>
      </c>
      <c r="B63" s="2" t="s">
        <v>6378</v>
      </c>
      <c r="C63" s="2" t="s">
        <v>12129</v>
      </c>
      <c r="K63" s="2" t="s">
        <v>6379</v>
      </c>
      <c r="L63" s="2" t="s">
        <v>6382</v>
      </c>
      <c r="O63" s="2" t="s">
        <v>1368</v>
      </c>
    </row>
    <row r="64" ht="15.75" customHeight="1">
      <c r="A64" s="2">
        <v>2010.0</v>
      </c>
      <c r="B64" s="2" t="s">
        <v>6347</v>
      </c>
      <c r="C64" s="2" t="s">
        <v>12129</v>
      </c>
      <c r="K64" s="2" t="s">
        <v>6348</v>
      </c>
      <c r="L64" s="2" t="s">
        <v>6349</v>
      </c>
      <c r="O64" s="2" t="s">
        <v>1368</v>
      </c>
    </row>
    <row r="65" ht="15.75" customHeight="1">
      <c r="A65" s="2">
        <v>2001.0</v>
      </c>
      <c r="B65" s="2" t="s">
        <v>6399</v>
      </c>
      <c r="C65" s="2" t="s">
        <v>12129</v>
      </c>
      <c r="K65" s="2" t="s">
        <v>6400</v>
      </c>
      <c r="L65" s="2" t="s">
        <v>6402</v>
      </c>
      <c r="O65" s="2" t="s">
        <v>1368</v>
      </c>
    </row>
    <row r="66" ht="15.75" customHeight="1">
      <c r="A66" s="2">
        <v>2017.0</v>
      </c>
      <c r="B66" s="2" t="s">
        <v>6394</v>
      </c>
      <c r="C66" s="2" t="s">
        <v>12129</v>
      </c>
      <c r="K66" s="2" t="s">
        <v>6395</v>
      </c>
      <c r="O66" s="2" t="s">
        <v>1368</v>
      </c>
    </row>
    <row r="67" ht="15.75" customHeight="1">
      <c r="A67" s="2">
        <v>2012.0</v>
      </c>
      <c r="B67" s="2" t="s">
        <v>6354</v>
      </c>
      <c r="C67" s="2" t="s">
        <v>12129</v>
      </c>
      <c r="K67" s="2" t="s">
        <v>6355</v>
      </c>
      <c r="O67" s="2" t="s">
        <v>1368</v>
      </c>
    </row>
    <row r="68" ht="15.75" customHeight="1">
      <c r="A68" s="2">
        <v>2016.0</v>
      </c>
      <c r="B68" s="2" t="s">
        <v>6412</v>
      </c>
      <c r="C68" s="2" t="s">
        <v>12129</v>
      </c>
      <c r="K68" s="2" t="s">
        <v>6413</v>
      </c>
      <c r="O68" s="2" t="s">
        <v>1368</v>
      </c>
    </row>
    <row r="69" ht="15.75" customHeight="1">
      <c r="A69" s="2">
        <v>2007.0</v>
      </c>
      <c r="B69" s="2" t="s">
        <v>6372</v>
      </c>
      <c r="C69" s="2" t="s">
        <v>12129</v>
      </c>
      <c r="K69" s="2" t="s">
        <v>6373</v>
      </c>
      <c r="O69" s="2" t="s">
        <v>1872</v>
      </c>
    </row>
    <row r="70" ht="15.75" customHeight="1">
      <c r="A70" s="2">
        <v>2012.0</v>
      </c>
      <c r="B70" s="2" t="s">
        <v>6361</v>
      </c>
      <c r="C70" s="2" t="s">
        <v>12129</v>
      </c>
      <c r="K70" s="2" t="s">
        <v>6362</v>
      </c>
      <c r="L70" s="2" t="s">
        <v>6365</v>
      </c>
      <c r="O70" s="2" t="s">
        <v>1885</v>
      </c>
    </row>
    <row r="71" ht="15.75" customHeight="1">
      <c r="A71" s="2">
        <v>2006.0</v>
      </c>
      <c r="B71" s="2" t="s">
        <v>6407</v>
      </c>
      <c r="C71" s="2" t="s">
        <v>12129</v>
      </c>
      <c r="K71" s="2" t="s">
        <v>6408</v>
      </c>
      <c r="L71" s="2" t="s">
        <v>6409</v>
      </c>
      <c r="O71" s="2" t="s">
        <v>1368</v>
      </c>
    </row>
    <row r="72" ht="15.75" customHeight="1">
      <c r="A72" s="2">
        <v>2011.0</v>
      </c>
      <c r="B72" s="2" t="s">
        <v>3852</v>
      </c>
      <c r="C72" s="2" t="s">
        <v>12129</v>
      </c>
      <c r="K72" s="2" t="s">
        <v>3853</v>
      </c>
      <c r="L72" s="2" t="s">
        <v>3854</v>
      </c>
      <c r="O72" s="2" t="s">
        <v>1368</v>
      </c>
    </row>
    <row r="73" ht="15.75" customHeight="1">
      <c r="A73" s="2">
        <v>2013.0</v>
      </c>
      <c r="B73" s="2" t="s">
        <v>3881</v>
      </c>
      <c r="C73" s="2" t="s">
        <v>12129</v>
      </c>
      <c r="K73" s="2" t="s">
        <v>3882</v>
      </c>
      <c r="L73" s="2" t="s">
        <v>3884</v>
      </c>
      <c r="O73" s="2" t="s">
        <v>1621</v>
      </c>
    </row>
    <row r="74" ht="15.75" customHeight="1">
      <c r="A74" s="2">
        <v>2008.0</v>
      </c>
      <c r="B74" s="2" t="s">
        <v>10513</v>
      </c>
      <c r="C74" s="2" t="s">
        <v>15399</v>
      </c>
      <c r="E74" s="2" t="s">
        <v>15399</v>
      </c>
      <c r="K74" s="2" t="s">
        <v>998</v>
      </c>
      <c r="L74" s="2" t="s">
        <v>1001</v>
      </c>
      <c r="N74" s="2" t="s">
        <v>15399</v>
      </c>
      <c r="O74" s="2" t="s">
        <v>1368</v>
      </c>
    </row>
    <row r="75" ht="15.75" customHeight="1">
      <c r="A75" s="2">
        <v>2011.0</v>
      </c>
      <c r="B75" s="2" t="s">
        <v>3866</v>
      </c>
      <c r="C75" s="2" t="s">
        <v>12129</v>
      </c>
      <c r="K75" s="2" t="s">
        <v>3867</v>
      </c>
      <c r="L75" s="2" t="s">
        <v>3869</v>
      </c>
      <c r="O75" s="2" t="s">
        <v>1368</v>
      </c>
    </row>
    <row r="76" ht="15.75" customHeight="1">
      <c r="A76" s="2">
        <v>2004.0</v>
      </c>
      <c r="B76" s="2" t="s">
        <v>3890</v>
      </c>
      <c r="C76" s="2" t="s">
        <v>12129</v>
      </c>
      <c r="K76" s="2" t="s">
        <v>3891</v>
      </c>
      <c r="O76" s="2" t="s">
        <v>1368</v>
      </c>
    </row>
    <row r="77" ht="15.75" customHeight="1">
      <c r="A77" s="2">
        <v>2016.0</v>
      </c>
      <c r="B77" s="2" t="s">
        <v>3904</v>
      </c>
      <c r="C77" s="2" t="s">
        <v>12129</v>
      </c>
      <c r="K77" s="2" t="s">
        <v>3905</v>
      </c>
      <c r="O77" s="2" t="s">
        <v>1368</v>
      </c>
    </row>
    <row r="78" ht="15.75" customHeight="1">
      <c r="A78" s="2">
        <v>2013.0</v>
      </c>
      <c r="B78" s="2" t="s">
        <v>3899</v>
      </c>
      <c r="C78" s="2" t="s">
        <v>12129</v>
      </c>
      <c r="K78" s="2" t="s">
        <v>3900</v>
      </c>
      <c r="L78" s="2" t="s">
        <v>3901</v>
      </c>
      <c r="O78" s="2" t="s">
        <v>1368</v>
      </c>
    </row>
    <row r="79" ht="15.75" customHeight="1">
      <c r="A79" s="2">
        <v>1999.0</v>
      </c>
      <c r="B79" s="2" t="s">
        <v>3859</v>
      </c>
      <c r="C79" s="2" t="s">
        <v>12129</v>
      </c>
      <c r="K79" s="2" t="s">
        <v>3860</v>
      </c>
      <c r="L79" s="2" t="s">
        <v>3861</v>
      </c>
      <c r="O79" s="2" t="s">
        <v>1368</v>
      </c>
    </row>
    <row r="80" ht="15.75" customHeight="1">
      <c r="A80" s="2">
        <v>2002.0</v>
      </c>
      <c r="B80" s="2" t="s">
        <v>3859</v>
      </c>
      <c r="C80" s="2" t="s">
        <v>12129</v>
      </c>
      <c r="K80" s="2" t="s">
        <v>3875</v>
      </c>
      <c r="L80" s="2" t="s">
        <v>3876</v>
      </c>
      <c r="O80" s="2" t="s">
        <v>1368</v>
      </c>
    </row>
    <row r="81" ht="15.75" customHeight="1">
      <c r="A81" s="2">
        <v>2012.0</v>
      </c>
      <c r="B81" s="2" t="s">
        <v>3894</v>
      </c>
      <c r="C81" s="2" t="s">
        <v>12129</v>
      </c>
      <c r="K81" s="2" t="s">
        <v>3895</v>
      </c>
      <c r="L81" s="2" t="s">
        <v>3896</v>
      </c>
      <c r="O81" s="2" t="s">
        <v>1368</v>
      </c>
    </row>
    <row r="82" ht="15.75" customHeight="1">
      <c r="A82" s="2">
        <v>2015.0</v>
      </c>
      <c r="B82" s="2" t="s">
        <v>5185</v>
      </c>
      <c r="C82" s="2" t="s">
        <v>15399</v>
      </c>
      <c r="H82" s="2" t="s">
        <v>15399</v>
      </c>
      <c r="K82" s="2" t="s">
        <v>264</v>
      </c>
      <c r="L82" s="2" t="s">
        <v>268</v>
      </c>
      <c r="N82" s="2" t="s">
        <v>15399</v>
      </c>
      <c r="O82" s="2" t="s">
        <v>1368</v>
      </c>
    </row>
    <row r="83" ht="15.75" customHeight="1">
      <c r="A83" s="2">
        <v>2017.0</v>
      </c>
      <c r="B83" s="2" t="s">
        <v>8177</v>
      </c>
      <c r="C83" s="2" t="s">
        <v>12129</v>
      </c>
      <c r="K83" s="2" t="s">
        <v>8178</v>
      </c>
      <c r="O83" s="2" t="s">
        <v>1368</v>
      </c>
    </row>
    <row r="84" ht="15.75" customHeight="1">
      <c r="A84" s="2">
        <v>2014.0</v>
      </c>
      <c r="B84" s="2" t="s">
        <v>1794</v>
      </c>
      <c r="C84" s="2" t="s">
        <v>15399</v>
      </c>
      <c r="G84" s="2" t="s">
        <v>15399</v>
      </c>
      <c r="K84" s="2" t="s">
        <v>1795</v>
      </c>
      <c r="L84" s="2" t="s">
        <v>467</v>
      </c>
      <c r="N84" s="2" t="s">
        <v>15399</v>
      </c>
      <c r="O84" s="2" t="s">
        <v>1368</v>
      </c>
    </row>
    <row r="85" ht="15.75" customHeight="1">
      <c r="A85" s="2">
        <v>2006.0</v>
      </c>
      <c r="B85" s="2" t="s">
        <v>8132</v>
      </c>
      <c r="C85" s="2" t="s">
        <v>12129</v>
      </c>
      <c r="K85" s="2" t="s">
        <v>8133</v>
      </c>
      <c r="O85" s="2" t="s">
        <v>1368</v>
      </c>
    </row>
    <row r="86" ht="15.75" customHeight="1">
      <c r="A86" s="2">
        <v>2016.0</v>
      </c>
      <c r="B86" s="2" t="s">
        <v>8162</v>
      </c>
      <c r="C86" s="2" t="s">
        <v>12129</v>
      </c>
      <c r="K86" s="2" t="s">
        <v>8163</v>
      </c>
      <c r="L86" s="2" t="s">
        <v>8166</v>
      </c>
      <c r="O86" s="2" t="s">
        <v>1368</v>
      </c>
    </row>
    <row r="87" ht="15.75" customHeight="1">
      <c r="A87" s="2">
        <v>2013.0</v>
      </c>
      <c r="B87" s="2" t="s">
        <v>8146</v>
      </c>
      <c r="C87" s="2" t="s">
        <v>12129</v>
      </c>
      <c r="K87" s="2" t="s">
        <v>8147</v>
      </c>
      <c r="L87" s="2" t="s">
        <v>8149</v>
      </c>
      <c r="O87" s="2" t="s">
        <v>1368</v>
      </c>
    </row>
    <row r="88" ht="15.75" customHeight="1">
      <c r="A88" s="2">
        <v>1997.0</v>
      </c>
      <c r="B88" s="2" t="s">
        <v>8154</v>
      </c>
      <c r="C88" s="2" t="s">
        <v>12129</v>
      </c>
      <c r="K88" s="2" t="s">
        <v>8155</v>
      </c>
      <c r="L88" s="2" t="s">
        <v>8157</v>
      </c>
      <c r="O88" s="2" t="s">
        <v>1368</v>
      </c>
    </row>
    <row r="89" ht="15.75" customHeight="1">
      <c r="A89" s="2">
        <v>2007.0</v>
      </c>
      <c r="B89" s="2" t="s">
        <v>8185</v>
      </c>
      <c r="C89" s="2" t="s">
        <v>12129</v>
      </c>
      <c r="K89" s="2" t="s">
        <v>8186</v>
      </c>
      <c r="L89" s="2" t="s">
        <v>8189</v>
      </c>
      <c r="O89" s="2" t="s">
        <v>1368</v>
      </c>
    </row>
    <row r="90" ht="15.75" customHeight="1">
      <c r="A90" s="2">
        <v>2007.0</v>
      </c>
      <c r="B90" s="2" t="s">
        <v>8124</v>
      </c>
      <c r="C90" s="2" t="s">
        <v>12129</v>
      </c>
      <c r="K90" s="2" t="s">
        <v>8125</v>
      </c>
      <c r="L90" s="2" t="s">
        <v>8127</v>
      </c>
      <c r="O90" s="2" t="s">
        <v>1368</v>
      </c>
    </row>
    <row r="91" ht="15.75" customHeight="1">
      <c r="A91" s="2">
        <v>2012.0</v>
      </c>
      <c r="B91" s="2" t="s">
        <v>8139</v>
      </c>
      <c r="C91" s="2" t="s">
        <v>12129</v>
      </c>
      <c r="K91" s="2" t="s">
        <v>8140</v>
      </c>
      <c r="L91" s="2" t="s">
        <v>8141</v>
      </c>
      <c r="O91" s="2" t="s">
        <v>1368</v>
      </c>
    </row>
    <row r="92" ht="15.75" customHeight="1">
      <c r="A92" s="2">
        <v>2014.0</v>
      </c>
      <c r="B92" s="2" t="s">
        <v>7922</v>
      </c>
      <c r="C92" s="2" t="s">
        <v>12129</v>
      </c>
      <c r="K92" s="2" t="s">
        <v>7923</v>
      </c>
      <c r="L92" s="2" t="s">
        <v>7925</v>
      </c>
      <c r="O92" s="2" t="s">
        <v>1368</v>
      </c>
    </row>
    <row r="93" ht="15.75" customHeight="1">
      <c r="A93" s="2">
        <v>2012.0</v>
      </c>
      <c r="B93" s="2" t="s">
        <v>7949</v>
      </c>
      <c r="C93" s="2" t="s">
        <v>12129</v>
      </c>
      <c r="K93" s="2" t="s">
        <v>7950</v>
      </c>
      <c r="L93" s="2" t="s">
        <v>7951</v>
      </c>
      <c r="O93" s="2" t="s">
        <v>1368</v>
      </c>
    </row>
    <row r="94" ht="15.75" customHeight="1">
      <c r="A94" s="2">
        <v>2018.0</v>
      </c>
      <c r="B94" s="2" t="s">
        <v>7907</v>
      </c>
      <c r="C94" s="2" t="s">
        <v>12129</v>
      </c>
      <c r="K94" s="2" t="s">
        <v>7908</v>
      </c>
      <c r="L94" s="2" t="s">
        <v>7909</v>
      </c>
      <c r="O94" s="2" t="s">
        <v>1368</v>
      </c>
    </row>
    <row r="95" ht="15.75" customHeight="1">
      <c r="A95" s="2">
        <v>2017.0</v>
      </c>
      <c r="B95" s="2" t="s">
        <v>7930</v>
      </c>
      <c r="C95" s="2" t="s">
        <v>12129</v>
      </c>
      <c r="K95" s="2" t="s">
        <v>7931</v>
      </c>
      <c r="L95" s="2" t="s">
        <v>7932</v>
      </c>
      <c r="O95" s="2" t="s">
        <v>1368</v>
      </c>
    </row>
    <row r="96" ht="15.75" customHeight="1">
      <c r="A96" s="2">
        <v>2014.0</v>
      </c>
      <c r="B96" s="2" t="s">
        <v>7914</v>
      </c>
      <c r="C96" s="2" t="s">
        <v>12129</v>
      </c>
      <c r="K96" s="2" t="s">
        <v>7915</v>
      </c>
      <c r="L96" s="2" t="s">
        <v>7917</v>
      </c>
      <c r="O96" s="2" t="s">
        <v>1368</v>
      </c>
    </row>
    <row r="97" ht="15.75" customHeight="1">
      <c r="A97" s="2">
        <v>2015.0</v>
      </c>
      <c r="B97" s="2" t="s">
        <v>7955</v>
      </c>
      <c r="C97" s="2" t="s">
        <v>12129</v>
      </c>
      <c r="K97" s="2" t="s">
        <v>7956</v>
      </c>
      <c r="L97" s="2" t="s">
        <v>7957</v>
      </c>
      <c r="O97" s="2" t="s">
        <v>1368</v>
      </c>
    </row>
    <row r="98" ht="15.75" customHeight="1">
      <c r="A98" s="2">
        <v>2005.0</v>
      </c>
      <c r="B98" s="2" t="s">
        <v>7937</v>
      </c>
      <c r="C98" s="2" t="s">
        <v>12129</v>
      </c>
      <c r="K98" s="2" t="s">
        <v>7938</v>
      </c>
      <c r="L98" s="2" t="s">
        <v>7939</v>
      </c>
      <c r="O98" s="2" t="s">
        <v>1368</v>
      </c>
    </row>
    <row r="99" ht="15.75" customHeight="1">
      <c r="A99" s="2">
        <v>2001.0</v>
      </c>
      <c r="B99" s="2" t="s">
        <v>7943</v>
      </c>
      <c r="C99" s="2" t="s">
        <v>12129</v>
      </c>
      <c r="K99" s="2" t="s">
        <v>7944</v>
      </c>
      <c r="L99" s="2" t="s">
        <v>7945</v>
      </c>
      <c r="O99" s="2" t="s">
        <v>1368</v>
      </c>
    </row>
    <row r="100" ht="15.75" customHeight="1">
      <c r="A100" s="2">
        <v>1999.0</v>
      </c>
      <c r="B100" s="2" t="s">
        <v>3755</v>
      </c>
      <c r="C100" s="2" t="s">
        <v>12129</v>
      </c>
      <c r="K100" s="2" t="s">
        <v>3756</v>
      </c>
      <c r="L100" s="2" t="s">
        <v>3757</v>
      </c>
      <c r="O100" s="2" t="s">
        <v>1368</v>
      </c>
    </row>
    <row r="101" ht="15.75" customHeight="1">
      <c r="A101" s="2">
        <v>2007.0</v>
      </c>
      <c r="B101" s="2" t="s">
        <v>7960</v>
      </c>
      <c r="C101" s="2" t="s">
        <v>12129</v>
      </c>
      <c r="K101" s="2" t="s">
        <v>7961</v>
      </c>
      <c r="O101" s="2" t="s">
        <v>1368</v>
      </c>
    </row>
    <row r="102" ht="15.75" customHeight="1">
      <c r="A102" s="2">
        <v>1996.0</v>
      </c>
      <c r="B102" s="2" t="s">
        <v>7969</v>
      </c>
      <c r="C102" s="2" t="s">
        <v>12129</v>
      </c>
      <c r="K102" s="2" t="s">
        <v>7970</v>
      </c>
      <c r="O102" s="2" t="s">
        <v>1368</v>
      </c>
    </row>
    <row r="103" ht="15.75" customHeight="1">
      <c r="A103" s="2">
        <v>2009.0</v>
      </c>
      <c r="B103" s="2" t="s">
        <v>3739</v>
      </c>
      <c r="C103" s="2" t="s">
        <v>12129</v>
      </c>
      <c r="K103" s="2" t="s">
        <v>3740</v>
      </c>
      <c r="L103" s="2" t="s">
        <v>3743</v>
      </c>
      <c r="O103" s="2" t="s">
        <v>3748</v>
      </c>
    </row>
    <row r="104" ht="15.75" customHeight="1">
      <c r="A104" s="2">
        <v>2014.0</v>
      </c>
      <c r="B104" s="2" t="s">
        <v>3766</v>
      </c>
      <c r="C104" s="2" t="s">
        <v>12129</v>
      </c>
      <c r="K104" s="2" t="s">
        <v>3767</v>
      </c>
      <c r="L104" s="2" t="s">
        <v>3768</v>
      </c>
      <c r="O104" s="2" t="s">
        <v>1368</v>
      </c>
    </row>
    <row r="105" ht="15.75" customHeight="1">
      <c r="A105" s="2">
        <v>2007.0</v>
      </c>
      <c r="B105" s="2" t="s">
        <v>3725</v>
      </c>
      <c r="C105" s="2" t="s">
        <v>12129</v>
      </c>
      <c r="K105" s="2" t="s">
        <v>3726</v>
      </c>
      <c r="L105" s="2" t="s">
        <v>3727</v>
      </c>
      <c r="O105" s="2" t="s">
        <v>1368</v>
      </c>
    </row>
    <row r="106" ht="15.75" customHeight="1">
      <c r="A106" s="2">
        <v>2013.0</v>
      </c>
      <c r="B106" s="2" t="s">
        <v>3718</v>
      </c>
      <c r="C106" s="2" t="s">
        <v>12129</v>
      </c>
      <c r="K106" s="2" t="s">
        <v>3719</v>
      </c>
      <c r="L106" s="2" t="s">
        <v>3720</v>
      </c>
      <c r="O106" s="2" t="s">
        <v>1368</v>
      </c>
    </row>
    <row r="107" ht="15.75" customHeight="1">
      <c r="A107" s="2">
        <v>2012.0</v>
      </c>
      <c r="B107" s="2" t="s">
        <v>3750</v>
      </c>
      <c r="C107" s="2" t="s">
        <v>12129</v>
      </c>
      <c r="K107" s="2" t="s">
        <v>3751</v>
      </c>
      <c r="O107" s="2" t="s">
        <v>1368</v>
      </c>
    </row>
    <row r="108" ht="15.75" customHeight="1">
      <c r="A108" s="2">
        <v>2004.0</v>
      </c>
      <c r="B108" s="2" t="s">
        <v>3761</v>
      </c>
      <c r="C108" s="2" t="s">
        <v>12129</v>
      </c>
      <c r="K108" s="2" t="s">
        <v>3762</v>
      </c>
      <c r="O108" s="2" t="s">
        <v>1368</v>
      </c>
    </row>
    <row r="109" ht="15.75" customHeight="1">
      <c r="A109" s="2">
        <v>2007.0</v>
      </c>
      <c r="B109" s="2" t="s">
        <v>3782</v>
      </c>
      <c r="C109" s="2" t="s">
        <v>12129</v>
      </c>
      <c r="K109" s="2" t="s">
        <v>3783</v>
      </c>
      <c r="O109" s="2" t="s">
        <v>1368</v>
      </c>
    </row>
    <row r="110" ht="15.75" customHeight="1">
      <c r="A110" s="2">
        <v>2004.0</v>
      </c>
      <c r="B110" s="2" t="s">
        <v>3772</v>
      </c>
      <c r="C110" s="2" t="s">
        <v>12129</v>
      </c>
      <c r="K110" s="2" t="s">
        <v>3773</v>
      </c>
      <c r="L110" s="2" t="s">
        <v>3776</v>
      </c>
      <c r="O110" s="2" t="s">
        <v>1368</v>
      </c>
    </row>
    <row r="111" ht="15.75" customHeight="1">
      <c r="A111" s="2">
        <v>2017.0</v>
      </c>
      <c r="B111" s="2" t="s">
        <v>3731</v>
      </c>
      <c r="C111" s="2" t="s">
        <v>12129</v>
      </c>
      <c r="K111" s="2" t="s">
        <v>3732</v>
      </c>
      <c r="L111" s="2" t="s">
        <v>3735</v>
      </c>
      <c r="O111" s="2" t="s">
        <v>1368</v>
      </c>
    </row>
    <row r="112" ht="15.75" customHeight="1">
      <c r="A112" s="2">
        <v>2015.0</v>
      </c>
      <c r="B112" s="2" t="s">
        <v>1370</v>
      </c>
      <c r="C112" s="2" t="s">
        <v>12129</v>
      </c>
      <c r="K112" s="2" t="s">
        <v>1371</v>
      </c>
      <c r="O112" s="2" t="s">
        <v>1368</v>
      </c>
    </row>
    <row r="113" ht="15.75" customHeight="1">
      <c r="A113" s="2">
        <v>2018.0</v>
      </c>
      <c r="B113" s="2" t="s">
        <v>1416</v>
      </c>
      <c r="C113" s="2" t="s">
        <v>12129</v>
      </c>
      <c r="K113" s="2" t="s">
        <v>1417</v>
      </c>
      <c r="O113" s="2" t="s">
        <v>1368</v>
      </c>
    </row>
    <row r="114" ht="15.75" customHeight="1">
      <c r="A114" s="2">
        <v>2012.0</v>
      </c>
      <c r="B114" s="2" t="s">
        <v>1403</v>
      </c>
      <c r="C114" s="2" t="s">
        <v>12129</v>
      </c>
      <c r="K114" s="2" t="s">
        <v>1404</v>
      </c>
      <c r="O114" s="2" t="s">
        <v>1368</v>
      </c>
    </row>
    <row r="115" ht="15.75" customHeight="1">
      <c r="A115" s="2">
        <v>2008.0</v>
      </c>
      <c r="B115" s="2" t="s">
        <v>3355</v>
      </c>
      <c r="C115" s="2" t="s">
        <v>15399</v>
      </c>
      <c r="I115" s="2" t="s">
        <v>15399</v>
      </c>
      <c r="K115" s="2" t="s">
        <v>1013</v>
      </c>
      <c r="L115" s="2" t="s">
        <v>1016</v>
      </c>
      <c r="N115" s="2" t="s">
        <v>15399</v>
      </c>
      <c r="O115" s="2" t="s">
        <v>1368</v>
      </c>
    </row>
    <row r="116" ht="15.75" customHeight="1">
      <c r="A116" s="2">
        <v>2013.0</v>
      </c>
      <c r="B116" s="2" t="s">
        <v>4136</v>
      </c>
      <c r="C116" s="2" t="s">
        <v>15399</v>
      </c>
      <c r="G116" s="2" t="s">
        <v>15399</v>
      </c>
      <c r="K116" s="2" t="s">
        <v>549</v>
      </c>
      <c r="L116" s="2" t="s">
        <v>552</v>
      </c>
      <c r="N116" s="2" t="s">
        <v>15399</v>
      </c>
      <c r="O116" s="2" t="s">
        <v>1885</v>
      </c>
    </row>
    <row r="117" ht="15.75" customHeight="1">
      <c r="A117" s="2">
        <v>1963.0</v>
      </c>
      <c r="B117" s="2" t="s">
        <v>1397</v>
      </c>
      <c r="C117" s="2" t="s">
        <v>12129</v>
      </c>
      <c r="K117" s="2" t="s">
        <v>1398</v>
      </c>
      <c r="O117" s="2" t="s">
        <v>1368</v>
      </c>
    </row>
    <row r="118" ht="15.75" customHeight="1">
      <c r="A118" s="2">
        <v>2005.0</v>
      </c>
      <c r="B118" s="2" t="s">
        <v>1389</v>
      </c>
      <c r="C118" s="2" t="s">
        <v>12129</v>
      </c>
      <c r="K118" s="2" t="s">
        <v>1390</v>
      </c>
      <c r="L118" s="2" t="s">
        <v>1392</v>
      </c>
      <c r="O118" s="2" t="s">
        <v>1368</v>
      </c>
    </row>
    <row r="119" ht="15.75" customHeight="1">
      <c r="A119" s="2">
        <v>2001.0</v>
      </c>
      <c r="B119" s="2" t="s">
        <v>1408</v>
      </c>
      <c r="C119" s="2" t="s">
        <v>12129</v>
      </c>
      <c r="K119" s="2" t="s">
        <v>1409</v>
      </c>
      <c r="L119" s="2" t="s">
        <v>1412</v>
      </c>
      <c r="O119" s="2" t="s">
        <v>1368</v>
      </c>
    </row>
    <row r="120" ht="15.75" customHeight="1">
      <c r="A120" s="2">
        <v>2013.0</v>
      </c>
      <c r="B120" s="2" t="s">
        <v>1408</v>
      </c>
      <c r="C120" s="2" t="s">
        <v>12129</v>
      </c>
      <c r="K120" s="2" t="s">
        <v>1424</v>
      </c>
      <c r="L120" s="2" t="s">
        <v>1427</v>
      </c>
      <c r="O120" s="2" t="s">
        <v>1368</v>
      </c>
    </row>
    <row r="121" ht="15.75" customHeight="1">
      <c r="A121" s="2">
        <v>1999.0</v>
      </c>
      <c r="B121" s="2" t="s">
        <v>1408</v>
      </c>
      <c r="C121" s="2" t="s">
        <v>12129</v>
      </c>
      <c r="K121" s="2" t="s">
        <v>1431</v>
      </c>
      <c r="O121" s="2" t="s">
        <v>1368</v>
      </c>
    </row>
    <row r="122" ht="15.75" customHeight="1">
      <c r="A122" s="2">
        <v>2015.0</v>
      </c>
      <c r="B122" s="2" t="s">
        <v>11751</v>
      </c>
      <c r="C122" s="2" t="s">
        <v>12129</v>
      </c>
      <c r="K122" s="2" t="s">
        <v>11752</v>
      </c>
      <c r="O122" s="2" t="s">
        <v>1368</v>
      </c>
    </row>
    <row r="123" ht="15.75" customHeight="1">
      <c r="A123" s="2">
        <v>2006.0</v>
      </c>
      <c r="B123" s="2" t="s">
        <v>11741</v>
      </c>
      <c r="C123" s="2" t="s">
        <v>12129</v>
      </c>
      <c r="K123" s="2" t="s">
        <v>11742</v>
      </c>
      <c r="L123" s="2" t="s">
        <v>11743</v>
      </c>
      <c r="O123" s="2" t="s">
        <v>1368</v>
      </c>
    </row>
    <row r="124" ht="15.75" customHeight="1">
      <c r="A124" s="2">
        <v>2003.0</v>
      </c>
      <c r="B124" s="2" t="s">
        <v>11734</v>
      </c>
      <c r="C124" s="2" t="s">
        <v>12129</v>
      </c>
      <c r="K124" s="2" t="s">
        <v>11735</v>
      </c>
      <c r="L124" s="2" t="s">
        <v>11738</v>
      </c>
      <c r="O124" s="2" t="s">
        <v>1368</v>
      </c>
    </row>
    <row r="125" ht="15.75" customHeight="1">
      <c r="A125" s="2">
        <v>2003.0</v>
      </c>
      <c r="B125" s="2" t="s">
        <v>11728</v>
      </c>
      <c r="C125" s="2" t="s">
        <v>12129</v>
      </c>
      <c r="K125" s="2" t="s">
        <v>11729</v>
      </c>
      <c r="L125" s="2" t="s">
        <v>11731</v>
      </c>
      <c r="O125" s="2" t="s">
        <v>1368</v>
      </c>
    </row>
    <row r="126" ht="15.75" customHeight="1">
      <c r="A126" s="2">
        <v>2018.0</v>
      </c>
      <c r="B126" s="2" t="s">
        <v>11711</v>
      </c>
      <c r="C126" s="2" t="s">
        <v>12129</v>
      </c>
      <c r="K126" s="2" t="s">
        <v>11712</v>
      </c>
      <c r="L126" s="2" t="s">
        <v>11715</v>
      </c>
      <c r="O126" s="2" t="s">
        <v>1885</v>
      </c>
    </row>
    <row r="127" ht="15.75" customHeight="1">
      <c r="A127" s="2">
        <v>2014.0</v>
      </c>
      <c r="B127" s="2" t="s">
        <v>11723</v>
      </c>
      <c r="C127" s="2" t="s">
        <v>12129</v>
      </c>
      <c r="K127" s="2" t="s">
        <v>11724</v>
      </c>
      <c r="L127" s="2" t="s">
        <v>11725</v>
      </c>
      <c r="O127" s="2" t="s">
        <v>1368</v>
      </c>
    </row>
    <row r="128" ht="15.75" customHeight="1">
      <c r="A128" s="2">
        <v>2014.0</v>
      </c>
      <c r="B128" s="2" t="s">
        <v>11723</v>
      </c>
      <c r="C128" s="2" t="s">
        <v>12129</v>
      </c>
      <c r="K128" s="2" t="s">
        <v>11746</v>
      </c>
      <c r="L128" s="2" t="s">
        <v>11748</v>
      </c>
      <c r="O128" s="2" t="s">
        <v>1368</v>
      </c>
    </row>
    <row r="129" ht="15.75" customHeight="1">
      <c r="A129" s="2">
        <v>2010.0</v>
      </c>
      <c r="B129" s="2" t="s">
        <v>11690</v>
      </c>
      <c r="C129" s="2" t="s">
        <v>12129</v>
      </c>
      <c r="K129" s="2" t="s">
        <v>11691</v>
      </c>
      <c r="L129" s="2" t="s">
        <v>11692</v>
      </c>
      <c r="O129" s="2" t="s">
        <v>1368</v>
      </c>
    </row>
    <row r="130" ht="15.75" customHeight="1">
      <c r="A130" s="2">
        <v>2002.0</v>
      </c>
      <c r="B130" s="2" t="s">
        <v>11697</v>
      </c>
      <c r="C130" s="2" t="s">
        <v>12129</v>
      </c>
      <c r="K130" s="2" t="s">
        <v>11698</v>
      </c>
      <c r="L130" s="2" t="s">
        <v>11700</v>
      </c>
      <c r="O130" s="2" t="s">
        <v>1368</v>
      </c>
    </row>
    <row r="131" ht="15.75" customHeight="1">
      <c r="A131" s="2">
        <v>2015.0</v>
      </c>
      <c r="B131" s="2" t="s">
        <v>9898</v>
      </c>
      <c r="C131" s="2" t="s">
        <v>12129</v>
      </c>
      <c r="K131" s="2" t="s">
        <v>9899</v>
      </c>
      <c r="L131" s="2" t="s">
        <v>9902</v>
      </c>
      <c r="O131" s="2" t="s">
        <v>1368</v>
      </c>
    </row>
    <row r="132" ht="15.75" customHeight="1">
      <c r="A132" s="2">
        <v>2007.0</v>
      </c>
      <c r="B132" s="2" t="s">
        <v>11705</v>
      </c>
      <c r="C132" s="2" t="s">
        <v>12129</v>
      </c>
      <c r="K132" s="2" t="s">
        <v>11706</v>
      </c>
      <c r="L132" s="2" t="s">
        <v>11708</v>
      </c>
      <c r="O132" s="2" t="s">
        <v>1368</v>
      </c>
    </row>
    <row r="133" ht="15.75" customHeight="1">
      <c r="A133" s="2">
        <v>2017.0</v>
      </c>
      <c r="B133" s="2" t="s">
        <v>9925</v>
      </c>
      <c r="C133" s="2" t="s">
        <v>12129</v>
      </c>
      <c r="K133" s="2" t="s">
        <v>9926</v>
      </c>
      <c r="O133" s="2" t="s">
        <v>1368</v>
      </c>
    </row>
    <row r="134" ht="15.75" customHeight="1">
      <c r="A134" s="2">
        <v>2012.0</v>
      </c>
      <c r="B134" s="2" t="s">
        <v>9915</v>
      </c>
      <c r="C134" s="2" t="s">
        <v>12129</v>
      </c>
      <c r="K134" s="2" t="s">
        <v>9916</v>
      </c>
      <c r="L134" s="2" t="s">
        <v>9917</v>
      </c>
      <c r="O134" s="2" t="s">
        <v>1368</v>
      </c>
    </row>
    <row r="135" ht="15.75" customHeight="1">
      <c r="A135" s="2">
        <v>2002.0</v>
      </c>
      <c r="B135" s="2" t="s">
        <v>9889</v>
      </c>
      <c r="C135" s="2" t="s">
        <v>12129</v>
      </c>
      <c r="K135" s="2" t="s">
        <v>9890</v>
      </c>
      <c r="L135" s="2" t="s">
        <v>9891</v>
      </c>
      <c r="O135" s="2" t="s">
        <v>1885</v>
      </c>
    </row>
    <row r="136" ht="15.75" customHeight="1">
      <c r="A136" s="2">
        <v>2002.0</v>
      </c>
      <c r="B136" s="2" t="s">
        <v>9921</v>
      </c>
      <c r="C136" s="2" t="s">
        <v>12129</v>
      </c>
      <c r="K136" s="2" t="s">
        <v>9922</v>
      </c>
      <c r="O136" s="2" t="s">
        <v>1368</v>
      </c>
    </row>
    <row r="137" ht="15.75" customHeight="1">
      <c r="A137" s="2">
        <v>2008.0</v>
      </c>
      <c r="B137" s="2" t="s">
        <v>9191</v>
      </c>
      <c r="C137" s="2" t="s">
        <v>15399</v>
      </c>
      <c r="I137" s="2" t="s">
        <v>15399</v>
      </c>
      <c r="K137" s="2" t="s">
        <v>9192</v>
      </c>
      <c r="L137" s="2" t="s">
        <v>992</v>
      </c>
      <c r="N137" s="2" t="s">
        <v>15399</v>
      </c>
      <c r="O137" s="2" t="s">
        <v>1368</v>
      </c>
    </row>
    <row r="138" ht="15.75" customHeight="1">
      <c r="A138" s="2">
        <v>2015.0</v>
      </c>
      <c r="B138" s="2" t="s">
        <v>9874</v>
      </c>
      <c r="C138" s="2" t="s">
        <v>12129</v>
      </c>
      <c r="K138" s="2" t="s">
        <v>9875</v>
      </c>
      <c r="L138" s="2" t="s">
        <v>9876</v>
      </c>
      <c r="O138" s="2" t="s">
        <v>1368</v>
      </c>
    </row>
    <row r="139" ht="15.75" customHeight="1">
      <c r="A139" s="2">
        <v>2008.0</v>
      </c>
      <c r="B139" s="2" t="s">
        <v>9866</v>
      </c>
      <c r="C139" s="2" t="s">
        <v>12129</v>
      </c>
      <c r="K139" s="2" t="s">
        <v>9867</v>
      </c>
      <c r="L139" s="2" t="s">
        <v>9869</v>
      </c>
      <c r="O139" s="2" t="s">
        <v>1368</v>
      </c>
    </row>
    <row r="140" ht="15.75" customHeight="1">
      <c r="A140" s="2">
        <v>2013.0</v>
      </c>
      <c r="B140" s="2" t="s">
        <v>9906</v>
      </c>
      <c r="C140" s="2" t="s">
        <v>12129</v>
      </c>
      <c r="K140" s="2" t="s">
        <v>9907</v>
      </c>
      <c r="O140" s="2" t="s">
        <v>1368</v>
      </c>
    </row>
    <row r="141" ht="15.75" customHeight="1">
      <c r="A141" s="2">
        <v>1995.0</v>
      </c>
      <c r="B141" s="2" t="s">
        <v>9881</v>
      </c>
      <c r="C141" s="2" t="s">
        <v>12129</v>
      </c>
      <c r="K141" s="2" t="s">
        <v>9882</v>
      </c>
      <c r="L141" s="2" t="s">
        <v>9884</v>
      </c>
      <c r="O141" s="2" t="s">
        <v>1368</v>
      </c>
    </row>
    <row r="142" ht="15.75" customHeight="1">
      <c r="A142" s="2">
        <v>1995.0</v>
      </c>
      <c r="B142" s="2" t="s">
        <v>8106</v>
      </c>
      <c r="C142" s="2" t="s">
        <v>12129</v>
      </c>
      <c r="K142" s="2" t="s">
        <v>8107</v>
      </c>
      <c r="L142" s="2" t="s">
        <v>8108</v>
      </c>
      <c r="O142" s="2" t="s">
        <v>1368</v>
      </c>
    </row>
    <row r="143" ht="15.75" customHeight="1">
      <c r="A143" s="2">
        <v>2001.0</v>
      </c>
      <c r="B143" s="2" t="s">
        <v>8046</v>
      </c>
      <c r="C143" s="2" t="s">
        <v>12129</v>
      </c>
      <c r="K143" s="2" t="s">
        <v>8047</v>
      </c>
      <c r="L143" s="2" t="s">
        <v>8049</v>
      </c>
      <c r="O143" s="2" t="s">
        <v>1368</v>
      </c>
    </row>
    <row r="144" ht="15.75" customHeight="1">
      <c r="A144" s="2">
        <v>2009.0</v>
      </c>
      <c r="B144" s="2" t="s">
        <v>3847</v>
      </c>
      <c r="C144" s="2" t="s">
        <v>15399</v>
      </c>
      <c r="E144" s="2" t="s">
        <v>15399</v>
      </c>
      <c r="K144" s="2" t="s">
        <v>945</v>
      </c>
      <c r="L144" s="2" t="s">
        <v>948</v>
      </c>
      <c r="N144" s="2" t="s">
        <v>15399</v>
      </c>
      <c r="O144" s="2" t="s">
        <v>1368</v>
      </c>
    </row>
    <row r="145" ht="15.75" customHeight="1">
      <c r="A145" s="2">
        <v>2015.0</v>
      </c>
      <c r="B145" s="2" t="s">
        <v>8054</v>
      </c>
      <c r="C145" s="2" t="s">
        <v>12129</v>
      </c>
      <c r="K145" s="2" t="s">
        <v>8055</v>
      </c>
      <c r="L145" s="2" t="s">
        <v>8057</v>
      </c>
      <c r="O145" s="2" t="s">
        <v>1368</v>
      </c>
    </row>
    <row r="146" ht="15.75" customHeight="1">
      <c r="A146" s="2">
        <v>2005.0</v>
      </c>
      <c r="B146" s="2" t="s">
        <v>8117</v>
      </c>
      <c r="C146" s="2" t="s">
        <v>12129</v>
      </c>
      <c r="K146" s="2" t="s">
        <v>8118</v>
      </c>
      <c r="L146" s="2" t="s">
        <v>8119</v>
      </c>
      <c r="O146" s="2" t="s">
        <v>1368</v>
      </c>
    </row>
    <row r="147" ht="15.75" customHeight="1">
      <c r="A147" s="2">
        <v>2007.0</v>
      </c>
      <c r="B147" s="2" t="s">
        <v>8069</v>
      </c>
      <c r="C147" s="2" t="s">
        <v>12129</v>
      </c>
      <c r="K147" s="2" t="s">
        <v>8070</v>
      </c>
      <c r="L147" s="2" t="s">
        <v>8072</v>
      </c>
      <c r="O147" s="2" t="s">
        <v>1368</v>
      </c>
    </row>
    <row r="148" ht="15.75" customHeight="1">
      <c r="A148" s="2">
        <v>2018.0</v>
      </c>
      <c r="B148" s="2" t="s">
        <v>8091</v>
      </c>
      <c r="C148" s="2" t="s">
        <v>12129</v>
      </c>
      <c r="K148" s="2" t="s">
        <v>8092</v>
      </c>
      <c r="L148" s="2" t="s">
        <v>8095</v>
      </c>
      <c r="O148" s="2" t="s">
        <v>2169</v>
      </c>
    </row>
    <row r="149" ht="15.75" customHeight="1">
      <c r="A149" s="2">
        <v>2010.0</v>
      </c>
      <c r="B149" s="2" t="s">
        <v>2319</v>
      </c>
      <c r="C149" s="2" t="s">
        <v>15399</v>
      </c>
      <c r="G149" s="2" t="s">
        <v>15399</v>
      </c>
      <c r="K149" s="2" t="s">
        <v>832</v>
      </c>
      <c r="L149" s="2" t="s">
        <v>835</v>
      </c>
      <c r="N149" s="2" t="s">
        <v>15399</v>
      </c>
      <c r="O149" s="2" t="s">
        <v>1368</v>
      </c>
    </row>
    <row r="150" ht="15.75" customHeight="1">
      <c r="A150" s="2">
        <v>2008.0</v>
      </c>
      <c r="B150" s="2" t="s">
        <v>8112</v>
      </c>
      <c r="C150" s="2" t="s">
        <v>12129</v>
      </c>
      <c r="K150" s="2" t="s">
        <v>8113</v>
      </c>
      <c r="L150" s="2" t="s">
        <v>8115</v>
      </c>
      <c r="O150" s="2" t="s">
        <v>1368</v>
      </c>
    </row>
    <row r="151" ht="15.75" customHeight="1">
      <c r="A151" s="2">
        <v>2009.0</v>
      </c>
      <c r="B151" s="2" t="s">
        <v>8062</v>
      </c>
      <c r="C151" s="2" t="s">
        <v>12129</v>
      </c>
      <c r="K151" s="2" t="s">
        <v>8063</v>
      </c>
      <c r="L151" s="2" t="s">
        <v>8064</v>
      </c>
      <c r="O151" s="2" t="s">
        <v>1368</v>
      </c>
    </row>
    <row r="152" ht="15.75" customHeight="1">
      <c r="A152" s="2">
        <v>1998.0</v>
      </c>
      <c r="B152" s="2" t="s">
        <v>7993</v>
      </c>
      <c r="C152" s="2" t="s">
        <v>12129</v>
      </c>
      <c r="K152" s="2" t="s">
        <v>7994</v>
      </c>
      <c r="O152" s="2" t="s">
        <v>1368</v>
      </c>
    </row>
    <row r="153" ht="15.75" customHeight="1">
      <c r="A153" s="2">
        <v>2010.0</v>
      </c>
      <c r="B153" s="2" t="s">
        <v>8011</v>
      </c>
      <c r="C153" s="2" t="s">
        <v>12129</v>
      </c>
      <c r="K153" s="2" t="s">
        <v>8012</v>
      </c>
      <c r="L153" s="2" t="s">
        <v>8013</v>
      </c>
      <c r="O153" s="2" t="s">
        <v>8021</v>
      </c>
    </row>
    <row r="154" ht="15.75" customHeight="1">
      <c r="A154" s="2">
        <v>2016.0</v>
      </c>
      <c r="B154" s="2" t="s">
        <v>8026</v>
      </c>
      <c r="C154" s="2" t="s">
        <v>12129</v>
      </c>
      <c r="K154" s="2" t="s">
        <v>8027</v>
      </c>
      <c r="L154" s="2" t="s">
        <v>8029</v>
      </c>
      <c r="O154" s="2" t="s">
        <v>1621</v>
      </c>
    </row>
    <row r="155" ht="15.75" customHeight="1">
      <c r="A155" s="2">
        <v>2014.0</v>
      </c>
      <c r="B155" s="2" t="s">
        <v>8000</v>
      </c>
      <c r="C155" s="2" t="s">
        <v>12129</v>
      </c>
      <c r="K155" s="2" t="s">
        <v>8001</v>
      </c>
      <c r="L155" s="2" t="s">
        <v>8002</v>
      </c>
      <c r="O155" s="2" t="s">
        <v>1872</v>
      </c>
    </row>
    <row r="156" ht="15.75" customHeight="1">
      <c r="A156" s="2">
        <v>2004.0</v>
      </c>
      <c r="B156" s="2" t="s">
        <v>8033</v>
      </c>
      <c r="C156" s="2" t="s">
        <v>12129</v>
      </c>
      <c r="K156" s="2" t="s">
        <v>8034</v>
      </c>
      <c r="L156" s="2" t="s">
        <v>8037</v>
      </c>
      <c r="O156" s="2" t="s">
        <v>1368</v>
      </c>
    </row>
    <row r="157" ht="15.75" customHeight="1">
      <c r="A157" s="2">
        <v>2013.0</v>
      </c>
      <c r="B157" s="2" t="s">
        <v>8040</v>
      </c>
      <c r="C157" s="2" t="s">
        <v>12129</v>
      </c>
      <c r="K157" s="2" t="s">
        <v>8041</v>
      </c>
      <c r="L157" s="2" t="s">
        <v>8042</v>
      </c>
      <c r="O157" s="2" t="s">
        <v>1368</v>
      </c>
    </row>
    <row r="158" ht="15.75" customHeight="1">
      <c r="A158" s="2">
        <v>2005.0</v>
      </c>
      <c r="B158" s="2" t="s">
        <v>7972</v>
      </c>
      <c r="C158" s="2" t="s">
        <v>12129</v>
      </c>
      <c r="K158" s="2" t="s">
        <v>7973</v>
      </c>
      <c r="L158" s="2" t="s">
        <v>7974</v>
      </c>
      <c r="O158" s="2" t="s">
        <v>1368</v>
      </c>
    </row>
    <row r="159" ht="15.75" customHeight="1">
      <c r="A159" s="2">
        <v>2007.0</v>
      </c>
      <c r="B159" s="2" t="s">
        <v>7979</v>
      </c>
      <c r="C159" s="2" t="s">
        <v>12129</v>
      </c>
      <c r="K159" s="2" t="s">
        <v>7980</v>
      </c>
      <c r="L159" s="2" t="s">
        <v>7981</v>
      </c>
      <c r="O159" s="2" t="s">
        <v>1368</v>
      </c>
    </row>
    <row r="160" ht="15.75" customHeight="1">
      <c r="A160" s="2">
        <v>2008.0</v>
      </c>
      <c r="B160" s="2" t="s">
        <v>5326</v>
      </c>
      <c r="C160" s="2" t="s">
        <v>12129</v>
      </c>
      <c r="K160" s="2" t="s">
        <v>5327</v>
      </c>
      <c r="O160" s="2" t="s">
        <v>1368</v>
      </c>
    </row>
    <row r="161" ht="15.75" customHeight="1">
      <c r="A161" s="2">
        <v>2010.0</v>
      </c>
      <c r="B161" s="2" t="s">
        <v>5326</v>
      </c>
      <c r="C161" s="2" t="s">
        <v>12129</v>
      </c>
      <c r="K161" s="2" t="s">
        <v>5341</v>
      </c>
      <c r="L161" s="2" t="s">
        <v>5343</v>
      </c>
      <c r="O161" s="2" t="s">
        <v>1368</v>
      </c>
    </row>
    <row r="162" ht="15.75" customHeight="1">
      <c r="A162" s="2">
        <v>1986.0</v>
      </c>
      <c r="B162" s="2" t="s">
        <v>5326</v>
      </c>
      <c r="C162" s="2" t="s">
        <v>12129</v>
      </c>
      <c r="K162" s="2" t="s">
        <v>7986</v>
      </c>
      <c r="L162" s="2" t="s">
        <v>7988</v>
      </c>
      <c r="O162" s="2" t="s">
        <v>1368</v>
      </c>
    </row>
    <row r="163" ht="15.75" customHeight="1">
      <c r="A163" s="2">
        <v>2012.0</v>
      </c>
      <c r="B163" s="2" t="s">
        <v>5326</v>
      </c>
      <c r="C163" s="2" t="s">
        <v>12129</v>
      </c>
      <c r="K163" s="2" t="s">
        <v>8023</v>
      </c>
      <c r="O163" s="2" t="s">
        <v>8024</v>
      </c>
    </row>
    <row r="164" ht="15.75" customHeight="1">
      <c r="A164" s="2">
        <v>1998.0</v>
      </c>
      <c r="B164" s="2" t="s">
        <v>5356</v>
      </c>
      <c r="C164" s="2" t="s">
        <v>12129</v>
      </c>
      <c r="K164" s="2" t="s">
        <v>5357</v>
      </c>
      <c r="O164" s="2" t="s">
        <v>5361</v>
      </c>
    </row>
    <row r="165" ht="15.75" customHeight="1">
      <c r="A165" s="2">
        <v>2006.0</v>
      </c>
      <c r="B165" s="2" t="s">
        <v>5372</v>
      </c>
      <c r="C165" s="2" t="s">
        <v>12129</v>
      </c>
      <c r="K165" s="2" t="s">
        <v>5373</v>
      </c>
      <c r="L165" s="2" t="s">
        <v>5374</v>
      </c>
      <c r="O165" s="2" t="s">
        <v>1368</v>
      </c>
    </row>
    <row r="166" ht="15.75" customHeight="1">
      <c r="A166" s="2">
        <v>1989.0</v>
      </c>
      <c r="B166" s="2" t="s">
        <v>5333</v>
      </c>
      <c r="C166" s="2" t="s">
        <v>12129</v>
      </c>
      <c r="K166" s="2" t="s">
        <v>5334</v>
      </c>
      <c r="L166" s="2" t="s">
        <v>5336</v>
      </c>
      <c r="O166" s="2" t="s">
        <v>1368</v>
      </c>
    </row>
    <row r="167" ht="15.75" customHeight="1">
      <c r="A167" s="2">
        <v>2017.0</v>
      </c>
      <c r="B167" s="2" t="s">
        <v>5363</v>
      </c>
      <c r="C167" s="2" t="s">
        <v>12129</v>
      </c>
      <c r="K167" s="2" t="s">
        <v>5364</v>
      </c>
      <c r="L167" s="2" t="s">
        <v>5366</v>
      </c>
      <c r="O167" s="2" t="s">
        <v>1368</v>
      </c>
    </row>
    <row r="168" ht="15.75" customHeight="1">
      <c r="A168" s="2">
        <v>2012.0</v>
      </c>
      <c r="B168" s="2" t="s">
        <v>5317</v>
      </c>
      <c r="C168" s="2" t="s">
        <v>12129</v>
      </c>
      <c r="K168" s="2" t="s">
        <v>5318</v>
      </c>
      <c r="L168" s="2" t="s">
        <v>5319</v>
      </c>
      <c r="O168" s="2" t="s">
        <v>1368</v>
      </c>
    </row>
    <row r="169" ht="15.75" customHeight="1">
      <c r="A169" s="2">
        <v>2009.0</v>
      </c>
      <c r="B169" s="2" t="s">
        <v>5302</v>
      </c>
      <c r="C169" s="2" t="s">
        <v>12129</v>
      </c>
      <c r="K169" s="2" t="s">
        <v>5303</v>
      </c>
      <c r="L169" s="2" t="s">
        <v>5304</v>
      </c>
      <c r="O169" s="2" t="s">
        <v>1368</v>
      </c>
    </row>
    <row r="170" ht="15.75" customHeight="1">
      <c r="A170" s="2">
        <v>2001.0</v>
      </c>
      <c r="B170" s="2" t="s">
        <v>5309</v>
      </c>
      <c r="C170" s="2" t="s">
        <v>12129</v>
      </c>
      <c r="K170" s="2" t="s">
        <v>5310</v>
      </c>
      <c r="L170" s="2" t="s">
        <v>5312</v>
      </c>
      <c r="O170" s="2" t="s">
        <v>1368</v>
      </c>
    </row>
    <row r="171" ht="15.75" customHeight="1">
      <c r="A171" s="2">
        <v>2006.0</v>
      </c>
      <c r="B171" s="2" t="s">
        <v>5349</v>
      </c>
      <c r="C171" s="2" t="s">
        <v>12129</v>
      </c>
      <c r="K171" s="2" t="s">
        <v>5350</v>
      </c>
      <c r="L171" s="2" t="s">
        <v>5352</v>
      </c>
      <c r="O171" s="2" t="s">
        <v>1609</v>
      </c>
    </row>
    <row r="172" ht="15.75" customHeight="1">
      <c r="A172" s="2">
        <v>2015.0</v>
      </c>
      <c r="B172" s="2" t="s">
        <v>5214</v>
      </c>
      <c r="C172" s="2" t="s">
        <v>12129</v>
      </c>
      <c r="K172" s="2" t="s">
        <v>5215</v>
      </c>
      <c r="L172" s="2" t="s">
        <v>5217</v>
      </c>
      <c r="O172" s="2" t="s">
        <v>1368</v>
      </c>
    </row>
    <row r="173" ht="15.75" customHeight="1">
      <c r="A173" s="2">
        <v>1993.0</v>
      </c>
      <c r="B173" s="2" t="s">
        <v>5224</v>
      </c>
      <c r="C173" s="2" t="s">
        <v>12129</v>
      </c>
      <c r="K173" s="2" t="s">
        <v>5225</v>
      </c>
      <c r="L173" s="2" t="s">
        <v>5226</v>
      </c>
      <c r="O173" s="2" t="s">
        <v>1368</v>
      </c>
    </row>
    <row r="174" ht="15.75" customHeight="1">
      <c r="A174" s="2">
        <v>2014.0</v>
      </c>
      <c r="B174" s="2" t="s">
        <v>5211</v>
      </c>
      <c r="C174" s="2" t="s">
        <v>12129</v>
      </c>
      <c r="K174" s="2" t="s">
        <v>5212</v>
      </c>
      <c r="O174" s="2" t="s">
        <v>1368</v>
      </c>
    </row>
    <row r="175" ht="15.75" customHeight="1">
      <c r="A175" s="2">
        <v>2018.0</v>
      </c>
      <c r="B175" s="2" t="s">
        <v>5194</v>
      </c>
      <c r="C175" s="2" t="s">
        <v>12129</v>
      </c>
      <c r="K175" s="2" t="s">
        <v>5195</v>
      </c>
      <c r="O175" s="2" t="s">
        <v>1368</v>
      </c>
    </row>
    <row r="176" ht="15.75" customHeight="1">
      <c r="A176" s="2">
        <v>2017.0</v>
      </c>
      <c r="B176" s="2" t="s">
        <v>5198</v>
      </c>
      <c r="C176" s="2" t="s">
        <v>12129</v>
      </c>
      <c r="K176" s="2" t="s">
        <v>5199</v>
      </c>
      <c r="L176" s="2" t="s">
        <v>5200</v>
      </c>
      <c r="O176" s="2" t="s">
        <v>1368</v>
      </c>
    </row>
    <row r="177" ht="15.75" customHeight="1">
      <c r="A177" s="2">
        <v>2011.0</v>
      </c>
      <c r="B177" s="2" t="s">
        <v>5176</v>
      </c>
      <c r="C177" s="2" t="s">
        <v>12129</v>
      </c>
      <c r="K177" s="2" t="s">
        <v>5177</v>
      </c>
      <c r="L177" s="2" t="s">
        <v>5180</v>
      </c>
      <c r="O177" s="2" t="s">
        <v>1368</v>
      </c>
    </row>
    <row r="178" ht="15.75" customHeight="1">
      <c r="A178" s="2">
        <v>2011.0</v>
      </c>
      <c r="B178" s="2" t="s">
        <v>5206</v>
      </c>
      <c r="C178" s="2" t="s">
        <v>12129</v>
      </c>
      <c r="K178" s="2" t="s">
        <v>5207</v>
      </c>
      <c r="L178" s="2" t="s">
        <v>5208</v>
      </c>
      <c r="O178" s="2" t="s">
        <v>1368</v>
      </c>
    </row>
    <row r="179" ht="15.75" customHeight="1">
      <c r="A179" s="2">
        <v>2016.0</v>
      </c>
      <c r="B179" s="2" t="s">
        <v>11897</v>
      </c>
      <c r="C179" s="2" t="s">
        <v>15399</v>
      </c>
      <c r="E179" s="2" t="s">
        <v>15399</v>
      </c>
      <c r="K179" s="2" t="s">
        <v>247</v>
      </c>
      <c r="L179" s="2" t="s">
        <v>250</v>
      </c>
      <c r="N179" s="2" t="s">
        <v>15399</v>
      </c>
      <c r="O179" s="2" t="s">
        <v>1542</v>
      </c>
    </row>
    <row r="180" ht="15.75" customHeight="1">
      <c r="A180" s="2">
        <v>2011.0</v>
      </c>
      <c r="B180" s="2" t="s">
        <v>5170</v>
      </c>
      <c r="C180" s="2" t="s">
        <v>12129</v>
      </c>
      <c r="K180" s="2" t="s">
        <v>5171</v>
      </c>
      <c r="L180" s="2" t="s">
        <v>5172</v>
      </c>
      <c r="O180" s="2" t="s">
        <v>1368</v>
      </c>
    </row>
    <row r="181" ht="15.75" customHeight="1">
      <c r="A181" s="2">
        <v>1994.0</v>
      </c>
      <c r="B181" s="2" t="s">
        <v>5220</v>
      </c>
      <c r="C181" s="2" t="s">
        <v>12129</v>
      </c>
      <c r="K181" s="2" t="s">
        <v>5221</v>
      </c>
      <c r="O181" s="2" t="s">
        <v>1368</v>
      </c>
    </row>
    <row r="182" ht="15.75" customHeight="1">
      <c r="A182" s="2">
        <v>2018.0</v>
      </c>
      <c r="B182" s="2" t="s">
        <v>8869</v>
      </c>
      <c r="C182" s="2" t="s">
        <v>12129</v>
      </c>
      <c r="K182" s="2" t="s">
        <v>8870</v>
      </c>
      <c r="L182" s="2" t="s">
        <v>8873</v>
      </c>
      <c r="O182" s="2" t="s">
        <v>1368</v>
      </c>
    </row>
    <row r="183" ht="15.75" customHeight="1">
      <c r="A183" s="2">
        <v>2004.0</v>
      </c>
      <c r="B183" s="2" t="s">
        <v>8865</v>
      </c>
      <c r="C183" s="2" t="s">
        <v>12129</v>
      </c>
      <c r="K183" s="2" t="s">
        <v>8866</v>
      </c>
      <c r="O183" s="2" t="s">
        <v>1368</v>
      </c>
    </row>
    <row r="184" ht="15.75" customHeight="1">
      <c r="A184" s="2">
        <v>2016.0</v>
      </c>
      <c r="B184" s="2" t="s">
        <v>8839</v>
      </c>
      <c r="C184" s="2" t="s">
        <v>12129</v>
      </c>
      <c r="K184" s="2" t="s">
        <v>8840</v>
      </c>
      <c r="O184" s="2" t="s">
        <v>1368</v>
      </c>
    </row>
    <row r="185" ht="15.75" customHeight="1">
      <c r="A185" s="2">
        <v>1988.0</v>
      </c>
      <c r="B185" s="2" t="s">
        <v>8825</v>
      </c>
      <c r="C185" s="2" t="s">
        <v>12129</v>
      </c>
      <c r="K185" s="2" t="s">
        <v>8826</v>
      </c>
      <c r="O185" s="2" t="s">
        <v>1368</v>
      </c>
    </row>
    <row r="186" ht="15.75" customHeight="1">
      <c r="A186" s="2">
        <v>2008.0</v>
      </c>
      <c r="B186" s="2" t="s">
        <v>8818</v>
      </c>
      <c r="C186" s="2" t="s">
        <v>12129</v>
      </c>
      <c r="K186" s="2" t="s">
        <v>8819</v>
      </c>
      <c r="L186" s="2" t="s">
        <v>8820</v>
      </c>
      <c r="O186" s="2" t="s">
        <v>1368</v>
      </c>
    </row>
    <row r="187" ht="15.75" customHeight="1">
      <c r="A187" s="2">
        <v>2010.0</v>
      </c>
      <c r="B187" s="2" t="s">
        <v>8830</v>
      </c>
      <c r="C187" s="2" t="s">
        <v>12129</v>
      </c>
      <c r="K187" s="2" t="s">
        <v>8831</v>
      </c>
      <c r="L187" s="2" t="s">
        <v>8833</v>
      </c>
      <c r="O187" s="2" t="s">
        <v>1368</v>
      </c>
    </row>
    <row r="188" ht="15.75" customHeight="1">
      <c r="A188" s="2">
        <v>2018.0</v>
      </c>
      <c r="B188" s="2" t="s">
        <v>8854</v>
      </c>
      <c r="C188" s="2" t="s">
        <v>12129</v>
      </c>
      <c r="K188" s="2" t="s">
        <v>8855</v>
      </c>
      <c r="O188" s="2" t="s">
        <v>1368</v>
      </c>
    </row>
    <row r="189" ht="15.75" customHeight="1">
      <c r="A189" s="2">
        <v>2013.0</v>
      </c>
      <c r="B189" s="2" t="s">
        <v>8848</v>
      </c>
      <c r="C189" s="2" t="s">
        <v>12129</v>
      </c>
      <c r="K189" s="2" t="s">
        <v>8849</v>
      </c>
      <c r="O189" s="2" t="s">
        <v>1368</v>
      </c>
    </row>
    <row r="190" ht="15.75" customHeight="1">
      <c r="A190" s="2">
        <v>2004.0</v>
      </c>
      <c r="B190" s="2" t="s">
        <v>8858</v>
      </c>
      <c r="C190" s="2" t="s">
        <v>12129</v>
      </c>
      <c r="K190" s="2" t="s">
        <v>8859</v>
      </c>
      <c r="L190" s="2" t="s">
        <v>8862</v>
      </c>
      <c r="O190" s="2" t="s">
        <v>1368</v>
      </c>
    </row>
    <row r="191" ht="15.75" customHeight="1">
      <c r="A191" s="2">
        <v>2010.0</v>
      </c>
      <c r="B191" s="2" t="s">
        <v>8843</v>
      </c>
      <c r="C191" s="2" t="s">
        <v>12129</v>
      </c>
      <c r="K191" s="2" t="s">
        <v>8844</v>
      </c>
      <c r="O191" s="2" t="s">
        <v>1368</v>
      </c>
    </row>
    <row r="192" ht="15.75" customHeight="1">
      <c r="A192" s="2">
        <v>2009.0</v>
      </c>
      <c r="B192" s="2" t="s">
        <v>7311</v>
      </c>
      <c r="C192" s="2" t="s">
        <v>12129</v>
      </c>
      <c r="K192" s="2" t="s">
        <v>7312</v>
      </c>
      <c r="L192" s="2" t="s">
        <v>7314</v>
      </c>
      <c r="O192" s="2" t="s">
        <v>1368</v>
      </c>
    </row>
    <row r="193" ht="15.75" customHeight="1">
      <c r="A193" s="2">
        <v>2016.0</v>
      </c>
      <c r="B193" s="2" t="s">
        <v>7266</v>
      </c>
      <c r="C193" s="2" t="s">
        <v>12129</v>
      </c>
      <c r="K193" s="2" t="s">
        <v>7267</v>
      </c>
      <c r="L193" s="2" t="s">
        <v>7268</v>
      </c>
      <c r="O193" s="2" t="s">
        <v>1368</v>
      </c>
    </row>
    <row r="194" ht="15.75" customHeight="1">
      <c r="A194" s="2">
        <v>2012.0</v>
      </c>
      <c r="B194" s="2" t="s">
        <v>7301</v>
      </c>
      <c r="C194" s="2" t="s">
        <v>12129</v>
      </c>
      <c r="K194" s="2" t="s">
        <v>7302</v>
      </c>
      <c r="L194" s="2" t="s">
        <v>7305</v>
      </c>
      <c r="O194" s="2" t="s">
        <v>1368</v>
      </c>
    </row>
    <row r="195" ht="15.75" customHeight="1">
      <c r="A195" s="2">
        <v>2016.0</v>
      </c>
      <c r="B195" s="2" t="s">
        <v>7294</v>
      </c>
      <c r="C195" s="2" t="s">
        <v>12129</v>
      </c>
      <c r="K195" s="2" t="s">
        <v>7295</v>
      </c>
      <c r="L195" s="2" t="s">
        <v>7298</v>
      </c>
      <c r="O195" s="2" t="s">
        <v>1368</v>
      </c>
    </row>
    <row r="196" ht="15.75" customHeight="1">
      <c r="A196" s="2">
        <v>2011.0</v>
      </c>
      <c r="B196" s="2" t="s">
        <v>7281</v>
      </c>
      <c r="C196" s="2" t="s">
        <v>12129</v>
      </c>
      <c r="K196" s="2" t="s">
        <v>7282</v>
      </c>
      <c r="L196" s="2" t="s">
        <v>7284</v>
      </c>
      <c r="O196" s="2" t="s">
        <v>2244</v>
      </c>
    </row>
    <row r="197" ht="15.75" customHeight="1">
      <c r="A197" s="2">
        <v>2013.0</v>
      </c>
      <c r="B197" s="2" t="s">
        <v>7259</v>
      </c>
      <c r="C197" s="2" t="s">
        <v>12129</v>
      </c>
      <c r="K197" s="2" t="s">
        <v>7260</v>
      </c>
      <c r="L197" s="2" t="s">
        <v>7261</v>
      </c>
      <c r="O197" s="2" t="s">
        <v>1368</v>
      </c>
    </row>
    <row r="198" ht="15.75" customHeight="1">
      <c r="A198" s="2">
        <v>2010.0</v>
      </c>
      <c r="B198" s="2" t="s">
        <v>7287</v>
      </c>
      <c r="C198" s="2" t="s">
        <v>12129</v>
      </c>
      <c r="K198" s="2" t="s">
        <v>7288</v>
      </c>
      <c r="L198" s="2" t="s">
        <v>7289</v>
      </c>
      <c r="O198" s="2" t="s">
        <v>2244</v>
      </c>
    </row>
    <row r="199" ht="15.75" customHeight="1">
      <c r="A199" s="2">
        <v>2016.0</v>
      </c>
      <c r="B199" s="2" t="s">
        <v>7271</v>
      </c>
      <c r="C199" s="2" t="s">
        <v>12129</v>
      </c>
      <c r="K199" s="2" t="s">
        <v>7272</v>
      </c>
      <c r="L199" s="2" t="s">
        <v>7273</v>
      </c>
      <c r="O199" s="2" t="s">
        <v>1885</v>
      </c>
    </row>
    <row r="200" ht="15.75" customHeight="1">
      <c r="A200" s="2">
        <v>2002.0</v>
      </c>
      <c r="B200" s="2" t="s">
        <v>7323</v>
      </c>
      <c r="C200" s="2" t="s">
        <v>12129</v>
      </c>
      <c r="K200" s="2" t="s">
        <v>7324</v>
      </c>
      <c r="L200" s="2" t="s">
        <v>7325</v>
      </c>
      <c r="O200" s="2" t="s">
        <v>1368</v>
      </c>
    </row>
    <row r="201" ht="15.75" customHeight="1">
      <c r="A201" s="2">
        <v>1995.0</v>
      </c>
      <c r="B201" s="2" t="s">
        <v>7317</v>
      </c>
      <c r="C201" s="2" t="s">
        <v>12129</v>
      </c>
      <c r="K201" s="2" t="s">
        <v>7318</v>
      </c>
      <c r="O201" s="2" t="s">
        <v>1368</v>
      </c>
    </row>
    <row r="202" ht="15.75" customHeight="1">
      <c r="A202" s="2">
        <v>2002.0</v>
      </c>
      <c r="B202" s="2" t="s">
        <v>6416</v>
      </c>
      <c r="C202" s="2" t="s">
        <v>12129</v>
      </c>
      <c r="K202" s="2" t="s">
        <v>6417</v>
      </c>
      <c r="L202" s="2" t="s">
        <v>6419</v>
      </c>
      <c r="O202" s="2" t="s">
        <v>1368</v>
      </c>
    </row>
    <row r="203" ht="15.75" customHeight="1">
      <c r="A203" s="2">
        <v>2001.0</v>
      </c>
      <c r="B203" s="2" t="s">
        <v>6466</v>
      </c>
      <c r="C203" s="2" t="s">
        <v>12129</v>
      </c>
      <c r="K203" s="2" t="s">
        <v>6467</v>
      </c>
      <c r="O203" s="2" t="s">
        <v>1368</v>
      </c>
    </row>
    <row r="204" ht="15.75" customHeight="1">
      <c r="A204" s="2">
        <v>2012.0</v>
      </c>
      <c r="B204" s="2" t="s">
        <v>11524</v>
      </c>
      <c r="C204" s="2" t="s">
        <v>15399</v>
      </c>
      <c r="E204" s="2" t="s">
        <v>15399</v>
      </c>
      <c r="K204" s="2" t="s">
        <v>645</v>
      </c>
      <c r="L204" s="2" t="s">
        <v>647</v>
      </c>
      <c r="M204" s="2" t="s">
        <v>15399</v>
      </c>
      <c r="N204" s="2" t="s">
        <v>15399</v>
      </c>
      <c r="O204" s="2" t="s">
        <v>1368</v>
      </c>
    </row>
    <row r="205" ht="15.75" customHeight="1">
      <c r="A205" s="2">
        <v>1989.0</v>
      </c>
      <c r="B205" s="2" t="s">
        <v>6459</v>
      </c>
      <c r="C205" s="2" t="s">
        <v>12129</v>
      </c>
      <c r="K205" s="2" t="s">
        <v>6460</v>
      </c>
      <c r="O205" s="2" t="s">
        <v>1368</v>
      </c>
    </row>
    <row r="206" ht="15.75" customHeight="1">
      <c r="A206" s="2">
        <v>2014.0</v>
      </c>
      <c r="B206" s="2" t="s">
        <v>6434</v>
      </c>
      <c r="C206" s="2" t="s">
        <v>12129</v>
      </c>
      <c r="K206" s="2" t="s">
        <v>6435</v>
      </c>
      <c r="L206" s="2" t="s">
        <v>6437</v>
      </c>
      <c r="O206" s="2" t="s">
        <v>1368</v>
      </c>
    </row>
    <row r="207" ht="15.75" customHeight="1">
      <c r="A207" s="2">
        <v>1996.0</v>
      </c>
      <c r="B207" s="2" t="s">
        <v>6456</v>
      </c>
      <c r="C207" s="2" t="s">
        <v>12129</v>
      </c>
      <c r="K207" s="2" t="s">
        <v>6457</v>
      </c>
      <c r="O207" s="2" t="s">
        <v>1368</v>
      </c>
    </row>
    <row r="208" ht="15.75" customHeight="1">
      <c r="A208" s="2">
        <v>2005.0</v>
      </c>
      <c r="B208" s="2" t="s">
        <v>6450</v>
      </c>
      <c r="C208" s="2" t="s">
        <v>12129</v>
      </c>
      <c r="K208" s="2" t="s">
        <v>6451</v>
      </c>
      <c r="L208" s="2" t="s">
        <v>6452</v>
      </c>
      <c r="O208" s="2" t="s">
        <v>1368</v>
      </c>
    </row>
    <row r="209" ht="15.75" customHeight="1">
      <c r="A209" s="2">
        <v>2004.0</v>
      </c>
      <c r="B209" s="2" t="s">
        <v>6446</v>
      </c>
      <c r="C209" s="2" t="s">
        <v>12129</v>
      </c>
      <c r="K209" s="2" t="s">
        <v>6447</v>
      </c>
      <c r="O209" s="2" t="s">
        <v>1368</v>
      </c>
    </row>
    <row r="210" ht="15.75" customHeight="1">
      <c r="A210" s="2">
        <v>2014.0</v>
      </c>
      <c r="B210" s="2" t="s">
        <v>6423</v>
      </c>
      <c r="C210" s="2" t="s">
        <v>12129</v>
      </c>
      <c r="K210" s="2" t="s">
        <v>6424</v>
      </c>
      <c r="O210" s="2" t="s">
        <v>1368</v>
      </c>
    </row>
    <row r="211" ht="15.75" customHeight="1">
      <c r="A211" s="2">
        <v>1996.0</v>
      </c>
      <c r="B211" s="2" t="s">
        <v>6429</v>
      </c>
      <c r="C211" s="2" t="s">
        <v>12129</v>
      </c>
      <c r="K211" s="2" t="s">
        <v>6430</v>
      </c>
      <c r="O211" s="2" t="s">
        <v>1368</v>
      </c>
    </row>
    <row r="212" ht="15.75" customHeight="1">
      <c r="A212" s="2">
        <v>2013.0</v>
      </c>
      <c r="B212" s="2" t="s">
        <v>6805</v>
      </c>
      <c r="C212" s="2" t="s">
        <v>15399</v>
      </c>
      <c r="E212" s="2" t="s">
        <v>15399</v>
      </c>
      <c r="K212" s="2" t="s">
        <v>571</v>
      </c>
      <c r="L212" s="2" t="s">
        <v>574</v>
      </c>
      <c r="N212" s="2" t="s">
        <v>15399</v>
      </c>
      <c r="O212" s="2" t="s">
        <v>1368</v>
      </c>
    </row>
    <row r="213" ht="15.75" customHeight="1">
      <c r="A213" s="2">
        <v>2016.0</v>
      </c>
      <c r="B213" s="2" t="s">
        <v>3839</v>
      </c>
      <c r="C213" s="2" t="s">
        <v>12129</v>
      </c>
      <c r="K213" s="2" t="s">
        <v>3840</v>
      </c>
      <c r="L213" s="2" t="s">
        <v>3843</v>
      </c>
      <c r="O213" s="2" t="s">
        <v>1368</v>
      </c>
    </row>
    <row r="214" ht="15.75" customHeight="1">
      <c r="A214" s="2">
        <v>2010.0</v>
      </c>
      <c r="B214" s="2" t="s">
        <v>3922</v>
      </c>
      <c r="C214" s="2" t="s">
        <v>15399</v>
      </c>
      <c r="I214" s="2" t="s">
        <v>15399</v>
      </c>
      <c r="K214" s="2" t="s">
        <v>3923</v>
      </c>
      <c r="L214" s="2" t="s">
        <v>851</v>
      </c>
      <c r="N214" s="2" t="s">
        <v>15399</v>
      </c>
      <c r="O214" s="2" t="s">
        <v>1368</v>
      </c>
    </row>
    <row r="215" ht="15.75" customHeight="1">
      <c r="A215" s="2">
        <v>2008.0</v>
      </c>
      <c r="B215" s="2" t="s">
        <v>3791</v>
      </c>
      <c r="C215" s="2" t="s">
        <v>12129</v>
      </c>
      <c r="K215" s="2" t="s">
        <v>3792</v>
      </c>
      <c r="L215" s="2" t="s">
        <v>3794</v>
      </c>
      <c r="O215" s="2" t="s">
        <v>1368</v>
      </c>
    </row>
    <row r="216" ht="15.75" customHeight="1">
      <c r="A216" s="2">
        <v>2009.0</v>
      </c>
      <c r="B216" s="2" t="s">
        <v>3799</v>
      </c>
      <c r="C216" s="2" t="s">
        <v>12129</v>
      </c>
      <c r="K216" s="2" t="s">
        <v>3800</v>
      </c>
      <c r="L216" s="2" t="s">
        <v>3802</v>
      </c>
      <c r="O216" s="2" t="s">
        <v>1368</v>
      </c>
    </row>
    <row r="217" ht="15.75" customHeight="1">
      <c r="A217" s="2">
        <v>1992.0</v>
      </c>
      <c r="B217" s="2" t="s">
        <v>3831</v>
      </c>
      <c r="C217" s="2" t="s">
        <v>12129</v>
      </c>
      <c r="K217" s="2" t="s">
        <v>3832</v>
      </c>
      <c r="O217" s="2" t="s">
        <v>1368</v>
      </c>
    </row>
    <row r="218" ht="15.75" customHeight="1">
      <c r="A218" s="2">
        <v>2012.0</v>
      </c>
      <c r="B218" s="2" t="s">
        <v>3825</v>
      </c>
      <c r="C218" s="2" t="s">
        <v>12129</v>
      </c>
      <c r="K218" s="2" t="s">
        <v>3826</v>
      </c>
      <c r="L218" s="2" t="s">
        <v>3828</v>
      </c>
      <c r="O218" s="2" t="s">
        <v>1368</v>
      </c>
    </row>
    <row r="219" ht="15.75" customHeight="1">
      <c r="A219" s="2">
        <v>2012.0</v>
      </c>
      <c r="B219" s="2" t="s">
        <v>3808</v>
      </c>
      <c r="C219" s="2" t="s">
        <v>12129</v>
      </c>
      <c r="K219" s="2" t="s">
        <v>3809</v>
      </c>
      <c r="L219" s="2" t="s">
        <v>3810</v>
      </c>
      <c r="O219" s="2" t="s">
        <v>1885</v>
      </c>
    </row>
    <row r="220" ht="15.75" customHeight="1">
      <c r="A220" s="2">
        <v>2007.0</v>
      </c>
      <c r="B220" s="2" t="s">
        <v>3819</v>
      </c>
      <c r="C220" s="2" t="s">
        <v>12129</v>
      </c>
      <c r="K220" s="2" t="s">
        <v>3820</v>
      </c>
      <c r="L220" s="2" t="s">
        <v>3821</v>
      </c>
      <c r="O220" s="2" t="s">
        <v>1368</v>
      </c>
    </row>
    <row r="221" ht="15.75" customHeight="1">
      <c r="A221" s="2">
        <v>2010.0</v>
      </c>
      <c r="B221" s="2" t="s">
        <v>3786</v>
      </c>
      <c r="C221" s="2" t="s">
        <v>12129</v>
      </c>
      <c r="K221" s="2" t="s">
        <v>3787</v>
      </c>
      <c r="O221" s="2" t="s">
        <v>1368</v>
      </c>
    </row>
    <row r="222" ht="15.75" customHeight="1">
      <c r="A222" s="2">
        <v>2015.0</v>
      </c>
      <c r="B222" s="2" t="s">
        <v>8915</v>
      </c>
      <c r="C222" s="2" t="s">
        <v>12129</v>
      </c>
      <c r="K222" s="2" t="s">
        <v>8916</v>
      </c>
      <c r="O222" s="2" t="s">
        <v>1368</v>
      </c>
    </row>
    <row r="223" ht="15.75" customHeight="1">
      <c r="A223" s="2">
        <v>2016.0</v>
      </c>
      <c r="B223" s="2" t="s">
        <v>8878</v>
      </c>
      <c r="C223" s="2" t="s">
        <v>12129</v>
      </c>
      <c r="K223" s="2" t="s">
        <v>8879</v>
      </c>
      <c r="L223" s="2" t="s">
        <v>8881</v>
      </c>
      <c r="O223" s="2" t="s">
        <v>1368</v>
      </c>
    </row>
    <row r="224" ht="15.75" customHeight="1">
      <c r="A224" s="2">
        <v>2003.0</v>
      </c>
      <c r="B224" s="2" t="s">
        <v>8886</v>
      </c>
      <c r="C224" s="2" t="s">
        <v>12129</v>
      </c>
      <c r="K224" s="2" t="s">
        <v>8887</v>
      </c>
      <c r="L224" s="2" t="s">
        <v>8889</v>
      </c>
      <c r="O224" s="2" t="s">
        <v>1368</v>
      </c>
    </row>
    <row r="225" ht="15.75" customHeight="1">
      <c r="A225" s="2">
        <v>2015.0</v>
      </c>
      <c r="B225" s="2" t="s">
        <v>8929</v>
      </c>
      <c r="C225" s="2" t="s">
        <v>12129</v>
      </c>
      <c r="K225" s="2" t="s">
        <v>8930</v>
      </c>
      <c r="O225" s="2" t="s">
        <v>1368</v>
      </c>
    </row>
    <row r="226" ht="15.75" customHeight="1">
      <c r="A226" s="2">
        <v>2007.0</v>
      </c>
      <c r="B226" s="2" t="s">
        <v>8926</v>
      </c>
      <c r="C226" s="2" t="s">
        <v>12129</v>
      </c>
      <c r="K226" s="2" t="s">
        <v>8927</v>
      </c>
      <c r="O226" s="2" t="s">
        <v>1368</v>
      </c>
    </row>
    <row r="227" ht="15.75" customHeight="1">
      <c r="A227" s="2">
        <v>2017.0</v>
      </c>
      <c r="B227" s="2" t="s">
        <v>8894</v>
      </c>
      <c r="C227" s="2" t="s">
        <v>12129</v>
      </c>
      <c r="K227" s="2" t="s">
        <v>8895</v>
      </c>
      <c r="L227" s="2" t="s">
        <v>8896</v>
      </c>
      <c r="O227" s="2" t="s">
        <v>1368</v>
      </c>
    </row>
    <row r="228" ht="15.75" customHeight="1">
      <c r="A228" s="2">
        <v>2016.0</v>
      </c>
      <c r="B228" s="2" t="s">
        <v>8921</v>
      </c>
      <c r="C228" s="2" t="s">
        <v>12129</v>
      </c>
      <c r="K228" s="2" t="s">
        <v>8922</v>
      </c>
      <c r="O228" s="2" t="s">
        <v>1368</v>
      </c>
    </row>
    <row r="229" ht="15.75" customHeight="1">
      <c r="A229" s="2">
        <v>2014.0</v>
      </c>
      <c r="B229" s="2" t="s">
        <v>8901</v>
      </c>
      <c r="C229" s="2" t="s">
        <v>12129</v>
      </c>
      <c r="K229" s="2" t="s">
        <v>8902</v>
      </c>
      <c r="O229" s="2" t="s">
        <v>1368</v>
      </c>
    </row>
    <row r="230" ht="15.75" customHeight="1">
      <c r="A230" s="2">
        <v>2018.0</v>
      </c>
      <c r="B230" s="2" t="s">
        <v>8908</v>
      </c>
      <c r="C230" s="2" t="s">
        <v>12129</v>
      </c>
      <c r="K230" s="2" t="s">
        <v>8909</v>
      </c>
      <c r="L230" s="2" t="s">
        <v>8910</v>
      </c>
      <c r="O230" s="2" t="s">
        <v>1368</v>
      </c>
    </row>
    <row r="231" ht="15.75" customHeight="1">
      <c r="A231" s="2">
        <v>2000.0</v>
      </c>
      <c r="B231" s="2" t="s">
        <v>7245</v>
      </c>
      <c r="C231" s="2" t="s">
        <v>12129</v>
      </c>
      <c r="K231" s="2" t="s">
        <v>7246</v>
      </c>
      <c r="O231" s="2" t="s">
        <v>1368</v>
      </c>
    </row>
    <row r="232" ht="15.75" customHeight="1">
      <c r="A232" s="2">
        <v>2007.0</v>
      </c>
      <c r="B232" s="2" t="s">
        <v>7245</v>
      </c>
      <c r="C232" s="2" t="s">
        <v>12129</v>
      </c>
      <c r="K232" s="2" t="s">
        <v>8932</v>
      </c>
      <c r="O232" s="2" t="s">
        <v>1368</v>
      </c>
    </row>
    <row r="233" ht="15.75" customHeight="1">
      <c r="A233" s="2">
        <v>2007.0</v>
      </c>
      <c r="B233" s="2" t="s">
        <v>7238</v>
      </c>
      <c r="C233" s="2" t="s">
        <v>12129</v>
      </c>
      <c r="K233" s="2" t="s">
        <v>7239</v>
      </c>
      <c r="L233" s="2" t="s">
        <v>7242</v>
      </c>
      <c r="O233" s="2" t="s">
        <v>1368</v>
      </c>
    </row>
    <row r="234" ht="15.75" customHeight="1">
      <c r="A234" s="2">
        <v>2002.0</v>
      </c>
      <c r="B234" s="2" t="s">
        <v>7207</v>
      </c>
      <c r="C234" s="2" t="s">
        <v>12129</v>
      </c>
      <c r="K234" s="2" t="s">
        <v>7208</v>
      </c>
      <c r="L234" s="2" t="s">
        <v>7209</v>
      </c>
      <c r="O234" s="2" t="s">
        <v>1621</v>
      </c>
    </row>
    <row r="235" ht="15.75" customHeight="1">
      <c r="A235" s="2">
        <v>2017.0</v>
      </c>
      <c r="B235" s="2" t="s">
        <v>7217</v>
      </c>
      <c r="C235" s="2" t="s">
        <v>12129</v>
      </c>
      <c r="K235" s="2" t="s">
        <v>7218</v>
      </c>
      <c r="L235" s="2" t="s">
        <v>7219</v>
      </c>
      <c r="O235" s="2" t="s">
        <v>1368</v>
      </c>
    </row>
    <row r="236" ht="15.75" customHeight="1">
      <c r="A236" s="2">
        <v>2012.0</v>
      </c>
      <c r="B236" s="2" t="s">
        <v>8777</v>
      </c>
      <c r="C236" s="2" t="s">
        <v>15399</v>
      </c>
      <c r="G236" s="2" t="s">
        <v>15399</v>
      </c>
      <c r="K236" s="2" t="s">
        <v>699</v>
      </c>
      <c r="L236" s="2" t="s">
        <v>702</v>
      </c>
      <c r="N236" s="2" t="s">
        <v>15399</v>
      </c>
      <c r="O236" s="2" t="s">
        <v>1368</v>
      </c>
    </row>
    <row r="237" ht="15.75" customHeight="1">
      <c r="A237" s="2">
        <v>2010.0</v>
      </c>
      <c r="B237" s="2" t="s">
        <v>7224</v>
      </c>
      <c r="C237" s="2" t="s">
        <v>12129</v>
      </c>
      <c r="K237" s="2" t="s">
        <v>7225</v>
      </c>
      <c r="L237" s="2" t="s">
        <v>7227</v>
      </c>
      <c r="O237" s="2" t="s">
        <v>1368</v>
      </c>
    </row>
    <row r="238" ht="15.75" customHeight="1">
      <c r="A238" s="2">
        <v>2010.0</v>
      </c>
      <c r="B238" s="2" t="s">
        <v>7251</v>
      </c>
      <c r="C238" s="2" t="s">
        <v>12129</v>
      </c>
      <c r="K238" s="2" t="s">
        <v>7252</v>
      </c>
      <c r="L238" s="2" t="s">
        <v>7254</v>
      </c>
      <c r="O238" s="2" t="s">
        <v>1368</v>
      </c>
    </row>
    <row r="239" ht="15.75" customHeight="1">
      <c r="A239" s="2">
        <v>2016.0</v>
      </c>
      <c r="B239" s="2" t="s">
        <v>7232</v>
      </c>
      <c r="C239" s="2" t="s">
        <v>12129</v>
      </c>
      <c r="K239" s="2" t="s">
        <v>7233</v>
      </c>
      <c r="O239" s="2" t="s">
        <v>1368</v>
      </c>
    </row>
    <row r="240" ht="15.75" customHeight="1">
      <c r="A240" s="2">
        <v>2002.0</v>
      </c>
      <c r="B240" s="2" t="s">
        <v>1568</v>
      </c>
      <c r="C240" s="2" t="s">
        <v>15399</v>
      </c>
      <c r="G240" s="2" t="s">
        <v>15399</v>
      </c>
      <c r="K240" s="2" t="s">
        <v>1569</v>
      </c>
      <c r="L240" s="2" t="s">
        <v>226</v>
      </c>
      <c r="N240" s="2" t="s">
        <v>15399</v>
      </c>
      <c r="O240" s="2" t="s">
        <v>1368</v>
      </c>
    </row>
    <row r="241" ht="15.75" customHeight="1">
      <c r="A241" s="2">
        <v>2013.0</v>
      </c>
      <c r="B241" s="2" t="s">
        <v>7190</v>
      </c>
      <c r="C241" s="2" t="s">
        <v>12129</v>
      </c>
      <c r="K241" s="2" t="s">
        <v>7191</v>
      </c>
      <c r="L241" s="2" t="s">
        <v>7192</v>
      </c>
      <c r="O241" s="2" t="s">
        <v>1368</v>
      </c>
    </row>
    <row r="242" ht="15.75" customHeight="1">
      <c r="A242" s="2">
        <v>2012.0</v>
      </c>
      <c r="B242" s="2" t="s">
        <v>10989</v>
      </c>
      <c r="C242" s="2" t="s">
        <v>12129</v>
      </c>
      <c r="K242" s="2" t="s">
        <v>10990</v>
      </c>
      <c r="L242" s="2" t="s">
        <v>10991</v>
      </c>
      <c r="O242" s="2" t="s">
        <v>8021</v>
      </c>
    </row>
    <row r="243" ht="15.75" customHeight="1">
      <c r="A243" s="2">
        <v>2006.0</v>
      </c>
      <c r="B243" s="2" t="s">
        <v>10915</v>
      </c>
      <c r="C243" s="2" t="s">
        <v>15399</v>
      </c>
      <c r="G243" s="2" t="s">
        <v>15399</v>
      </c>
      <c r="K243" s="2" t="s">
        <v>1076</v>
      </c>
      <c r="L243" s="2" t="s">
        <v>1079</v>
      </c>
      <c r="N243" s="2" t="s">
        <v>15399</v>
      </c>
      <c r="O243" s="2" t="s">
        <v>1368</v>
      </c>
    </row>
    <row r="244" ht="15.75" customHeight="1">
      <c r="A244" s="2">
        <v>2005.0</v>
      </c>
      <c r="B244" s="2" t="s">
        <v>11007</v>
      </c>
      <c r="C244" s="2" t="s">
        <v>12129</v>
      </c>
      <c r="K244" s="2" t="s">
        <v>11008</v>
      </c>
      <c r="O244" s="2" t="s">
        <v>1368</v>
      </c>
    </row>
    <row r="245" ht="15.75" customHeight="1">
      <c r="A245" s="2">
        <v>2013.0</v>
      </c>
      <c r="B245" s="2" t="s">
        <v>11016</v>
      </c>
      <c r="C245" s="2" t="s">
        <v>12129</v>
      </c>
      <c r="K245" s="2" t="s">
        <v>11017</v>
      </c>
      <c r="L245" s="2" t="s">
        <v>11018</v>
      </c>
      <c r="O245" s="2" t="s">
        <v>1368</v>
      </c>
    </row>
    <row r="246" ht="15.75" customHeight="1">
      <c r="A246" s="2">
        <v>2001.0</v>
      </c>
      <c r="B246" s="2" t="s">
        <v>11024</v>
      </c>
      <c r="C246" s="2" t="s">
        <v>12129</v>
      </c>
      <c r="K246" s="2" t="s">
        <v>11025</v>
      </c>
      <c r="L246" s="2" t="s">
        <v>11026</v>
      </c>
      <c r="O246" s="2" t="s">
        <v>1368</v>
      </c>
    </row>
    <row r="247" ht="15.75" customHeight="1">
      <c r="A247" s="2">
        <v>2013.0</v>
      </c>
      <c r="B247" s="2" t="s">
        <v>11000</v>
      </c>
      <c r="C247" s="2" t="s">
        <v>12129</v>
      </c>
      <c r="K247" s="2" t="s">
        <v>11001</v>
      </c>
      <c r="O247" s="2" t="s">
        <v>6743</v>
      </c>
    </row>
    <row r="248" ht="15.75" customHeight="1">
      <c r="A248" s="2">
        <v>2013.0</v>
      </c>
      <c r="B248" s="2" t="s">
        <v>10898</v>
      </c>
      <c r="C248" s="2" t="s">
        <v>15399</v>
      </c>
      <c r="E248" s="2" t="s">
        <v>15399</v>
      </c>
      <c r="K248" s="2" t="s">
        <v>601</v>
      </c>
      <c r="L248" s="2" t="s">
        <v>604</v>
      </c>
      <c r="N248" s="2" t="s">
        <v>15399</v>
      </c>
      <c r="O248" s="2" t="s">
        <v>1368</v>
      </c>
    </row>
    <row r="249" ht="15.75" customHeight="1">
      <c r="A249" s="2">
        <v>2007.0</v>
      </c>
      <c r="B249" s="2" t="s">
        <v>10964</v>
      </c>
      <c r="C249" s="2" t="s">
        <v>12129</v>
      </c>
      <c r="K249" s="2" t="s">
        <v>10965</v>
      </c>
      <c r="L249" s="2" t="s">
        <v>10966</v>
      </c>
      <c r="O249" s="2" t="s">
        <v>1368</v>
      </c>
    </row>
    <row r="250" ht="15.75" customHeight="1">
      <c r="A250" s="2">
        <v>2006.0</v>
      </c>
      <c r="B250" s="2" t="s">
        <v>11030</v>
      </c>
      <c r="C250" s="2" t="s">
        <v>12129</v>
      </c>
      <c r="K250" s="2" t="s">
        <v>11031</v>
      </c>
      <c r="O250" s="2" t="s">
        <v>1368</v>
      </c>
    </row>
    <row r="251" ht="15.75" customHeight="1">
      <c r="A251" s="2">
        <v>1989.0</v>
      </c>
      <c r="B251" s="2" t="s">
        <v>11010</v>
      </c>
      <c r="C251" s="2" t="s">
        <v>12129</v>
      </c>
      <c r="K251" s="2" t="s">
        <v>11011</v>
      </c>
      <c r="O251" s="2" t="s">
        <v>1368</v>
      </c>
    </row>
    <row r="252" ht="15.75" customHeight="1">
      <c r="A252" s="2">
        <v>2011.0</v>
      </c>
      <c r="B252" s="2" t="s">
        <v>4383</v>
      </c>
      <c r="C252" s="2" t="s">
        <v>15399</v>
      </c>
      <c r="E252" s="2" t="s">
        <v>15399</v>
      </c>
      <c r="K252" s="2" t="s">
        <v>746</v>
      </c>
      <c r="L252" s="2" t="s">
        <v>749</v>
      </c>
      <c r="N252" s="2" t="s">
        <v>15399</v>
      </c>
      <c r="O252" s="2" t="s">
        <v>1368</v>
      </c>
    </row>
    <row r="253" ht="15.75" customHeight="1">
      <c r="A253" s="2">
        <v>1960.0</v>
      </c>
      <c r="B253" s="2" t="s">
        <v>10837</v>
      </c>
      <c r="C253" s="2" t="s">
        <v>12129</v>
      </c>
      <c r="K253" s="2" t="s">
        <v>10838</v>
      </c>
      <c r="O253" s="2" t="s">
        <v>1368</v>
      </c>
    </row>
    <row r="254" ht="15.75" customHeight="1">
      <c r="A254" s="2">
        <v>1973.0</v>
      </c>
      <c r="B254" s="2" t="s">
        <v>10653</v>
      </c>
      <c r="C254" s="2" t="s">
        <v>12129</v>
      </c>
      <c r="K254" s="2" t="s">
        <v>10654</v>
      </c>
      <c r="L254" s="2" t="s">
        <v>10655</v>
      </c>
      <c r="O254" s="2" t="s">
        <v>1368</v>
      </c>
    </row>
    <row r="255" ht="15.75" customHeight="1">
      <c r="A255" s="2">
        <v>2015.0</v>
      </c>
      <c r="B255" s="2" t="s">
        <v>10645</v>
      </c>
      <c r="C255" s="2" t="s">
        <v>12129</v>
      </c>
      <c r="K255" s="2" t="s">
        <v>10646</v>
      </c>
      <c r="L255" s="2" t="s">
        <v>10648</v>
      </c>
      <c r="O255" s="2" t="s">
        <v>1368</v>
      </c>
    </row>
    <row r="256" ht="15.75" customHeight="1">
      <c r="A256" s="2">
        <v>2004.0</v>
      </c>
      <c r="B256" s="2" t="s">
        <v>8635</v>
      </c>
      <c r="C256" s="2" t="s">
        <v>15399</v>
      </c>
      <c r="I256" s="2" t="s">
        <v>15399</v>
      </c>
      <c r="K256" s="2" t="s">
        <v>1133</v>
      </c>
      <c r="L256" s="2" t="s">
        <v>1135</v>
      </c>
      <c r="N256" s="2" t="s">
        <v>15399</v>
      </c>
      <c r="O256" s="2" t="s">
        <v>1368</v>
      </c>
    </row>
    <row r="257" ht="15.75" customHeight="1">
      <c r="A257" s="2">
        <v>2000.0</v>
      </c>
      <c r="B257" s="2" t="s">
        <v>10823</v>
      </c>
      <c r="C257" s="2" t="s">
        <v>12129</v>
      </c>
      <c r="K257" s="2" t="s">
        <v>10824</v>
      </c>
      <c r="L257" s="2" t="s">
        <v>10825</v>
      </c>
      <c r="O257" s="2" t="s">
        <v>1368</v>
      </c>
    </row>
    <row r="258" ht="15.75" customHeight="1">
      <c r="A258" s="2">
        <v>2014.0</v>
      </c>
      <c r="B258" s="2" t="s">
        <v>10784</v>
      </c>
      <c r="C258" s="2" t="s">
        <v>12129</v>
      </c>
      <c r="K258" s="2" t="s">
        <v>10785</v>
      </c>
      <c r="L258" s="2" t="s">
        <v>10786</v>
      </c>
      <c r="O258" s="2" t="s">
        <v>1872</v>
      </c>
    </row>
    <row r="259" ht="15.75" customHeight="1">
      <c r="A259" s="2">
        <v>2003.0</v>
      </c>
      <c r="B259" s="2" t="s">
        <v>10831</v>
      </c>
      <c r="C259" s="2" t="s">
        <v>12129</v>
      </c>
      <c r="K259" s="2" t="s">
        <v>10832</v>
      </c>
      <c r="O259" s="2" t="s">
        <v>1368</v>
      </c>
    </row>
    <row r="260" ht="15.75" customHeight="1">
      <c r="A260" s="2">
        <v>2010.0</v>
      </c>
      <c r="B260" s="2" t="s">
        <v>10909</v>
      </c>
      <c r="C260" s="2" t="s">
        <v>12129</v>
      </c>
      <c r="K260" s="2" t="s">
        <v>10910</v>
      </c>
      <c r="L260" s="2" t="s">
        <v>10911</v>
      </c>
      <c r="O260" s="2" t="s">
        <v>1368</v>
      </c>
    </row>
    <row r="261" ht="15.75" customHeight="1">
      <c r="A261" s="2">
        <v>2010.0</v>
      </c>
      <c r="B261" s="2" t="s">
        <v>10902</v>
      </c>
      <c r="C261" s="2" t="s">
        <v>12129</v>
      </c>
      <c r="K261" s="2" t="s">
        <v>10903</v>
      </c>
      <c r="L261" s="2" t="s">
        <v>10906</v>
      </c>
      <c r="O261" s="2" t="s">
        <v>1368</v>
      </c>
    </row>
    <row r="262" ht="15.75" customHeight="1">
      <c r="A262" s="2">
        <v>2012.0</v>
      </c>
      <c r="B262" s="2" t="s">
        <v>4608</v>
      </c>
      <c r="C262" s="2" t="s">
        <v>15399</v>
      </c>
      <c r="E262" s="2" t="s">
        <v>15399</v>
      </c>
      <c r="K262" s="2" t="s">
        <v>4609</v>
      </c>
      <c r="L262" s="2" t="s">
        <v>710</v>
      </c>
      <c r="N262" s="2" t="s">
        <v>15399</v>
      </c>
      <c r="O262" s="2" t="s">
        <v>1368</v>
      </c>
    </row>
    <row r="263" ht="15.75" customHeight="1">
      <c r="A263" s="2">
        <v>2005.0</v>
      </c>
      <c r="B263" s="2" t="s">
        <v>10941</v>
      </c>
      <c r="C263" s="2" t="s">
        <v>12129</v>
      </c>
      <c r="K263" s="2" t="s">
        <v>10942</v>
      </c>
      <c r="L263" s="2" t="s">
        <v>10943</v>
      </c>
      <c r="O263" s="2" t="s">
        <v>1368</v>
      </c>
    </row>
    <row r="264" ht="15.75" customHeight="1">
      <c r="A264" s="2">
        <v>2009.0</v>
      </c>
      <c r="B264" s="2" t="s">
        <v>10934</v>
      </c>
      <c r="C264" s="2" t="s">
        <v>12129</v>
      </c>
      <c r="K264" s="2" t="s">
        <v>10935</v>
      </c>
      <c r="L264" s="2" t="s">
        <v>10937</v>
      </c>
      <c r="O264" s="2" t="s">
        <v>1368</v>
      </c>
    </row>
    <row r="265" ht="15.75" customHeight="1">
      <c r="A265" s="2">
        <v>2003.0</v>
      </c>
      <c r="B265" s="2" t="s">
        <v>10733</v>
      </c>
      <c r="C265" s="2" t="s">
        <v>12129</v>
      </c>
      <c r="K265" s="2" t="s">
        <v>10734</v>
      </c>
      <c r="L265" s="2" t="s">
        <v>10735</v>
      </c>
      <c r="O265" s="2" t="s">
        <v>1872</v>
      </c>
    </row>
    <row r="266" ht="15.75" customHeight="1">
      <c r="A266" s="2">
        <v>2002.0</v>
      </c>
      <c r="B266" s="2" t="s">
        <v>10677</v>
      </c>
      <c r="C266" s="2" t="s">
        <v>12129</v>
      </c>
      <c r="K266" s="2" t="s">
        <v>10678</v>
      </c>
      <c r="L266" s="2" t="s">
        <v>10680</v>
      </c>
      <c r="O266" s="2" t="s">
        <v>1368</v>
      </c>
    </row>
    <row r="267" ht="15.75" customHeight="1">
      <c r="A267" s="2">
        <v>2004.0</v>
      </c>
      <c r="B267" s="2" t="s">
        <v>10931</v>
      </c>
      <c r="C267" s="2" t="s">
        <v>12129</v>
      </c>
      <c r="K267" s="2" t="s">
        <v>10932</v>
      </c>
      <c r="O267" s="2" t="s">
        <v>1368</v>
      </c>
    </row>
    <row r="268" ht="15.75" customHeight="1">
      <c r="A268" s="2">
        <v>2007.0</v>
      </c>
      <c r="B268" s="2" t="s">
        <v>10952</v>
      </c>
      <c r="C268" s="2" t="s">
        <v>12129</v>
      </c>
      <c r="K268" s="2" t="s">
        <v>10953</v>
      </c>
      <c r="L268" s="2" t="s">
        <v>10956</v>
      </c>
      <c r="O268" s="2" t="s">
        <v>1368</v>
      </c>
    </row>
    <row r="269" ht="15.75" customHeight="1">
      <c r="A269" s="2">
        <v>2013.0</v>
      </c>
      <c r="B269" s="2" t="s">
        <v>10946</v>
      </c>
      <c r="C269" s="2" t="s">
        <v>12129</v>
      </c>
      <c r="K269" s="2" t="s">
        <v>10947</v>
      </c>
      <c r="L269" s="2" t="s">
        <v>10948</v>
      </c>
      <c r="O269" s="2" t="s">
        <v>1368</v>
      </c>
    </row>
    <row r="270" ht="15.75" customHeight="1">
      <c r="A270" s="2">
        <v>2007.0</v>
      </c>
      <c r="B270" s="2" t="s">
        <v>10714</v>
      </c>
      <c r="C270" s="2" t="s">
        <v>12129</v>
      </c>
      <c r="K270" s="2" t="s">
        <v>10715</v>
      </c>
      <c r="L270" s="2" t="s">
        <v>10717</v>
      </c>
      <c r="O270" s="2" t="s">
        <v>1368</v>
      </c>
    </row>
    <row r="271" ht="15.75" customHeight="1">
      <c r="A271" s="2">
        <v>2010.0</v>
      </c>
      <c r="B271" s="2" t="s">
        <v>10925</v>
      </c>
      <c r="C271" s="2" t="s">
        <v>12129</v>
      </c>
      <c r="K271" s="2" t="s">
        <v>10926</v>
      </c>
      <c r="L271" s="2" t="s">
        <v>10927</v>
      </c>
      <c r="O271" s="2" t="s">
        <v>1368</v>
      </c>
    </row>
    <row r="272" ht="15.75" customHeight="1">
      <c r="A272" s="2">
        <v>2014.0</v>
      </c>
      <c r="B272" s="2" t="s">
        <v>11682</v>
      </c>
      <c r="C272" s="2" t="s">
        <v>15399</v>
      </c>
      <c r="G272" s="2" t="s">
        <v>15399</v>
      </c>
      <c r="K272" s="2" t="s">
        <v>542</v>
      </c>
      <c r="L272" s="2" t="s">
        <v>544</v>
      </c>
      <c r="N272" s="2" t="s">
        <v>15399</v>
      </c>
      <c r="O272" s="2" t="s">
        <v>1368</v>
      </c>
    </row>
    <row r="273" ht="15.75" customHeight="1">
      <c r="A273" s="2">
        <v>2015.0</v>
      </c>
      <c r="B273" s="2" t="s">
        <v>10610</v>
      </c>
      <c r="C273" s="2" t="s">
        <v>15399</v>
      </c>
      <c r="E273" s="2" t="s">
        <v>15399</v>
      </c>
      <c r="K273" s="2" t="s">
        <v>282</v>
      </c>
      <c r="L273" s="2" t="s">
        <v>285</v>
      </c>
      <c r="N273" s="2" t="s">
        <v>15399</v>
      </c>
      <c r="O273" s="2" t="s">
        <v>1368</v>
      </c>
    </row>
    <row r="274" ht="15.75" customHeight="1">
      <c r="A274" s="2">
        <v>2014.0</v>
      </c>
      <c r="B274" s="2" t="s">
        <v>10805</v>
      </c>
      <c r="C274" s="2" t="s">
        <v>12129</v>
      </c>
      <c r="K274" s="2" t="s">
        <v>10806</v>
      </c>
      <c r="O274" s="2" t="s">
        <v>10810</v>
      </c>
    </row>
    <row r="275" ht="15.75" customHeight="1">
      <c r="A275" s="2">
        <v>2012.0</v>
      </c>
      <c r="B275" s="2" t="s">
        <v>10805</v>
      </c>
      <c r="C275" s="2" t="s">
        <v>12129</v>
      </c>
      <c r="K275" s="2" t="s">
        <v>10819</v>
      </c>
      <c r="O275" s="2" t="s">
        <v>1621</v>
      </c>
    </row>
    <row r="276" ht="15.75" customHeight="1">
      <c r="A276" s="2">
        <v>2018.0</v>
      </c>
      <c r="B276" s="2" t="s">
        <v>10805</v>
      </c>
      <c r="C276" s="2" t="s">
        <v>12129</v>
      </c>
      <c r="K276" s="2" t="s">
        <v>10842</v>
      </c>
      <c r="O276" s="2" t="s">
        <v>1368</v>
      </c>
    </row>
    <row r="277" ht="15.75" customHeight="1">
      <c r="A277" s="2">
        <v>2018.0</v>
      </c>
      <c r="B277" s="2" t="s">
        <v>10805</v>
      </c>
      <c r="C277" s="2" t="s">
        <v>12129</v>
      </c>
      <c r="K277" s="2" t="s">
        <v>10862</v>
      </c>
      <c r="O277" s="2" t="s">
        <v>1368</v>
      </c>
    </row>
    <row r="278" ht="15.75" customHeight="1">
      <c r="A278" s="2">
        <v>1984.0</v>
      </c>
      <c r="B278" s="2" t="s">
        <v>10845</v>
      </c>
      <c r="C278" s="2" t="s">
        <v>12129</v>
      </c>
      <c r="K278" s="2" t="s">
        <v>10846</v>
      </c>
      <c r="O278" s="2" t="s">
        <v>1368</v>
      </c>
    </row>
    <row r="279" ht="15.75" customHeight="1">
      <c r="A279" s="2">
        <v>2013.0</v>
      </c>
      <c r="B279" s="2" t="s">
        <v>10960</v>
      </c>
      <c r="C279" s="2" t="s">
        <v>12129</v>
      </c>
      <c r="K279" s="2" t="s">
        <v>10961</v>
      </c>
      <c r="L279" s="2" t="s">
        <v>10962</v>
      </c>
      <c r="O279" s="2" t="s">
        <v>1368</v>
      </c>
    </row>
    <row r="280" ht="15.75" customHeight="1">
      <c r="A280" s="2">
        <v>2011.0</v>
      </c>
      <c r="B280" s="2" t="s">
        <v>10692</v>
      </c>
      <c r="C280" s="2" t="s">
        <v>12129</v>
      </c>
      <c r="K280" s="2" t="s">
        <v>10693</v>
      </c>
      <c r="L280" s="2" t="s">
        <v>10695</v>
      </c>
      <c r="O280" s="2" t="s">
        <v>1368</v>
      </c>
    </row>
    <row r="281" ht="15.75" customHeight="1">
      <c r="A281" s="2">
        <v>2016.0</v>
      </c>
      <c r="B281" s="2" t="s">
        <v>10768</v>
      </c>
      <c r="C281" s="2" t="s">
        <v>12129</v>
      </c>
      <c r="K281" s="2" t="s">
        <v>10769</v>
      </c>
      <c r="L281" s="2" t="s">
        <v>10770</v>
      </c>
      <c r="O281" s="2" t="s">
        <v>10782</v>
      </c>
    </row>
    <row r="282" ht="15.75" customHeight="1">
      <c r="A282" s="2">
        <v>2000.0</v>
      </c>
      <c r="B282" s="2" t="s">
        <v>10850</v>
      </c>
      <c r="C282" s="2" t="s">
        <v>12129</v>
      </c>
      <c r="K282" s="2" t="s">
        <v>10851</v>
      </c>
      <c r="L282" s="2" t="s">
        <v>10852</v>
      </c>
      <c r="O282" s="2" t="s">
        <v>1368</v>
      </c>
    </row>
    <row r="283" ht="15.75" customHeight="1">
      <c r="A283" s="2">
        <v>2005.0</v>
      </c>
      <c r="B283" s="2" t="s">
        <v>10793</v>
      </c>
      <c r="C283" s="2" t="s">
        <v>12129</v>
      </c>
      <c r="K283" s="2" t="s">
        <v>10794</v>
      </c>
      <c r="L283" s="2" t="s">
        <v>10795</v>
      </c>
      <c r="O283" s="2" t="s">
        <v>1872</v>
      </c>
    </row>
    <row r="284" ht="15.75" customHeight="1">
      <c r="A284" s="2">
        <v>1988.0</v>
      </c>
      <c r="B284" s="2" t="s">
        <v>10869</v>
      </c>
      <c r="C284" s="2" t="s">
        <v>12129</v>
      </c>
      <c r="K284" s="2" t="s">
        <v>10870</v>
      </c>
      <c r="L284" s="2" t="s">
        <v>10871</v>
      </c>
      <c r="O284" s="2" t="s">
        <v>1368</v>
      </c>
    </row>
    <row r="285" ht="15.75" customHeight="1">
      <c r="A285" s="2">
        <v>2016.0</v>
      </c>
      <c r="B285" s="2" t="s">
        <v>10743</v>
      </c>
      <c r="C285" s="2" t="s">
        <v>12129</v>
      </c>
      <c r="K285" s="2" t="s">
        <v>10744</v>
      </c>
      <c r="L285" s="2" t="s">
        <v>10745</v>
      </c>
      <c r="O285" s="2" t="s">
        <v>2188</v>
      </c>
    </row>
    <row r="286" ht="15.75" customHeight="1">
      <c r="A286" s="2">
        <v>2003.0</v>
      </c>
      <c r="B286" s="2" t="s">
        <v>10864</v>
      </c>
      <c r="C286" s="2" t="s">
        <v>12129</v>
      </c>
      <c r="K286" s="2" t="s">
        <v>10865</v>
      </c>
      <c r="O286" s="2" t="s">
        <v>1368</v>
      </c>
    </row>
    <row r="287" ht="15.75" customHeight="1">
      <c r="A287" s="2">
        <v>1998.0</v>
      </c>
      <c r="B287" s="2" t="s">
        <v>10881</v>
      </c>
      <c r="C287" s="2" t="s">
        <v>12129</v>
      </c>
      <c r="K287" s="2" t="s">
        <v>10882</v>
      </c>
      <c r="L287" s="2" t="s">
        <v>10883</v>
      </c>
      <c r="O287" s="2" t="s">
        <v>1368</v>
      </c>
    </row>
    <row r="288" ht="15.75" customHeight="1">
      <c r="A288" s="2">
        <v>2017.0</v>
      </c>
      <c r="B288" s="2" t="s">
        <v>10812</v>
      </c>
      <c r="C288" s="2" t="s">
        <v>12129</v>
      </c>
      <c r="K288" s="2" t="s">
        <v>10813</v>
      </c>
      <c r="L288" s="2" t="s">
        <v>10814</v>
      </c>
      <c r="O288" s="2" t="s">
        <v>1621</v>
      </c>
    </row>
    <row r="289" ht="15.75" customHeight="1">
      <c r="A289" s="2">
        <v>1993.0</v>
      </c>
      <c r="B289" s="2" t="s">
        <v>10632</v>
      </c>
      <c r="C289" s="2" t="s">
        <v>12129</v>
      </c>
      <c r="K289" s="2" t="s">
        <v>10633</v>
      </c>
      <c r="L289" s="2" t="s">
        <v>10634</v>
      </c>
      <c r="O289" s="2" t="s">
        <v>1368</v>
      </c>
    </row>
    <row r="290" ht="15.75" customHeight="1">
      <c r="A290" s="2">
        <v>2010.0</v>
      </c>
      <c r="B290" s="2" t="s">
        <v>10891</v>
      </c>
      <c r="C290" s="2" t="s">
        <v>12129</v>
      </c>
      <c r="K290" s="2" t="s">
        <v>10892</v>
      </c>
      <c r="L290" s="2" t="s">
        <v>10895</v>
      </c>
      <c r="O290" s="2" t="s">
        <v>1368</v>
      </c>
    </row>
    <row r="291" ht="15.75" customHeight="1">
      <c r="A291" s="2">
        <v>2009.0</v>
      </c>
      <c r="B291" s="2" t="s">
        <v>10886</v>
      </c>
      <c r="C291" s="2" t="s">
        <v>12129</v>
      </c>
      <c r="K291" s="2" t="s">
        <v>10887</v>
      </c>
      <c r="L291" s="2" t="s">
        <v>10888</v>
      </c>
      <c r="O291" s="2" t="s">
        <v>1368</v>
      </c>
    </row>
    <row r="292" ht="15.75" customHeight="1">
      <c r="A292" s="2">
        <v>2006.0</v>
      </c>
      <c r="B292" s="2" t="s">
        <v>3377</v>
      </c>
      <c r="C292" s="2" t="s">
        <v>15399</v>
      </c>
      <c r="I292" s="2" t="s">
        <v>15399</v>
      </c>
      <c r="K292" s="2" t="s">
        <v>1051</v>
      </c>
      <c r="L292" s="2" t="s">
        <v>1054</v>
      </c>
      <c r="N292" s="2" t="s">
        <v>15399</v>
      </c>
      <c r="O292" s="2" t="s">
        <v>1368</v>
      </c>
    </row>
    <row r="293" ht="15.75" customHeight="1">
      <c r="A293" s="2">
        <v>2017.0</v>
      </c>
      <c r="B293" s="2" t="s">
        <v>10639</v>
      </c>
      <c r="C293" s="2" t="s">
        <v>12129</v>
      </c>
      <c r="K293" s="2" t="s">
        <v>10640</v>
      </c>
      <c r="L293" s="2" t="s">
        <v>10641</v>
      </c>
      <c r="O293" s="2" t="s">
        <v>1368</v>
      </c>
    </row>
    <row r="294" ht="15.75" customHeight="1">
      <c r="A294" s="2">
        <v>2017.0</v>
      </c>
      <c r="B294" s="2" t="s">
        <v>10875</v>
      </c>
      <c r="C294" s="2" t="s">
        <v>12129</v>
      </c>
      <c r="K294" s="2" t="s">
        <v>10876</v>
      </c>
      <c r="L294" s="2" t="s">
        <v>10878</v>
      </c>
      <c r="O294" s="2" t="s">
        <v>1368</v>
      </c>
    </row>
    <row r="295" ht="15.75" customHeight="1">
      <c r="A295" s="2">
        <v>2014.0</v>
      </c>
      <c r="B295" s="2" t="s">
        <v>10670</v>
      </c>
      <c r="C295" s="2" t="s">
        <v>12129</v>
      </c>
      <c r="K295" s="2" t="s">
        <v>10671</v>
      </c>
      <c r="L295" s="2" t="s">
        <v>10672</v>
      </c>
      <c r="O295" s="2" t="s">
        <v>1368</v>
      </c>
    </row>
    <row r="296" ht="15.75" customHeight="1">
      <c r="A296" s="2">
        <v>2011.0</v>
      </c>
      <c r="B296" s="2" t="s">
        <v>10670</v>
      </c>
      <c r="C296" s="2" t="s">
        <v>12129</v>
      </c>
      <c r="K296" s="2" t="s">
        <v>10707</v>
      </c>
      <c r="L296" s="2" t="s">
        <v>10709</v>
      </c>
      <c r="O296" s="2" t="s">
        <v>1368</v>
      </c>
    </row>
    <row r="297" ht="15.75" customHeight="1">
      <c r="A297" s="2">
        <v>2008.0</v>
      </c>
      <c r="B297" s="2" t="s">
        <v>10722</v>
      </c>
      <c r="C297" s="2" t="s">
        <v>12129</v>
      </c>
      <c r="K297" s="2" t="s">
        <v>10723</v>
      </c>
      <c r="L297" s="2" t="s">
        <v>10724</v>
      </c>
      <c r="O297" s="2" t="s">
        <v>1872</v>
      </c>
    </row>
    <row r="298" ht="15.75" customHeight="1">
      <c r="A298" s="2">
        <v>2009.0</v>
      </c>
      <c r="B298" s="2" t="s">
        <v>10722</v>
      </c>
      <c r="C298" s="2" t="s">
        <v>12129</v>
      </c>
      <c r="K298" s="2" t="s">
        <v>10758</v>
      </c>
      <c r="L298" s="2" t="s">
        <v>10759</v>
      </c>
      <c r="O298" s="2" t="s">
        <v>8021</v>
      </c>
    </row>
    <row r="299" ht="15.75" customHeight="1">
      <c r="A299" s="2">
        <v>1994.0</v>
      </c>
      <c r="B299" s="2" t="s">
        <v>10664</v>
      </c>
      <c r="C299" s="2" t="s">
        <v>12129</v>
      </c>
      <c r="K299" s="2" t="s">
        <v>10665</v>
      </c>
      <c r="O299" s="2" t="s">
        <v>1368</v>
      </c>
    </row>
    <row r="300" ht="15.75" customHeight="1">
      <c r="A300" s="2">
        <v>2004.0</v>
      </c>
      <c r="B300" s="2" t="s">
        <v>4949</v>
      </c>
      <c r="C300" s="2" t="s">
        <v>15399</v>
      </c>
      <c r="E300" s="2" t="s">
        <v>15399</v>
      </c>
      <c r="K300" s="2" t="s">
        <v>1125</v>
      </c>
      <c r="L300" s="2" t="s">
        <v>1128</v>
      </c>
      <c r="N300" s="2" t="s">
        <v>15399</v>
      </c>
      <c r="O300" s="2" t="s">
        <v>1368</v>
      </c>
    </row>
    <row r="301" ht="15.75" customHeight="1">
      <c r="A301" s="2">
        <v>2018.0</v>
      </c>
      <c r="B301" s="2" t="s">
        <v>10858</v>
      </c>
      <c r="C301" s="2" t="s">
        <v>12129</v>
      </c>
      <c r="K301" s="2" t="s">
        <v>10859</v>
      </c>
      <c r="O301" s="2" t="s">
        <v>1368</v>
      </c>
    </row>
    <row r="302" ht="15.75" customHeight="1">
      <c r="A302" s="2">
        <v>1996.0</v>
      </c>
      <c r="B302" s="2" t="s">
        <v>3590</v>
      </c>
      <c r="C302" s="2" t="s">
        <v>12129</v>
      </c>
      <c r="K302" s="2" t="s">
        <v>3591</v>
      </c>
      <c r="L302" s="2" t="s">
        <v>3594</v>
      </c>
      <c r="O302" s="2" t="s">
        <v>1368</v>
      </c>
    </row>
    <row r="303" ht="15.75" customHeight="1">
      <c r="A303" s="2">
        <v>2013.0</v>
      </c>
      <c r="B303" s="2" t="s">
        <v>3428</v>
      </c>
      <c r="C303" s="2" t="s">
        <v>12129</v>
      </c>
      <c r="K303" s="2" t="s">
        <v>3429</v>
      </c>
      <c r="L303" s="2" t="s">
        <v>3430</v>
      </c>
      <c r="O303" s="2" t="s">
        <v>1368</v>
      </c>
    </row>
    <row r="304" ht="15.75" customHeight="1">
      <c r="A304" s="2">
        <v>2018.0</v>
      </c>
      <c r="B304" s="2" t="s">
        <v>3611</v>
      </c>
      <c r="C304" s="2" t="s">
        <v>12129</v>
      </c>
      <c r="K304" s="2" t="s">
        <v>3612</v>
      </c>
      <c r="L304" s="2" t="s">
        <v>3615</v>
      </c>
      <c r="O304" s="2" t="s">
        <v>1368</v>
      </c>
    </row>
    <row r="305" ht="15.75" customHeight="1">
      <c r="A305" s="2">
        <v>1973.0</v>
      </c>
      <c r="B305" s="2" t="s">
        <v>3605</v>
      </c>
      <c r="C305" s="2" t="s">
        <v>12129</v>
      </c>
      <c r="K305" s="2" t="s">
        <v>3606</v>
      </c>
      <c r="O305" s="2" t="s">
        <v>1368</v>
      </c>
    </row>
    <row r="306" ht="15.75" customHeight="1">
      <c r="A306" s="2">
        <v>1998.0</v>
      </c>
      <c r="B306" s="2" t="s">
        <v>3598</v>
      </c>
      <c r="C306" s="2" t="s">
        <v>12129</v>
      </c>
      <c r="K306" s="2" t="s">
        <v>3599</v>
      </c>
      <c r="L306" s="2" t="s">
        <v>3602</v>
      </c>
      <c r="O306" s="2" t="s">
        <v>1368</v>
      </c>
    </row>
    <row r="307" ht="15.75" customHeight="1">
      <c r="A307" s="2">
        <v>2006.0</v>
      </c>
      <c r="B307" s="2" t="s">
        <v>3550</v>
      </c>
      <c r="C307" s="2" t="s">
        <v>12129</v>
      </c>
      <c r="K307" s="2" t="s">
        <v>3551</v>
      </c>
      <c r="O307" s="2" t="s">
        <v>1368</v>
      </c>
    </row>
    <row r="308" ht="15.75" customHeight="1">
      <c r="A308" s="2">
        <v>2016.0</v>
      </c>
      <c r="B308" s="2" t="s">
        <v>8455</v>
      </c>
      <c r="C308" s="2" t="s">
        <v>15399</v>
      </c>
      <c r="F308" s="2" t="s">
        <v>15399</v>
      </c>
      <c r="K308" s="2" t="s">
        <v>189</v>
      </c>
      <c r="L308" s="2" t="s">
        <v>192</v>
      </c>
      <c r="N308" s="2" t="s">
        <v>15399</v>
      </c>
      <c r="O308" s="2" t="s">
        <v>2889</v>
      </c>
    </row>
    <row r="309" ht="15.75" customHeight="1">
      <c r="A309" s="2">
        <v>2010.0</v>
      </c>
      <c r="B309" s="2" t="s">
        <v>4488</v>
      </c>
      <c r="C309" s="2" t="s">
        <v>15399</v>
      </c>
      <c r="G309" s="2" t="s">
        <v>15399</v>
      </c>
      <c r="K309" s="2" t="s">
        <v>900</v>
      </c>
      <c r="L309" s="2" t="s">
        <v>903</v>
      </c>
      <c r="N309" s="2" t="s">
        <v>15399</v>
      </c>
      <c r="O309" s="2" t="s">
        <v>1368</v>
      </c>
    </row>
    <row r="310" ht="15.75" customHeight="1">
      <c r="A310" s="2">
        <v>2005.0</v>
      </c>
      <c r="B310" s="2" t="s">
        <v>3370</v>
      </c>
      <c r="C310" s="2" t="s">
        <v>12129</v>
      </c>
      <c r="K310" s="2" t="s">
        <v>3371</v>
      </c>
      <c r="L310" s="2" t="s">
        <v>3373</v>
      </c>
      <c r="O310" s="2" t="s">
        <v>1368</v>
      </c>
    </row>
    <row r="311" ht="15.75" customHeight="1">
      <c r="A311" s="2">
        <v>2007.0</v>
      </c>
      <c r="B311" s="2" t="s">
        <v>3514</v>
      </c>
      <c r="C311" s="2" t="s">
        <v>12129</v>
      </c>
      <c r="K311" s="2" t="s">
        <v>3515</v>
      </c>
      <c r="L311" s="2" t="s">
        <v>3517</v>
      </c>
      <c r="O311" s="2" t="s">
        <v>1368</v>
      </c>
    </row>
    <row r="312" ht="15.75" customHeight="1">
      <c r="A312" s="2">
        <v>2016.0</v>
      </c>
      <c r="B312" s="2" t="s">
        <v>3419</v>
      </c>
      <c r="C312" s="2" t="s">
        <v>12129</v>
      </c>
      <c r="K312" s="2" t="s">
        <v>3420</v>
      </c>
      <c r="L312" s="2" t="s">
        <v>3422</v>
      </c>
      <c r="O312" s="2" t="s">
        <v>1368</v>
      </c>
    </row>
    <row r="313" ht="15.75" customHeight="1">
      <c r="A313" s="2">
        <v>2001.0</v>
      </c>
      <c r="B313" s="2" t="s">
        <v>3630</v>
      </c>
      <c r="C313" s="2" t="s">
        <v>12129</v>
      </c>
      <c r="K313" s="2" t="s">
        <v>3631</v>
      </c>
      <c r="L313" s="2" t="s">
        <v>3634</v>
      </c>
      <c r="O313" s="2" t="s">
        <v>1368</v>
      </c>
    </row>
    <row r="314" ht="15.75" customHeight="1">
      <c r="A314" s="2">
        <v>2013.0</v>
      </c>
      <c r="B314" s="2" t="s">
        <v>3402</v>
      </c>
      <c r="C314" s="2" t="s">
        <v>12129</v>
      </c>
      <c r="K314" s="2" t="s">
        <v>3403</v>
      </c>
      <c r="L314" s="2" t="s">
        <v>3405</v>
      </c>
      <c r="O314" s="2" t="s">
        <v>1368</v>
      </c>
    </row>
    <row r="315" ht="15.75" customHeight="1">
      <c r="A315" s="2">
        <v>2012.0</v>
      </c>
      <c r="B315" s="2" t="s">
        <v>3648</v>
      </c>
      <c r="C315" s="2" t="s">
        <v>12129</v>
      </c>
      <c r="K315" s="2" t="s">
        <v>3649</v>
      </c>
      <c r="O315" s="2" t="s">
        <v>1368</v>
      </c>
    </row>
    <row r="316" ht="15.75" customHeight="1">
      <c r="A316" s="2">
        <v>2010.0</v>
      </c>
      <c r="B316" s="2" t="s">
        <v>3503</v>
      </c>
      <c r="C316" s="2" t="s">
        <v>12129</v>
      </c>
      <c r="K316" s="2" t="s">
        <v>3504</v>
      </c>
      <c r="L316" s="2" t="s">
        <v>3505</v>
      </c>
      <c r="O316" s="2" t="s">
        <v>1872</v>
      </c>
    </row>
    <row r="317" ht="15.75" customHeight="1">
      <c r="A317" s="2">
        <v>2015.0</v>
      </c>
      <c r="B317" s="2" t="s">
        <v>5005</v>
      </c>
      <c r="C317" s="2" t="s">
        <v>15399</v>
      </c>
      <c r="E317" s="2" t="s">
        <v>15399</v>
      </c>
      <c r="K317" s="2" t="s">
        <v>440</v>
      </c>
      <c r="L317" s="2" t="s">
        <v>443</v>
      </c>
      <c r="M317" s="2" t="s">
        <v>15399</v>
      </c>
      <c r="N317" s="2" t="s">
        <v>15399</v>
      </c>
      <c r="O317" s="2" t="s">
        <v>1368</v>
      </c>
    </row>
    <row r="318" ht="15.75" customHeight="1">
      <c r="A318" s="2">
        <v>2015.0</v>
      </c>
      <c r="B318" s="2" t="s">
        <v>3463</v>
      </c>
      <c r="C318" s="2" t="s">
        <v>12129</v>
      </c>
      <c r="K318" s="2" t="s">
        <v>3464</v>
      </c>
      <c r="L318" s="2" t="s">
        <v>3466</v>
      </c>
      <c r="O318" s="2" t="s">
        <v>3478</v>
      </c>
    </row>
    <row r="319" ht="15.75" customHeight="1">
      <c r="A319" s="2">
        <v>2015.0</v>
      </c>
      <c r="B319" s="2" t="s">
        <v>3521</v>
      </c>
      <c r="C319" s="2" t="s">
        <v>12129</v>
      </c>
      <c r="K319" s="2" t="s">
        <v>3522</v>
      </c>
      <c r="L319" s="2" t="s">
        <v>3525</v>
      </c>
      <c r="O319" s="2" t="s">
        <v>1368</v>
      </c>
    </row>
    <row r="320" ht="15.75" customHeight="1">
      <c r="A320" s="2">
        <v>1960.0</v>
      </c>
      <c r="B320" s="2" t="s">
        <v>3361</v>
      </c>
      <c r="C320" s="2" t="s">
        <v>12129</v>
      </c>
      <c r="K320" s="2" t="s">
        <v>3362</v>
      </c>
      <c r="L320" s="2" t="s">
        <v>3364</v>
      </c>
      <c r="O320" s="2" t="s">
        <v>1368</v>
      </c>
    </row>
    <row r="321" ht="15.75" customHeight="1">
      <c r="A321" s="2">
        <v>2005.0</v>
      </c>
      <c r="B321" s="2" t="s">
        <v>3342</v>
      </c>
      <c r="C321" s="2" t="s">
        <v>12129</v>
      </c>
      <c r="K321" s="2" t="s">
        <v>3343</v>
      </c>
      <c r="L321" s="2" t="s">
        <v>3344</v>
      </c>
      <c r="O321" s="2" t="s">
        <v>1368</v>
      </c>
    </row>
    <row r="322" ht="15.75" customHeight="1">
      <c r="A322" s="2">
        <v>2003.0</v>
      </c>
      <c r="B322" s="2" t="s">
        <v>3410</v>
      </c>
      <c r="C322" s="2" t="s">
        <v>12129</v>
      </c>
      <c r="K322" s="2" t="s">
        <v>3411</v>
      </c>
      <c r="L322" s="2" t="s">
        <v>3413</v>
      </c>
      <c r="O322" s="2" t="s">
        <v>1368</v>
      </c>
    </row>
    <row r="323" ht="15.75" customHeight="1">
      <c r="A323" s="2">
        <v>2006.0</v>
      </c>
      <c r="B323" s="2" t="s">
        <v>3621</v>
      </c>
      <c r="C323" s="2" t="s">
        <v>12129</v>
      </c>
      <c r="K323" s="2" t="s">
        <v>3622</v>
      </c>
      <c r="L323" s="2" t="s">
        <v>3625</v>
      </c>
      <c r="O323" s="2" t="s">
        <v>1368</v>
      </c>
    </row>
    <row r="324" ht="15.75" customHeight="1">
      <c r="A324" s="2">
        <v>2004.0</v>
      </c>
      <c r="B324" s="2" t="s">
        <v>3621</v>
      </c>
      <c r="C324" s="2" t="s">
        <v>12129</v>
      </c>
      <c r="K324" s="2" t="s">
        <v>3637</v>
      </c>
      <c r="L324" s="2" t="s">
        <v>3638</v>
      </c>
      <c r="O324" s="2" t="s">
        <v>1368</v>
      </c>
    </row>
    <row r="325" ht="15.75" customHeight="1">
      <c r="A325" s="2">
        <v>2018.0</v>
      </c>
      <c r="B325" s="2" t="s">
        <v>3676</v>
      </c>
      <c r="C325" s="2" t="s">
        <v>12129</v>
      </c>
      <c r="K325" s="2" t="s">
        <v>3677</v>
      </c>
      <c r="O325" s="2" t="s">
        <v>1368</v>
      </c>
    </row>
    <row r="326" ht="15.75" customHeight="1">
      <c r="A326" s="2">
        <v>1994.0</v>
      </c>
      <c r="B326" s="2" t="s">
        <v>3670</v>
      </c>
      <c r="C326" s="2" t="s">
        <v>12129</v>
      </c>
      <c r="K326" s="2" t="s">
        <v>3671</v>
      </c>
      <c r="L326" s="2" t="s">
        <v>3673</v>
      </c>
      <c r="O326" s="2" t="s">
        <v>1368</v>
      </c>
    </row>
    <row r="327" ht="15.75" customHeight="1">
      <c r="A327" s="2">
        <v>2014.0</v>
      </c>
      <c r="B327" s="2" t="s">
        <v>3573</v>
      </c>
      <c r="C327" s="2" t="s">
        <v>12129</v>
      </c>
      <c r="K327" s="2" t="s">
        <v>3574</v>
      </c>
      <c r="O327" s="2" t="s">
        <v>1368</v>
      </c>
    </row>
    <row r="328" ht="15.75" customHeight="1">
      <c r="A328" s="2">
        <v>2001.0</v>
      </c>
      <c r="B328" s="2" t="s">
        <v>3531</v>
      </c>
      <c r="C328" s="2" t="s">
        <v>12129</v>
      </c>
      <c r="K328" s="2" t="s">
        <v>3532</v>
      </c>
      <c r="L328" s="2" t="s">
        <v>3534</v>
      </c>
      <c r="O328" s="2" t="s">
        <v>2244</v>
      </c>
    </row>
    <row r="329" ht="15.75" customHeight="1">
      <c r="A329" s="2">
        <v>2001.0</v>
      </c>
      <c r="B329" s="2" t="s">
        <v>3566</v>
      </c>
      <c r="C329" s="2" t="s">
        <v>12129</v>
      </c>
      <c r="K329" s="2" t="s">
        <v>3567</v>
      </c>
      <c r="O329" s="2" t="s">
        <v>1368</v>
      </c>
    </row>
    <row r="330" ht="15.75" customHeight="1">
      <c r="A330" s="2">
        <v>2003.0</v>
      </c>
      <c r="B330" s="2" t="s">
        <v>3660</v>
      </c>
      <c r="C330" s="2" t="s">
        <v>12129</v>
      </c>
      <c r="K330" s="2" t="s">
        <v>3661</v>
      </c>
      <c r="L330" s="2" t="s">
        <v>3662</v>
      </c>
      <c r="O330" s="2" t="s">
        <v>1368</v>
      </c>
    </row>
    <row r="331" ht="15.75" customHeight="1">
      <c r="A331" s="2">
        <v>2012.0</v>
      </c>
      <c r="B331" s="2" t="s">
        <v>3441</v>
      </c>
      <c r="C331" s="2" t="s">
        <v>12129</v>
      </c>
      <c r="K331" s="2" t="s">
        <v>3442</v>
      </c>
      <c r="L331" s="2" t="s">
        <v>3443</v>
      </c>
      <c r="O331" s="2" t="s">
        <v>1368</v>
      </c>
    </row>
    <row r="332" ht="15.75" customHeight="1">
      <c r="A332" s="2">
        <v>2015.0</v>
      </c>
      <c r="B332" s="2" t="s">
        <v>3492</v>
      </c>
      <c r="C332" s="2" t="s">
        <v>12129</v>
      </c>
      <c r="K332" s="2" t="s">
        <v>3493</v>
      </c>
      <c r="L332" s="2" t="s">
        <v>3494</v>
      </c>
      <c r="O332" s="2" t="s">
        <v>3501</v>
      </c>
    </row>
    <row r="333" ht="15.75" customHeight="1">
      <c r="A333" s="2">
        <v>2004.0</v>
      </c>
      <c r="B333" s="2" t="s">
        <v>3586</v>
      </c>
      <c r="C333" s="2" t="s">
        <v>12129</v>
      </c>
      <c r="K333" s="2" t="s">
        <v>3587</v>
      </c>
      <c r="O333" s="2" t="s">
        <v>1368</v>
      </c>
    </row>
    <row r="334" ht="15.75" customHeight="1">
      <c r="A334" s="2">
        <v>1992.0</v>
      </c>
      <c r="B334" s="2" t="s">
        <v>3454</v>
      </c>
      <c r="C334" s="2" t="s">
        <v>12129</v>
      </c>
      <c r="K334" s="2" t="s">
        <v>3455</v>
      </c>
      <c r="L334" s="2" t="s">
        <v>3457</v>
      </c>
      <c r="O334" s="2" t="s">
        <v>1368</v>
      </c>
    </row>
    <row r="335" ht="15.75" customHeight="1">
      <c r="A335" s="2">
        <v>2000.0</v>
      </c>
      <c r="B335" s="2" t="s">
        <v>3384</v>
      </c>
      <c r="C335" s="2" t="s">
        <v>12129</v>
      </c>
      <c r="K335" s="2" t="s">
        <v>3385</v>
      </c>
      <c r="L335" s="2" t="s">
        <v>3387</v>
      </c>
      <c r="O335" s="2" t="s">
        <v>1368</v>
      </c>
    </row>
    <row r="336" ht="15.75" customHeight="1">
      <c r="A336" s="2">
        <v>2001.0</v>
      </c>
      <c r="B336" s="2" t="s">
        <v>3351</v>
      </c>
      <c r="C336" s="2" t="s">
        <v>12129</v>
      </c>
      <c r="K336" s="2" t="s">
        <v>3352</v>
      </c>
      <c r="O336" s="2" t="s">
        <v>1368</v>
      </c>
    </row>
    <row r="337" ht="15.75" customHeight="1">
      <c r="A337" s="2">
        <v>1964.0</v>
      </c>
      <c r="B337" s="2" t="s">
        <v>3656</v>
      </c>
      <c r="C337" s="2" t="s">
        <v>12129</v>
      </c>
      <c r="K337" s="2" t="s">
        <v>3657</v>
      </c>
      <c r="O337" s="2" t="s">
        <v>1368</v>
      </c>
    </row>
    <row r="338" ht="15.75" customHeight="1">
      <c r="A338" s="2">
        <v>2011.0</v>
      </c>
      <c r="B338" s="2" t="s">
        <v>3436</v>
      </c>
      <c r="C338" s="2" t="s">
        <v>12129</v>
      </c>
      <c r="K338" s="2" t="s">
        <v>3437</v>
      </c>
      <c r="O338" s="2" t="s">
        <v>1368</v>
      </c>
    </row>
    <row r="339" ht="15.75" customHeight="1">
      <c r="A339" s="2">
        <v>2009.0</v>
      </c>
      <c r="B339" s="2" t="s">
        <v>3696</v>
      </c>
      <c r="C339" s="2" t="s">
        <v>12129</v>
      </c>
      <c r="K339" s="2" t="s">
        <v>3697</v>
      </c>
      <c r="L339" s="2" t="s">
        <v>3698</v>
      </c>
      <c r="O339" s="2" t="s">
        <v>1368</v>
      </c>
    </row>
    <row r="340" ht="15.75" customHeight="1">
      <c r="A340" s="2">
        <v>2013.0</v>
      </c>
      <c r="B340" s="2" t="s">
        <v>3667</v>
      </c>
      <c r="C340" s="2" t="s">
        <v>12129</v>
      </c>
      <c r="K340" s="2" t="s">
        <v>3668</v>
      </c>
      <c r="O340" s="2" t="s">
        <v>1368</v>
      </c>
    </row>
    <row r="341" ht="15.75" customHeight="1">
      <c r="A341" s="2">
        <v>2004.0</v>
      </c>
      <c r="B341" s="2" t="s">
        <v>3576</v>
      </c>
      <c r="C341" s="2" t="s">
        <v>12129</v>
      </c>
      <c r="K341" s="2" t="s">
        <v>3577</v>
      </c>
      <c r="L341" s="2" t="s">
        <v>3580</v>
      </c>
      <c r="O341" s="2" t="s">
        <v>1368</v>
      </c>
    </row>
    <row r="342" ht="15.75" customHeight="1">
      <c r="A342" s="2">
        <v>2011.0</v>
      </c>
      <c r="B342" s="2" t="s">
        <v>3711</v>
      </c>
      <c r="C342" s="2" t="s">
        <v>12129</v>
      </c>
      <c r="K342" s="2" t="s">
        <v>3712</v>
      </c>
      <c r="L342" s="2" t="s">
        <v>3715</v>
      </c>
      <c r="O342" s="2" t="s">
        <v>1368</v>
      </c>
    </row>
    <row r="343" ht="15.75" customHeight="1">
      <c r="A343" s="2">
        <v>2013.0</v>
      </c>
      <c r="B343" s="2" t="s">
        <v>3703</v>
      </c>
      <c r="C343" s="2" t="s">
        <v>12129</v>
      </c>
      <c r="K343" s="2" t="s">
        <v>3704</v>
      </c>
      <c r="L343" s="2" t="s">
        <v>3707</v>
      </c>
      <c r="O343" s="2" t="s">
        <v>1368</v>
      </c>
    </row>
    <row r="344" ht="15.75" customHeight="1">
      <c r="A344" s="2">
        <v>1998.0</v>
      </c>
      <c r="B344" s="2" t="s">
        <v>3393</v>
      </c>
      <c r="C344" s="2" t="s">
        <v>12129</v>
      </c>
      <c r="K344" s="2" t="s">
        <v>3394</v>
      </c>
      <c r="L344" s="2" t="s">
        <v>3395</v>
      </c>
      <c r="O344" s="2" t="s">
        <v>1368</v>
      </c>
    </row>
    <row r="345" ht="15.75" customHeight="1">
      <c r="A345" s="2">
        <v>2010.0</v>
      </c>
      <c r="B345" s="2" t="s">
        <v>3687</v>
      </c>
      <c r="C345" s="2" t="s">
        <v>12129</v>
      </c>
      <c r="K345" s="2" t="s">
        <v>3688</v>
      </c>
      <c r="L345" s="2" t="s">
        <v>3691</v>
      </c>
      <c r="O345" s="2" t="s">
        <v>1368</v>
      </c>
    </row>
    <row r="346" ht="15.75" customHeight="1">
      <c r="A346" s="2">
        <v>2008.0</v>
      </c>
      <c r="B346" s="2" t="s">
        <v>3538</v>
      </c>
      <c r="C346" s="2" t="s">
        <v>12129</v>
      </c>
      <c r="K346" s="2" t="s">
        <v>3539</v>
      </c>
      <c r="L346" s="2" t="s">
        <v>3541</v>
      </c>
      <c r="O346" s="2" t="s">
        <v>3548</v>
      </c>
    </row>
    <row r="347" ht="15.75" customHeight="1">
      <c r="A347" s="2">
        <v>2012.0</v>
      </c>
      <c r="B347" s="2" t="s">
        <v>3480</v>
      </c>
      <c r="C347" s="2" t="s">
        <v>12129</v>
      </c>
      <c r="K347" s="2" t="s">
        <v>3481</v>
      </c>
      <c r="L347" s="2" t="s">
        <v>3482</v>
      </c>
      <c r="O347" s="2" t="s">
        <v>1885</v>
      </c>
    </row>
    <row r="348" ht="15.75" customHeight="1">
      <c r="A348" s="2">
        <v>2016.0</v>
      </c>
      <c r="B348" s="2" t="s">
        <v>3561</v>
      </c>
      <c r="C348" s="2" t="s">
        <v>12129</v>
      </c>
      <c r="K348" s="2" t="s">
        <v>3562</v>
      </c>
      <c r="O348" s="2" t="s">
        <v>1368</v>
      </c>
    </row>
    <row r="349" ht="15.75" customHeight="1">
      <c r="A349" s="2">
        <v>2010.0</v>
      </c>
      <c r="B349" s="2" t="s">
        <v>3448</v>
      </c>
      <c r="C349" s="2" t="s">
        <v>12129</v>
      </c>
      <c r="K349" s="2" t="s">
        <v>3449</v>
      </c>
      <c r="L349" s="2" t="s">
        <v>3450</v>
      </c>
      <c r="O349" s="2" t="s">
        <v>1368</v>
      </c>
    </row>
    <row r="350" ht="15.75" customHeight="1">
      <c r="A350" s="2">
        <v>2018.0</v>
      </c>
      <c r="B350" s="2" t="s">
        <v>3557</v>
      </c>
      <c r="C350" s="2" t="s">
        <v>12129</v>
      </c>
      <c r="K350" s="2" t="s">
        <v>3558</v>
      </c>
      <c r="O350" s="2" t="s">
        <v>1368</v>
      </c>
    </row>
    <row r="351" ht="15.75" customHeight="1">
      <c r="A351" s="2">
        <v>2009.0</v>
      </c>
      <c r="B351" s="2" t="s">
        <v>2345</v>
      </c>
      <c r="C351" s="2" t="s">
        <v>15399</v>
      </c>
      <c r="E351" s="2" t="s">
        <v>15399</v>
      </c>
      <c r="K351" s="2" t="s">
        <v>954</v>
      </c>
      <c r="L351" s="2" t="s">
        <v>956</v>
      </c>
      <c r="N351" s="2" t="s">
        <v>15399</v>
      </c>
      <c r="O351" s="2" t="s">
        <v>1368</v>
      </c>
    </row>
    <row r="352" ht="15.75" customHeight="1">
      <c r="A352" s="2">
        <v>2017.0</v>
      </c>
      <c r="B352" s="2" t="s">
        <v>1656</v>
      </c>
      <c r="C352" s="2" t="s">
        <v>12129</v>
      </c>
      <c r="K352" s="2" t="s">
        <v>1657</v>
      </c>
      <c r="O352" s="2" t="s">
        <v>1368</v>
      </c>
    </row>
    <row r="353" ht="15.75" customHeight="1">
      <c r="A353" s="2">
        <v>2001.0</v>
      </c>
      <c r="B353" s="2" t="s">
        <v>1681</v>
      </c>
      <c r="C353" s="2" t="s">
        <v>12129</v>
      </c>
      <c r="K353" s="2" t="s">
        <v>1682</v>
      </c>
      <c r="L353" s="2" t="s">
        <v>1683</v>
      </c>
      <c r="O353" s="2" t="s">
        <v>1368</v>
      </c>
    </row>
    <row r="354" ht="15.75" customHeight="1">
      <c r="A354" s="2">
        <v>2017.0</v>
      </c>
      <c r="B354" s="2" t="s">
        <v>1611</v>
      </c>
      <c r="C354" s="2" t="s">
        <v>12129</v>
      </c>
      <c r="K354" s="2" t="s">
        <v>1612</v>
      </c>
      <c r="L354" s="2" t="s">
        <v>1615</v>
      </c>
      <c r="O354" s="2" t="s">
        <v>1621</v>
      </c>
    </row>
    <row r="355" ht="15.75" customHeight="1">
      <c r="A355" s="2">
        <v>2010.0</v>
      </c>
      <c r="B355" s="2" t="s">
        <v>1660</v>
      </c>
      <c r="C355" s="2" t="s">
        <v>12129</v>
      </c>
      <c r="K355" s="2" t="s">
        <v>1661</v>
      </c>
      <c r="L355" s="2" t="s">
        <v>1664</v>
      </c>
      <c r="O355" s="2" t="s">
        <v>1368</v>
      </c>
    </row>
    <row r="356" ht="15.75" customHeight="1">
      <c r="A356" s="2">
        <v>2009.0</v>
      </c>
      <c r="B356" s="2" t="s">
        <v>1436</v>
      </c>
      <c r="C356" s="2" t="s">
        <v>12129</v>
      </c>
      <c r="K356" s="2" t="s">
        <v>1437</v>
      </c>
      <c r="L356" s="2" t="s">
        <v>1439</v>
      </c>
      <c r="O356" s="2" t="s">
        <v>1368</v>
      </c>
    </row>
    <row r="357" ht="15.75" customHeight="1">
      <c r="A357" s="2">
        <v>2002.0</v>
      </c>
      <c r="B357" s="2" t="s">
        <v>1490</v>
      </c>
      <c r="C357" s="2" t="s">
        <v>12129</v>
      </c>
      <c r="K357" s="2" t="s">
        <v>1491</v>
      </c>
      <c r="O357" s="2" t="s">
        <v>1368</v>
      </c>
    </row>
    <row r="358" ht="15.75" customHeight="1">
      <c r="A358" s="2">
        <v>2008.0</v>
      </c>
      <c r="B358" s="2" t="s">
        <v>1692</v>
      </c>
      <c r="C358" s="2" t="s">
        <v>12129</v>
      </c>
      <c r="K358" s="2" t="s">
        <v>1693</v>
      </c>
      <c r="L358" s="2" t="s">
        <v>1696</v>
      </c>
      <c r="O358" s="2" t="s">
        <v>1368</v>
      </c>
    </row>
    <row r="359" ht="15.75" customHeight="1">
      <c r="A359" s="2">
        <v>2018.0</v>
      </c>
      <c r="B359" s="2" t="s">
        <v>1508</v>
      </c>
      <c r="C359" s="2" t="s">
        <v>12129</v>
      </c>
      <c r="K359" s="2" t="s">
        <v>1509</v>
      </c>
      <c r="L359" s="2" t="s">
        <v>1512</v>
      </c>
      <c r="O359" s="2" t="s">
        <v>1368</v>
      </c>
    </row>
    <row r="360" ht="15.75" customHeight="1">
      <c r="A360" s="2">
        <v>2017.0</v>
      </c>
      <c r="B360" s="2" t="s">
        <v>1641</v>
      </c>
      <c r="C360" s="2" t="s">
        <v>12129</v>
      </c>
      <c r="K360" s="2" t="s">
        <v>1642</v>
      </c>
      <c r="L360" s="2" t="s">
        <v>1644</v>
      </c>
      <c r="O360" s="2" t="s">
        <v>1368</v>
      </c>
    </row>
    <row r="361" ht="15.75" customHeight="1">
      <c r="A361" s="2">
        <v>2008.0</v>
      </c>
      <c r="B361" s="2" t="s">
        <v>1518</v>
      </c>
      <c r="C361" s="2" t="s">
        <v>12129</v>
      </c>
      <c r="K361" s="2" t="s">
        <v>1519</v>
      </c>
      <c r="L361" s="2" t="s">
        <v>1521</v>
      </c>
      <c r="O361" s="2" t="s">
        <v>1368</v>
      </c>
    </row>
    <row r="362" ht="15.75" customHeight="1">
      <c r="A362" s="2">
        <v>2016.0</v>
      </c>
      <c r="B362" s="2" t="s">
        <v>7673</v>
      </c>
      <c r="C362" s="2" t="s">
        <v>15399</v>
      </c>
      <c r="E362" s="2" t="s">
        <v>15399</v>
      </c>
      <c r="K362" s="2" t="s">
        <v>7674</v>
      </c>
      <c r="L362" s="2" t="s">
        <v>167</v>
      </c>
      <c r="N362" s="2" t="s">
        <v>15399</v>
      </c>
      <c r="O362" s="2" t="s">
        <v>1368</v>
      </c>
    </row>
    <row r="363" ht="15.75" customHeight="1">
      <c r="A363" s="2">
        <v>2015.0</v>
      </c>
      <c r="B363" s="2" t="s">
        <v>1736</v>
      </c>
      <c r="C363" s="2" t="s">
        <v>12129</v>
      </c>
      <c r="K363" s="2" t="s">
        <v>1737</v>
      </c>
      <c r="L363" s="2" t="s">
        <v>1739</v>
      </c>
      <c r="O363" s="2" t="s">
        <v>1368</v>
      </c>
    </row>
    <row r="364" ht="15.75" customHeight="1">
      <c r="A364" s="2">
        <v>1999.0</v>
      </c>
      <c r="B364" s="2" t="s">
        <v>1729</v>
      </c>
      <c r="C364" s="2" t="s">
        <v>12129</v>
      </c>
      <c r="K364" s="2" t="s">
        <v>1730</v>
      </c>
      <c r="L364" s="2" t="s">
        <v>1733</v>
      </c>
      <c r="O364" s="2" t="s">
        <v>1368</v>
      </c>
    </row>
    <row r="365" ht="15.75" customHeight="1">
      <c r="A365" s="2">
        <v>2003.0</v>
      </c>
      <c r="B365" s="2" t="s">
        <v>1603</v>
      </c>
      <c r="C365" s="2" t="s">
        <v>12129</v>
      </c>
      <c r="K365" s="2" t="s">
        <v>1604</v>
      </c>
      <c r="O365" s="2" t="s">
        <v>1609</v>
      </c>
    </row>
    <row r="366" ht="15.75" customHeight="1">
      <c r="A366" s="2">
        <v>2006.0</v>
      </c>
      <c r="B366" s="2" t="s">
        <v>1721</v>
      </c>
      <c r="C366" s="2" t="s">
        <v>12129</v>
      </c>
      <c r="K366" s="2" t="s">
        <v>1722</v>
      </c>
      <c r="L366" s="2" t="s">
        <v>1725</v>
      </c>
      <c r="O366" s="2" t="s">
        <v>1368</v>
      </c>
    </row>
    <row r="367" ht="15.75" customHeight="1">
      <c r="A367" s="2">
        <v>2007.0</v>
      </c>
      <c r="B367" s="2" t="s">
        <v>1670</v>
      </c>
      <c r="C367" s="2" t="s">
        <v>12129</v>
      </c>
      <c r="K367" s="2" t="s">
        <v>1671</v>
      </c>
      <c r="L367" s="2" t="s">
        <v>1674</v>
      </c>
      <c r="O367" s="2" t="s">
        <v>1368</v>
      </c>
    </row>
    <row r="368" ht="15.75" customHeight="1">
      <c r="A368" s="2">
        <v>2002.0</v>
      </c>
      <c r="B368" s="2" t="s">
        <v>1749</v>
      </c>
      <c r="C368" s="2" t="s">
        <v>12129</v>
      </c>
      <c r="K368" s="2" t="s">
        <v>1750</v>
      </c>
      <c r="O368" s="2" t="s">
        <v>1368</v>
      </c>
    </row>
    <row r="369" ht="15.75" customHeight="1">
      <c r="A369" s="2">
        <v>2012.0</v>
      </c>
      <c r="B369" s="2" t="s">
        <v>1713</v>
      </c>
      <c r="C369" s="2" t="s">
        <v>12129</v>
      </c>
      <c r="K369" s="2" t="s">
        <v>1714</v>
      </c>
      <c r="L369" s="2" t="s">
        <v>1717</v>
      </c>
      <c r="O369" s="2" t="s">
        <v>1368</v>
      </c>
    </row>
    <row r="370" ht="15.75" customHeight="1">
      <c r="A370" s="2">
        <v>2014.0</v>
      </c>
      <c r="B370" s="2" t="s">
        <v>1526</v>
      </c>
      <c r="C370" s="2" t="s">
        <v>12129</v>
      </c>
      <c r="K370" s="2" t="s">
        <v>1527</v>
      </c>
      <c r="L370" s="2" t="s">
        <v>1530</v>
      </c>
      <c r="O370" s="2" t="s">
        <v>1542</v>
      </c>
    </row>
    <row r="371" ht="15.75" customHeight="1">
      <c r="A371" s="2">
        <v>1999.0</v>
      </c>
      <c r="B371" s="2" t="s">
        <v>1742</v>
      </c>
      <c r="C371" s="2" t="s">
        <v>12129</v>
      </c>
      <c r="K371" s="2" t="s">
        <v>1743</v>
      </c>
      <c r="L371" s="2" t="s">
        <v>1746</v>
      </c>
      <c r="O371" s="2" t="s">
        <v>1368</v>
      </c>
    </row>
    <row r="372" ht="15.75" customHeight="1">
      <c r="A372" s="2">
        <v>2014.0</v>
      </c>
      <c r="B372" s="2" t="s">
        <v>1472</v>
      </c>
      <c r="C372" s="2" t="s">
        <v>12129</v>
      </c>
      <c r="K372" s="2" t="s">
        <v>1473</v>
      </c>
      <c r="L372" s="2" t="s">
        <v>1475</v>
      </c>
      <c r="O372" s="2" t="s">
        <v>1368</v>
      </c>
    </row>
    <row r="373" ht="15.75" customHeight="1">
      <c r="A373" s="2">
        <v>2016.0</v>
      </c>
      <c r="B373" s="2" t="s">
        <v>1472</v>
      </c>
      <c r="C373" s="2" t="s">
        <v>12129</v>
      </c>
      <c r="K373" s="2" t="s">
        <v>1650</v>
      </c>
      <c r="O373" s="2" t="s">
        <v>1368</v>
      </c>
    </row>
    <row r="374" ht="15.75" customHeight="1">
      <c r="A374" s="2">
        <v>2015.0</v>
      </c>
      <c r="B374" s="2" t="s">
        <v>11577</v>
      </c>
      <c r="C374" s="2" t="s">
        <v>15399</v>
      </c>
      <c r="G374" s="2" t="s">
        <v>15399</v>
      </c>
      <c r="K374" s="2" t="s">
        <v>256</v>
      </c>
      <c r="L374" s="2" t="s">
        <v>259</v>
      </c>
      <c r="N374" s="2" t="s">
        <v>15399</v>
      </c>
      <c r="O374" s="2" t="s">
        <v>1368</v>
      </c>
    </row>
    <row r="375" ht="15.75" customHeight="1">
      <c r="A375" s="2">
        <v>2002.0</v>
      </c>
      <c r="B375" s="2" t="s">
        <v>1699</v>
      </c>
      <c r="C375" s="2" t="s">
        <v>12129</v>
      </c>
      <c r="K375" s="2" t="s">
        <v>1700</v>
      </c>
      <c r="L375" s="2" t="s">
        <v>1703</v>
      </c>
      <c r="O375" s="2" t="s">
        <v>1368</v>
      </c>
    </row>
    <row r="376" ht="15.75" customHeight="1">
      <c r="A376" s="2">
        <v>2013.0</v>
      </c>
      <c r="B376" s="2" t="s">
        <v>1585</v>
      </c>
      <c r="C376" s="2" t="s">
        <v>12129</v>
      </c>
      <c r="K376" s="2" t="s">
        <v>1586</v>
      </c>
      <c r="L376" s="2" t="s">
        <v>1589</v>
      </c>
      <c r="O376" s="2" t="s">
        <v>1368</v>
      </c>
    </row>
    <row r="377" ht="15.75" customHeight="1">
      <c r="A377" s="2">
        <v>2015.0</v>
      </c>
      <c r="B377" s="2" t="s">
        <v>5145</v>
      </c>
      <c r="C377" s="2" t="s">
        <v>15399</v>
      </c>
      <c r="G377" s="2" t="s">
        <v>15399</v>
      </c>
      <c r="K377" s="2" t="s">
        <v>291</v>
      </c>
      <c r="L377" s="2" t="s">
        <v>294</v>
      </c>
      <c r="N377" s="2" t="s">
        <v>15399</v>
      </c>
      <c r="O377" s="2" t="s">
        <v>1368</v>
      </c>
    </row>
    <row r="378" ht="15.75" customHeight="1">
      <c r="A378" s="2">
        <v>2008.0</v>
      </c>
      <c r="B378" s="2" t="s">
        <v>1787</v>
      </c>
      <c r="C378" s="2" t="s">
        <v>12129</v>
      </c>
      <c r="K378" s="2" t="s">
        <v>1788</v>
      </c>
      <c r="L378" s="2" t="s">
        <v>1791</v>
      </c>
      <c r="O378" s="2" t="s">
        <v>1368</v>
      </c>
    </row>
    <row r="379" ht="15.75" customHeight="1">
      <c r="A379" s="2">
        <v>2014.0</v>
      </c>
      <c r="B379" s="2" t="s">
        <v>1782</v>
      </c>
      <c r="C379" s="2" t="s">
        <v>12129</v>
      </c>
      <c r="K379" s="2" t="s">
        <v>1783</v>
      </c>
      <c r="O379" s="2" t="s">
        <v>1368</v>
      </c>
    </row>
    <row r="380" ht="15.75" customHeight="1">
      <c r="A380" s="2">
        <v>2016.0</v>
      </c>
      <c r="B380" s="2" t="s">
        <v>1498</v>
      </c>
      <c r="C380" s="2" t="s">
        <v>12129</v>
      </c>
      <c r="K380" s="2" t="s">
        <v>1499</v>
      </c>
      <c r="L380" s="2" t="s">
        <v>1501</v>
      </c>
      <c r="O380" s="2" t="s">
        <v>1368</v>
      </c>
    </row>
    <row r="381" ht="15.75" customHeight="1">
      <c r="A381" s="2">
        <v>1999.0</v>
      </c>
      <c r="B381" s="2" t="s">
        <v>1631</v>
      </c>
      <c r="C381" s="2" t="s">
        <v>12129</v>
      </c>
      <c r="K381" s="2" t="s">
        <v>1632</v>
      </c>
      <c r="L381" s="2" t="s">
        <v>1635</v>
      </c>
      <c r="O381" s="2" t="s">
        <v>1368</v>
      </c>
    </row>
    <row r="382" ht="15.75" customHeight="1">
      <c r="A382" s="2">
        <v>2016.0</v>
      </c>
      <c r="B382" s="2" t="s">
        <v>1753</v>
      </c>
      <c r="C382" s="2" t="s">
        <v>12129</v>
      </c>
      <c r="K382" s="2" t="s">
        <v>1754</v>
      </c>
      <c r="O382" s="2" t="s">
        <v>1368</v>
      </c>
    </row>
    <row r="383" ht="15.75" customHeight="1">
      <c r="A383" s="2">
        <v>2013.0</v>
      </c>
      <c r="B383" s="2" t="s">
        <v>1773</v>
      </c>
      <c r="C383" s="2" t="s">
        <v>12129</v>
      </c>
      <c r="K383" s="2" t="s">
        <v>1774</v>
      </c>
      <c r="L383" s="2" t="s">
        <v>1776</v>
      </c>
      <c r="O383" s="2" t="s">
        <v>1368</v>
      </c>
    </row>
    <row r="384" ht="15.75" customHeight="1">
      <c r="A384" s="2">
        <v>2010.0</v>
      </c>
      <c r="B384" s="2" t="s">
        <v>1464</v>
      </c>
      <c r="C384" s="2" t="s">
        <v>12129</v>
      </c>
      <c r="K384" s="2" t="s">
        <v>1465</v>
      </c>
      <c r="L384" s="2" t="s">
        <v>1467</v>
      </c>
      <c r="O384" s="2" t="s">
        <v>1368</v>
      </c>
    </row>
    <row r="385" ht="15.75" customHeight="1">
      <c r="A385" s="2">
        <v>2010.0</v>
      </c>
      <c r="B385" s="2" t="s">
        <v>1592</v>
      </c>
      <c r="C385" s="2" t="s">
        <v>12129</v>
      </c>
      <c r="K385" s="2" t="s">
        <v>1593</v>
      </c>
      <c r="L385" s="2" t="s">
        <v>1596</v>
      </c>
      <c r="O385" s="2" t="s">
        <v>1601</v>
      </c>
    </row>
    <row r="386" ht="15.75" customHeight="1">
      <c r="A386" s="2">
        <v>2014.0</v>
      </c>
      <c r="B386" s="2" t="s">
        <v>1482</v>
      </c>
      <c r="C386" s="2" t="s">
        <v>12129</v>
      </c>
      <c r="K386" s="2" t="s">
        <v>1483</v>
      </c>
      <c r="L386" s="2" t="s">
        <v>1485</v>
      </c>
      <c r="O386" s="2" t="s">
        <v>1368</v>
      </c>
    </row>
    <row r="387" ht="15.75" customHeight="1">
      <c r="A387" s="2">
        <v>2011.0</v>
      </c>
      <c r="B387" s="2" t="s">
        <v>1624</v>
      </c>
      <c r="C387" s="2" t="s">
        <v>12129</v>
      </c>
      <c r="K387" s="2" t="s">
        <v>1625</v>
      </c>
      <c r="O387" s="2" t="s">
        <v>1368</v>
      </c>
    </row>
    <row r="388" ht="15.75" customHeight="1">
      <c r="A388" s="2">
        <v>2014.0</v>
      </c>
      <c r="B388" s="2" t="s">
        <v>1767</v>
      </c>
      <c r="C388" s="2" t="s">
        <v>12129</v>
      </c>
      <c r="K388" s="2" t="s">
        <v>1768</v>
      </c>
      <c r="O388" s="2" t="s">
        <v>1368</v>
      </c>
    </row>
    <row r="389" ht="15.75" customHeight="1">
      <c r="A389" s="2">
        <v>2018.0</v>
      </c>
      <c r="B389" s="2" t="s">
        <v>1758</v>
      </c>
      <c r="C389" s="2" t="s">
        <v>12129</v>
      </c>
      <c r="K389" s="2" t="s">
        <v>1759</v>
      </c>
      <c r="L389" s="2" t="s">
        <v>1762</v>
      </c>
      <c r="O389" s="2" t="s">
        <v>1368</v>
      </c>
    </row>
    <row r="390" ht="15.75" customHeight="1">
      <c r="A390" s="2">
        <v>2010.0</v>
      </c>
      <c r="B390" s="2" t="s">
        <v>1829</v>
      </c>
      <c r="C390" s="2" t="s">
        <v>12129</v>
      </c>
      <c r="K390" s="2" t="s">
        <v>1830</v>
      </c>
      <c r="L390" s="2" t="s">
        <v>1833</v>
      </c>
      <c r="O390" s="2" t="s">
        <v>1368</v>
      </c>
    </row>
    <row r="391" ht="15.75" customHeight="1">
      <c r="A391" s="2">
        <v>2010.0</v>
      </c>
      <c r="B391" s="2" t="s">
        <v>1445</v>
      </c>
      <c r="C391" s="2" t="s">
        <v>12129</v>
      </c>
      <c r="K391" s="2" t="s">
        <v>1446</v>
      </c>
      <c r="L391" s="2" t="s">
        <v>1448</v>
      </c>
      <c r="O391" s="2" t="s">
        <v>1368</v>
      </c>
    </row>
    <row r="392" ht="15.75" customHeight="1">
      <c r="A392" s="2">
        <v>2011.0</v>
      </c>
      <c r="B392" s="2" t="s">
        <v>1811</v>
      </c>
      <c r="C392" s="2" t="s">
        <v>12129</v>
      </c>
      <c r="K392" s="2" t="s">
        <v>1812</v>
      </c>
      <c r="L392" s="2" t="s">
        <v>1813</v>
      </c>
      <c r="O392" s="2" t="s">
        <v>1368</v>
      </c>
    </row>
    <row r="393" ht="15.75" customHeight="1">
      <c r="A393" s="2">
        <v>2009.0</v>
      </c>
      <c r="B393" s="2" t="s">
        <v>1823</v>
      </c>
      <c r="C393" s="2" t="s">
        <v>12129</v>
      </c>
      <c r="K393" s="2" t="s">
        <v>1824</v>
      </c>
      <c r="L393" s="2" t="s">
        <v>1826</v>
      </c>
      <c r="O393" s="2" t="s">
        <v>1368</v>
      </c>
    </row>
    <row r="394" ht="15.75" customHeight="1">
      <c r="A394" s="2">
        <v>2007.0</v>
      </c>
      <c r="B394" s="2" t="s">
        <v>6883</v>
      </c>
      <c r="C394" s="2" t="s">
        <v>15399</v>
      </c>
      <c r="E394" s="2" t="s">
        <v>15399</v>
      </c>
      <c r="K394" s="2" t="s">
        <v>1042</v>
      </c>
      <c r="L394" s="2" t="s">
        <v>1045</v>
      </c>
      <c r="N394" s="2" t="s">
        <v>15399</v>
      </c>
      <c r="O394" s="2" t="s">
        <v>1368</v>
      </c>
    </row>
    <row r="395" ht="15.75" customHeight="1">
      <c r="A395" s="2">
        <v>2013.0</v>
      </c>
      <c r="B395" s="2" t="s">
        <v>1558</v>
      </c>
      <c r="C395" s="2" t="s">
        <v>12129</v>
      </c>
      <c r="K395" s="2" t="s">
        <v>1559</v>
      </c>
      <c r="O395" s="2" t="s">
        <v>1566</v>
      </c>
    </row>
    <row r="396" ht="15.75" customHeight="1">
      <c r="A396" s="2">
        <v>1985.0</v>
      </c>
      <c r="B396" s="2" t="s">
        <v>1816</v>
      </c>
      <c r="C396" s="2" t="s">
        <v>12129</v>
      </c>
      <c r="K396" s="2" t="s">
        <v>1817</v>
      </c>
      <c r="O396" s="2" t="s">
        <v>1368</v>
      </c>
    </row>
    <row r="397" ht="15.75" customHeight="1">
      <c r="A397" s="2">
        <v>2008.0</v>
      </c>
      <c r="B397" s="2" t="s">
        <v>1455</v>
      </c>
      <c r="C397" s="2" t="s">
        <v>12129</v>
      </c>
      <c r="K397" s="2" t="s">
        <v>1456</v>
      </c>
      <c r="O397" s="2" t="s">
        <v>1368</v>
      </c>
    </row>
    <row r="398" ht="15.75" customHeight="1">
      <c r="A398" s="2">
        <v>2015.0</v>
      </c>
      <c r="B398" s="2" t="s">
        <v>1576</v>
      </c>
      <c r="C398" s="2" t="s">
        <v>12129</v>
      </c>
      <c r="K398" s="2" t="s">
        <v>1577</v>
      </c>
      <c r="L398" s="2" t="s">
        <v>1580</v>
      </c>
      <c r="O398" s="2" t="s">
        <v>1368</v>
      </c>
    </row>
    <row r="399" ht="15.75" customHeight="1">
      <c r="A399" s="2">
        <v>2013.0</v>
      </c>
      <c r="B399" s="2" t="s">
        <v>1806</v>
      </c>
      <c r="C399" s="2" t="s">
        <v>12129</v>
      </c>
      <c r="K399" s="2" t="s">
        <v>1807</v>
      </c>
      <c r="O399" s="2" t="s">
        <v>1368</v>
      </c>
    </row>
    <row r="400" ht="15.75" customHeight="1">
      <c r="A400" s="2">
        <v>1997.0</v>
      </c>
      <c r="B400" s="2" t="s">
        <v>1800</v>
      </c>
      <c r="C400" s="2" t="s">
        <v>12129</v>
      </c>
      <c r="K400" s="2" t="s">
        <v>1801</v>
      </c>
      <c r="O400" s="2" t="s">
        <v>1368</v>
      </c>
    </row>
    <row r="401" ht="15.75" customHeight="1">
      <c r="A401" s="2">
        <v>2008.0</v>
      </c>
      <c r="B401" s="2" t="s">
        <v>1544</v>
      </c>
      <c r="C401" s="2" t="s">
        <v>12129</v>
      </c>
      <c r="K401" s="2" t="s">
        <v>1545</v>
      </c>
      <c r="L401" s="2" t="s">
        <v>1547</v>
      </c>
      <c r="O401" s="2" t="s">
        <v>1556</v>
      </c>
    </row>
    <row r="402" ht="15.75" customHeight="1">
      <c r="A402" s="2">
        <v>2015.0</v>
      </c>
      <c r="B402" s="2" t="s">
        <v>11926</v>
      </c>
      <c r="C402" s="2" t="s">
        <v>12129</v>
      </c>
      <c r="K402" s="2" t="s">
        <v>11927</v>
      </c>
      <c r="L402" s="2" t="s">
        <v>11928</v>
      </c>
      <c r="O402" s="2" t="s">
        <v>2188</v>
      </c>
    </row>
    <row r="403" ht="15.75" customHeight="1">
      <c r="A403" s="2">
        <v>2017.0</v>
      </c>
      <c r="B403" s="2" t="s">
        <v>12003</v>
      </c>
      <c r="C403" s="2" t="s">
        <v>12129</v>
      </c>
      <c r="K403" s="2" t="s">
        <v>12004</v>
      </c>
      <c r="O403" s="2" t="s">
        <v>1368</v>
      </c>
    </row>
    <row r="404" ht="15.75" customHeight="1">
      <c r="A404" s="2">
        <v>2003.0</v>
      </c>
      <c r="B404" s="2" t="s">
        <v>11905</v>
      </c>
      <c r="C404" s="2" t="s">
        <v>12129</v>
      </c>
      <c r="K404" s="2" t="s">
        <v>11906</v>
      </c>
      <c r="L404" s="2" t="s">
        <v>11907</v>
      </c>
      <c r="O404" s="2" t="s">
        <v>1872</v>
      </c>
    </row>
    <row r="405" ht="15.75" customHeight="1">
      <c r="A405" s="2">
        <v>2013.0</v>
      </c>
      <c r="B405" s="2" t="s">
        <v>11833</v>
      </c>
      <c r="C405" s="2" t="s">
        <v>12129</v>
      </c>
      <c r="K405" s="2" t="s">
        <v>11834</v>
      </c>
      <c r="L405" s="2" t="s">
        <v>11836</v>
      </c>
      <c r="O405" s="2" t="s">
        <v>1368</v>
      </c>
    </row>
    <row r="406" ht="15.75" customHeight="1">
      <c r="A406" s="2">
        <v>2012.0</v>
      </c>
      <c r="B406" s="2" t="s">
        <v>12022</v>
      </c>
      <c r="C406" s="2" t="s">
        <v>12129</v>
      </c>
      <c r="K406" s="2" t="s">
        <v>12023</v>
      </c>
      <c r="O406" s="2" t="s">
        <v>1368</v>
      </c>
    </row>
    <row r="407" ht="15.75" customHeight="1">
      <c r="A407" s="2">
        <v>2010.0</v>
      </c>
      <c r="B407" s="2" t="s">
        <v>12041</v>
      </c>
      <c r="C407" s="2" t="s">
        <v>12129</v>
      </c>
      <c r="K407" s="2" t="s">
        <v>12042</v>
      </c>
      <c r="L407" s="2" t="s">
        <v>12043</v>
      </c>
      <c r="O407" s="2" t="s">
        <v>1368</v>
      </c>
    </row>
    <row r="408" ht="15.75" customHeight="1">
      <c r="A408" s="2">
        <v>2012.0</v>
      </c>
      <c r="B408" s="2" t="s">
        <v>12016</v>
      </c>
      <c r="C408" s="2" t="s">
        <v>12129</v>
      </c>
      <c r="K408" s="2" t="s">
        <v>12017</v>
      </c>
      <c r="O408" s="2" t="s">
        <v>1368</v>
      </c>
    </row>
    <row r="409" ht="15.75" customHeight="1">
      <c r="A409" s="2">
        <v>2012.0</v>
      </c>
      <c r="B409" s="2" t="s">
        <v>10615</v>
      </c>
      <c r="C409" s="2" t="s">
        <v>15399</v>
      </c>
      <c r="E409" s="2" t="s">
        <v>15399</v>
      </c>
      <c r="K409" s="2" t="s">
        <v>675</v>
      </c>
      <c r="L409" s="2" t="s">
        <v>678</v>
      </c>
      <c r="N409" s="2" t="s">
        <v>15399</v>
      </c>
      <c r="O409" s="2" t="s">
        <v>1368</v>
      </c>
    </row>
    <row r="410" ht="15.75" customHeight="1">
      <c r="A410" s="2">
        <v>2008.0</v>
      </c>
      <c r="B410" s="2" t="s">
        <v>11755</v>
      </c>
      <c r="C410" s="2" t="s">
        <v>12129</v>
      </c>
      <c r="K410" s="2" t="s">
        <v>11756</v>
      </c>
      <c r="L410" s="2" t="s">
        <v>11757</v>
      </c>
      <c r="O410" s="2" t="s">
        <v>1368</v>
      </c>
    </row>
    <row r="411" ht="15.75" customHeight="1">
      <c r="A411" s="2">
        <v>1999.0</v>
      </c>
      <c r="B411" s="2" t="s">
        <v>12013</v>
      </c>
      <c r="C411" s="2" t="s">
        <v>12129</v>
      </c>
      <c r="K411" s="2" t="s">
        <v>12014</v>
      </c>
      <c r="O411" s="2" t="s">
        <v>1368</v>
      </c>
    </row>
    <row r="412" ht="15.75" customHeight="1">
      <c r="A412" s="2">
        <v>2010.0</v>
      </c>
      <c r="B412" s="2" t="s">
        <v>6139</v>
      </c>
      <c r="C412" s="2" t="s">
        <v>15399</v>
      </c>
      <c r="G412" s="2" t="s">
        <v>15399</v>
      </c>
      <c r="K412" s="2" t="s">
        <v>802</v>
      </c>
      <c r="L412" s="2" t="s">
        <v>804</v>
      </c>
      <c r="N412" s="2" t="s">
        <v>15399</v>
      </c>
      <c r="O412" s="2" t="s">
        <v>1368</v>
      </c>
    </row>
    <row r="413" ht="15.75" customHeight="1">
      <c r="A413" s="2">
        <v>2000.0</v>
      </c>
      <c r="B413" s="2" t="s">
        <v>12030</v>
      </c>
      <c r="C413" s="2" t="s">
        <v>12129</v>
      </c>
      <c r="K413" s="2" t="s">
        <v>12031</v>
      </c>
      <c r="L413" s="2" t="s">
        <v>12034</v>
      </c>
      <c r="O413" s="2" t="s">
        <v>1368</v>
      </c>
    </row>
    <row r="414" ht="15.75" customHeight="1">
      <c r="A414" s="2">
        <v>2014.0</v>
      </c>
      <c r="B414" s="2" t="s">
        <v>4405</v>
      </c>
      <c r="C414" s="2" t="s">
        <v>15399</v>
      </c>
      <c r="E414" s="2" t="s">
        <v>15399</v>
      </c>
      <c r="K414" s="2" t="s">
        <v>528</v>
      </c>
      <c r="L414" s="2" t="s">
        <v>530</v>
      </c>
      <c r="N414" s="2" t="s">
        <v>15399</v>
      </c>
      <c r="O414" s="2" t="s">
        <v>1368</v>
      </c>
    </row>
    <row r="415" ht="15.75" customHeight="1">
      <c r="A415" s="2">
        <v>2011.0</v>
      </c>
      <c r="B415" s="2" t="s">
        <v>12007</v>
      </c>
      <c r="C415" s="2" t="s">
        <v>12129</v>
      </c>
      <c r="K415" s="2" t="s">
        <v>12008</v>
      </c>
      <c r="L415" s="2" t="s">
        <v>12009</v>
      </c>
      <c r="O415" s="2" t="s">
        <v>1368</v>
      </c>
    </row>
    <row r="416" ht="15.75" customHeight="1">
      <c r="A416" s="2">
        <v>2010.0</v>
      </c>
      <c r="B416" s="2" t="s">
        <v>11769</v>
      </c>
      <c r="C416" s="2" t="s">
        <v>12129</v>
      </c>
      <c r="K416" s="2" t="s">
        <v>11770</v>
      </c>
      <c r="O416" s="2" t="s">
        <v>1368</v>
      </c>
    </row>
    <row r="417" ht="15.75" customHeight="1">
      <c r="A417" s="2">
        <v>2012.0</v>
      </c>
      <c r="B417" s="2" t="s">
        <v>11769</v>
      </c>
      <c r="C417" s="2" t="s">
        <v>12129</v>
      </c>
      <c r="K417" s="2" t="s">
        <v>12063</v>
      </c>
      <c r="O417" s="2" t="s">
        <v>1368</v>
      </c>
    </row>
    <row r="418" ht="15.75" customHeight="1">
      <c r="A418" s="2">
        <v>2006.0</v>
      </c>
      <c r="B418" s="2" t="s">
        <v>11854</v>
      </c>
      <c r="C418" s="2" t="s">
        <v>12129</v>
      </c>
      <c r="K418" s="2" t="s">
        <v>11855</v>
      </c>
      <c r="O418" s="2" t="s">
        <v>1368</v>
      </c>
    </row>
    <row r="419" ht="15.75" customHeight="1">
      <c r="A419" s="2">
        <v>2004.0</v>
      </c>
      <c r="B419" s="2" t="s">
        <v>12058</v>
      </c>
      <c r="C419" s="2" t="s">
        <v>12129</v>
      </c>
      <c r="K419" s="2" t="s">
        <v>12059</v>
      </c>
      <c r="L419" s="2" t="s">
        <v>12060</v>
      </c>
      <c r="O419" s="2" t="s">
        <v>1368</v>
      </c>
    </row>
    <row r="420" ht="15.75" customHeight="1">
      <c r="A420" s="2">
        <v>2010.0</v>
      </c>
      <c r="B420" s="2" t="s">
        <v>11960</v>
      </c>
      <c r="C420" s="2" t="s">
        <v>12129</v>
      </c>
      <c r="K420" s="2" t="s">
        <v>11961</v>
      </c>
      <c r="L420" s="2" t="s">
        <v>11964</v>
      </c>
      <c r="O420" s="2" t="s">
        <v>1368</v>
      </c>
    </row>
    <row r="421" ht="15.75" customHeight="1">
      <c r="A421" s="2">
        <v>1957.0</v>
      </c>
      <c r="B421" s="2" t="s">
        <v>11841</v>
      </c>
      <c r="C421" s="2" t="s">
        <v>12129</v>
      </c>
      <c r="K421" s="2" t="s">
        <v>11842</v>
      </c>
      <c r="L421" s="2" t="s">
        <v>11843</v>
      </c>
      <c r="O421" s="2" t="s">
        <v>1368</v>
      </c>
    </row>
    <row r="422" ht="15.75" customHeight="1">
      <c r="A422" s="2">
        <v>2007.0</v>
      </c>
      <c r="B422" s="2" t="s">
        <v>11970</v>
      </c>
      <c r="C422" s="2" t="s">
        <v>12129</v>
      </c>
      <c r="K422" s="2" t="s">
        <v>11971</v>
      </c>
      <c r="O422" s="2" t="s">
        <v>1368</v>
      </c>
    </row>
    <row r="423" ht="15.75" customHeight="1">
      <c r="A423" s="2">
        <v>2006.0</v>
      </c>
      <c r="B423" s="2" t="s">
        <v>11860</v>
      </c>
      <c r="C423" s="2" t="s">
        <v>12129</v>
      </c>
      <c r="K423" s="2" t="s">
        <v>11861</v>
      </c>
      <c r="L423" s="2" t="s">
        <v>11862</v>
      </c>
      <c r="O423" s="2" t="s">
        <v>1368</v>
      </c>
    </row>
    <row r="424" ht="15.75" customHeight="1">
      <c r="A424" s="2">
        <v>1991.0</v>
      </c>
      <c r="B424" s="2" t="s">
        <v>12054</v>
      </c>
      <c r="C424" s="2" t="s">
        <v>12129</v>
      </c>
      <c r="K424" s="2" t="s">
        <v>12055</v>
      </c>
      <c r="O424" s="2" t="s">
        <v>1368</v>
      </c>
    </row>
    <row r="425" ht="15.75" customHeight="1">
      <c r="A425" s="2">
        <v>2015.0</v>
      </c>
      <c r="B425" s="2" t="s">
        <v>6935</v>
      </c>
      <c r="C425" s="2" t="s">
        <v>15399</v>
      </c>
      <c r="F425" s="2" t="s">
        <v>15399</v>
      </c>
      <c r="K425" s="2" t="s">
        <v>433</v>
      </c>
      <c r="L425" s="2" t="s">
        <v>435</v>
      </c>
      <c r="N425" s="2" t="s">
        <v>15399</v>
      </c>
      <c r="O425" s="2" t="s">
        <v>1368</v>
      </c>
    </row>
    <row r="426" ht="15.75" customHeight="1">
      <c r="A426" s="2">
        <v>2004.0</v>
      </c>
      <c r="B426" s="2" t="s">
        <v>12048</v>
      </c>
      <c r="C426" s="2" t="s">
        <v>12129</v>
      </c>
      <c r="K426" s="2" t="s">
        <v>12049</v>
      </c>
      <c r="L426" s="2" t="s">
        <v>12050</v>
      </c>
      <c r="O426" s="2" t="s">
        <v>1368</v>
      </c>
    </row>
    <row r="427" ht="15.75" customHeight="1">
      <c r="A427" s="2">
        <v>2018.0</v>
      </c>
      <c r="B427" s="2" t="s">
        <v>11762</v>
      </c>
      <c r="C427" s="2" t="s">
        <v>12129</v>
      </c>
      <c r="K427" s="2" t="s">
        <v>11763</v>
      </c>
      <c r="L427" s="2" t="s">
        <v>11764</v>
      </c>
      <c r="O427" s="2" t="s">
        <v>1368</v>
      </c>
    </row>
    <row r="428" ht="15.75" customHeight="1">
      <c r="A428" s="2">
        <v>2008.0</v>
      </c>
      <c r="B428" s="2" t="s">
        <v>11977</v>
      </c>
      <c r="C428" s="2" t="s">
        <v>12129</v>
      </c>
      <c r="K428" s="2" t="s">
        <v>11978</v>
      </c>
      <c r="O428" s="2" t="s">
        <v>1368</v>
      </c>
    </row>
    <row r="429" ht="15.75" customHeight="1">
      <c r="A429" s="2">
        <v>2013.0</v>
      </c>
      <c r="B429" s="2" t="s">
        <v>11819</v>
      </c>
      <c r="C429" s="2" t="s">
        <v>12129</v>
      </c>
      <c r="K429" s="2" t="s">
        <v>11820</v>
      </c>
      <c r="L429" s="2" t="s">
        <v>11821</v>
      </c>
      <c r="O429" s="2" t="s">
        <v>1368</v>
      </c>
    </row>
    <row r="430" ht="15.75" customHeight="1">
      <c r="A430" s="2">
        <v>2009.0</v>
      </c>
      <c r="B430" s="2" t="s">
        <v>11811</v>
      </c>
      <c r="C430" s="2" t="s">
        <v>12129</v>
      </c>
      <c r="K430" s="2" t="s">
        <v>11812</v>
      </c>
      <c r="O430" s="2" t="s">
        <v>1368</v>
      </c>
    </row>
    <row r="431" ht="15.75" customHeight="1">
      <c r="A431" s="2">
        <v>2013.0</v>
      </c>
      <c r="B431" s="2" t="s">
        <v>12072</v>
      </c>
      <c r="C431" s="2" t="s">
        <v>12129</v>
      </c>
      <c r="K431" s="2" t="s">
        <v>12073</v>
      </c>
      <c r="O431" s="2" t="s">
        <v>1368</v>
      </c>
    </row>
    <row r="432" ht="15.75" customHeight="1">
      <c r="A432" s="2">
        <v>1978.0</v>
      </c>
      <c r="B432" s="2" t="s">
        <v>11789</v>
      </c>
      <c r="C432" s="2" t="s">
        <v>12129</v>
      </c>
      <c r="K432" s="2" t="s">
        <v>11790</v>
      </c>
      <c r="L432" s="2" t="s">
        <v>11792</v>
      </c>
      <c r="O432" s="2" t="s">
        <v>1368</v>
      </c>
    </row>
    <row r="433" ht="15.75" customHeight="1">
      <c r="A433" s="2">
        <v>2002.0</v>
      </c>
      <c r="B433" s="2" t="s">
        <v>12068</v>
      </c>
      <c r="C433" s="2" t="s">
        <v>12129</v>
      </c>
      <c r="K433" s="2" t="s">
        <v>12069</v>
      </c>
      <c r="O433" s="2" t="s">
        <v>1368</v>
      </c>
    </row>
    <row r="434" ht="15.75" customHeight="1">
      <c r="A434" s="2">
        <v>2005.0</v>
      </c>
      <c r="B434" s="2" t="s">
        <v>11804</v>
      </c>
      <c r="C434" s="2" t="s">
        <v>12129</v>
      </c>
      <c r="K434" s="2" t="s">
        <v>11805</v>
      </c>
      <c r="O434" s="2" t="s">
        <v>1368</v>
      </c>
    </row>
    <row r="435" ht="15.75" customHeight="1">
      <c r="A435" s="2">
        <v>1999.0</v>
      </c>
      <c r="B435" s="2" t="s">
        <v>11989</v>
      </c>
      <c r="C435" s="2" t="s">
        <v>12129</v>
      </c>
      <c r="K435" s="2" t="s">
        <v>11990</v>
      </c>
      <c r="O435" s="2" t="s">
        <v>1368</v>
      </c>
    </row>
    <row r="436" ht="15.75" customHeight="1">
      <c r="A436" s="2">
        <v>2017.0</v>
      </c>
      <c r="B436" s="2" t="s">
        <v>11667</v>
      </c>
      <c r="C436" s="2" t="s">
        <v>15399</v>
      </c>
      <c r="G436" s="2" t="s">
        <v>15399</v>
      </c>
      <c r="K436" s="2" t="s">
        <v>60</v>
      </c>
      <c r="L436" s="2" t="s">
        <v>63</v>
      </c>
      <c r="N436" s="2" t="s">
        <v>15399</v>
      </c>
      <c r="O436" s="2" t="s">
        <v>1368</v>
      </c>
    </row>
    <row r="437" ht="15.75" customHeight="1">
      <c r="A437" s="2">
        <v>2003.0</v>
      </c>
      <c r="B437" s="2" t="s">
        <v>11998</v>
      </c>
      <c r="C437" s="2" t="s">
        <v>12129</v>
      </c>
      <c r="K437" s="2" t="s">
        <v>11999</v>
      </c>
      <c r="O437" s="2" t="s">
        <v>1368</v>
      </c>
    </row>
    <row r="438" ht="15.75" customHeight="1">
      <c r="A438" s="2">
        <v>2009.0</v>
      </c>
      <c r="B438" s="2" t="s">
        <v>11876</v>
      </c>
      <c r="C438" s="2" t="s">
        <v>12129</v>
      </c>
      <c r="K438" s="2" t="s">
        <v>11877</v>
      </c>
      <c r="L438" s="2" t="s">
        <v>11878</v>
      </c>
      <c r="O438" s="2" t="s">
        <v>1872</v>
      </c>
    </row>
    <row r="439" ht="15.75" customHeight="1">
      <c r="A439" s="2">
        <v>2017.0</v>
      </c>
      <c r="B439" s="2" t="s">
        <v>11982</v>
      </c>
      <c r="C439" s="2" t="s">
        <v>12129</v>
      </c>
      <c r="K439" s="2" t="s">
        <v>11983</v>
      </c>
      <c r="O439" s="2" t="s">
        <v>1368</v>
      </c>
    </row>
    <row r="440" ht="15.75" customHeight="1">
      <c r="A440" s="2">
        <v>2009.0</v>
      </c>
      <c r="B440" s="2" t="s">
        <v>11916</v>
      </c>
      <c r="C440" s="2" t="s">
        <v>12129</v>
      </c>
      <c r="K440" s="2" t="s">
        <v>11917</v>
      </c>
      <c r="L440" s="2" t="s">
        <v>11918</v>
      </c>
      <c r="O440" s="2" t="s">
        <v>1872</v>
      </c>
    </row>
    <row r="441" ht="15.75" customHeight="1">
      <c r="A441" s="2">
        <v>2010.0</v>
      </c>
      <c r="B441" s="2" t="s">
        <v>11992</v>
      </c>
      <c r="C441" s="2" t="s">
        <v>12129</v>
      </c>
      <c r="K441" s="2" t="s">
        <v>11993</v>
      </c>
      <c r="L441" s="2" t="s">
        <v>11994</v>
      </c>
      <c r="O441" s="2" t="s">
        <v>1368</v>
      </c>
    </row>
    <row r="442" ht="15.75" customHeight="1">
      <c r="A442" s="2">
        <v>2014.0</v>
      </c>
      <c r="B442" s="2" t="s">
        <v>11797</v>
      </c>
      <c r="C442" s="2" t="s">
        <v>12129</v>
      </c>
      <c r="K442" s="2" t="s">
        <v>11798</v>
      </c>
      <c r="L442" s="2" t="s">
        <v>11799</v>
      </c>
      <c r="O442" s="2" t="s">
        <v>1368</v>
      </c>
    </row>
    <row r="443" ht="15.75" customHeight="1">
      <c r="A443" s="2">
        <v>2014.0</v>
      </c>
      <c r="B443" s="2" t="s">
        <v>11949</v>
      </c>
      <c r="C443" s="2" t="s">
        <v>15399</v>
      </c>
      <c r="G443" s="2" t="s">
        <v>15399</v>
      </c>
      <c r="J443" s="2" t="s">
        <v>15399</v>
      </c>
      <c r="K443" s="2" t="s">
        <v>11950</v>
      </c>
      <c r="O443" s="2" t="s">
        <v>1368</v>
      </c>
    </row>
    <row r="444" ht="15.75" customHeight="1">
      <c r="A444" s="2">
        <v>1999.0</v>
      </c>
      <c r="B444" s="2" t="s">
        <v>11826</v>
      </c>
      <c r="C444" s="2" t="s">
        <v>12129</v>
      </c>
      <c r="K444" s="2" t="s">
        <v>11827</v>
      </c>
      <c r="L444" s="2" t="s">
        <v>11828</v>
      </c>
      <c r="O444" s="2" t="s">
        <v>1368</v>
      </c>
    </row>
    <row r="445" ht="15.75" customHeight="1">
      <c r="A445" s="2">
        <v>2012.0</v>
      </c>
      <c r="B445" s="2" t="s">
        <v>11782</v>
      </c>
      <c r="C445" s="2" t="s">
        <v>12129</v>
      </c>
      <c r="K445" s="2" t="s">
        <v>11783</v>
      </c>
      <c r="L445" s="2" t="s">
        <v>11784</v>
      </c>
      <c r="O445" s="2" t="s">
        <v>1368</v>
      </c>
    </row>
    <row r="446" ht="15.75" customHeight="1">
      <c r="A446" s="2">
        <v>2014.0</v>
      </c>
      <c r="B446" s="2" t="s">
        <v>11886</v>
      </c>
      <c r="C446" s="2" t="s">
        <v>12129</v>
      </c>
      <c r="K446" s="2" t="s">
        <v>11887</v>
      </c>
      <c r="L446" s="2" t="s">
        <v>11888</v>
      </c>
      <c r="O446" s="2" t="s">
        <v>1885</v>
      </c>
    </row>
    <row r="447" ht="15.75" customHeight="1">
      <c r="A447" s="2">
        <v>2018.0</v>
      </c>
      <c r="B447" s="2" t="s">
        <v>11932</v>
      </c>
      <c r="C447" s="2" t="s">
        <v>12129</v>
      </c>
      <c r="K447" s="2" t="s">
        <v>11933</v>
      </c>
      <c r="L447" s="2" t="s">
        <v>11934</v>
      </c>
      <c r="O447" s="2" t="s">
        <v>1885</v>
      </c>
    </row>
    <row r="448" ht="15.75" customHeight="1">
      <c r="A448" s="2">
        <v>2009.0</v>
      </c>
      <c r="B448" s="2" t="s">
        <v>11867</v>
      </c>
      <c r="C448" s="2" t="s">
        <v>12129</v>
      </c>
      <c r="K448" s="2" t="s">
        <v>11868</v>
      </c>
      <c r="O448" s="2" t="s">
        <v>11874</v>
      </c>
    </row>
    <row r="449" ht="15.75" customHeight="1">
      <c r="A449" s="2">
        <v>2014.0</v>
      </c>
      <c r="B449" s="2" t="s">
        <v>11942</v>
      </c>
      <c r="C449" s="2" t="s">
        <v>12129</v>
      </c>
      <c r="K449" s="2" t="s">
        <v>11943</v>
      </c>
      <c r="O449" s="2" t="s">
        <v>1368</v>
      </c>
    </row>
    <row r="450" ht="15.75" customHeight="1">
      <c r="A450" s="2">
        <v>2013.0</v>
      </c>
      <c r="B450" s="2" t="s">
        <v>11776</v>
      </c>
      <c r="C450" s="2" t="s">
        <v>12129</v>
      </c>
      <c r="K450" s="2" t="s">
        <v>11777</v>
      </c>
      <c r="L450" s="2" t="s">
        <v>11779</v>
      </c>
      <c r="O450" s="2" t="s">
        <v>1368</v>
      </c>
    </row>
    <row r="451" ht="15.75" customHeight="1">
      <c r="A451" s="2">
        <v>2013.0</v>
      </c>
      <c r="B451" s="2" t="s">
        <v>11938</v>
      </c>
      <c r="C451" s="2" t="s">
        <v>15399</v>
      </c>
      <c r="G451" s="2" t="s">
        <v>15399</v>
      </c>
      <c r="J451" s="2" t="s">
        <v>15399</v>
      </c>
      <c r="K451" s="2" t="s">
        <v>11939</v>
      </c>
      <c r="O451" s="2" t="s">
        <v>1368</v>
      </c>
    </row>
    <row r="452" ht="15.75" customHeight="1">
      <c r="A452" s="2">
        <v>2014.0</v>
      </c>
      <c r="B452" s="2" t="s">
        <v>9798</v>
      </c>
      <c r="C452" s="2" t="s">
        <v>12129</v>
      </c>
      <c r="K452" s="2" t="s">
        <v>9799</v>
      </c>
      <c r="O452" s="2" t="s">
        <v>1368</v>
      </c>
    </row>
    <row r="453" ht="15.75" customHeight="1">
      <c r="A453" s="2">
        <v>2004.0</v>
      </c>
      <c r="B453" s="2" t="s">
        <v>9793</v>
      </c>
      <c r="C453" s="2" t="s">
        <v>12129</v>
      </c>
      <c r="K453" s="2" t="s">
        <v>9794</v>
      </c>
      <c r="L453" s="2" t="s">
        <v>9795</v>
      </c>
      <c r="O453" s="2" t="s">
        <v>1368</v>
      </c>
    </row>
    <row r="454" ht="15.75" customHeight="1">
      <c r="A454" s="2">
        <v>2013.0</v>
      </c>
      <c r="B454" s="2" t="s">
        <v>9820</v>
      </c>
      <c r="C454" s="2" t="s">
        <v>12129</v>
      </c>
      <c r="K454" s="2" t="s">
        <v>9821</v>
      </c>
      <c r="O454" s="2" t="s">
        <v>1368</v>
      </c>
    </row>
    <row r="455" ht="15.75" customHeight="1">
      <c r="A455" s="2">
        <v>2013.0</v>
      </c>
      <c r="B455" s="2" t="s">
        <v>8462</v>
      </c>
      <c r="C455" s="2" t="s">
        <v>15399</v>
      </c>
      <c r="H455" s="2" t="s">
        <v>15399</v>
      </c>
      <c r="K455" s="2" t="s">
        <v>8463</v>
      </c>
      <c r="L455" s="2" t="s">
        <v>628</v>
      </c>
      <c r="N455" s="2" t="s">
        <v>15399</v>
      </c>
      <c r="O455" s="2" t="s">
        <v>2169</v>
      </c>
    </row>
    <row r="456" ht="15.75" customHeight="1">
      <c r="A456" s="2">
        <v>2008.0</v>
      </c>
      <c r="B456" s="2" t="s">
        <v>9812</v>
      </c>
      <c r="C456" s="2" t="s">
        <v>12129</v>
      </c>
      <c r="K456" s="2" t="s">
        <v>9813</v>
      </c>
      <c r="L456" s="2" t="s">
        <v>9815</v>
      </c>
      <c r="O456" s="2" t="s">
        <v>1368</v>
      </c>
    </row>
    <row r="457" ht="15.75" customHeight="1">
      <c r="A457" s="2">
        <v>2018.0</v>
      </c>
      <c r="B457" s="2" t="s">
        <v>9862</v>
      </c>
      <c r="C457" s="2" t="s">
        <v>12129</v>
      </c>
      <c r="K457" s="2" t="s">
        <v>9863</v>
      </c>
      <c r="O457" s="2" t="s">
        <v>1368</v>
      </c>
    </row>
    <row r="458" ht="15.75" customHeight="1">
      <c r="A458" s="2">
        <v>2011.0</v>
      </c>
      <c r="B458" s="2" t="s">
        <v>9806</v>
      </c>
      <c r="C458" s="2" t="s">
        <v>12129</v>
      </c>
      <c r="K458" s="2" t="s">
        <v>9807</v>
      </c>
      <c r="L458" s="2" t="s">
        <v>9808</v>
      </c>
      <c r="O458" s="2" t="s">
        <v>1368</v>
      </c>
    </row>
    <row r="459" ht="15.75" customHeight="1">
      <c r="A459" s="2">
        <v>2011.0</v>
      </c>
      <c r="B459" s="2" t="s">
        <v>6293</v>
      </c>
      <c r="C459" s="2" t="s">
        <v>15399</v>
      </c>
      <c r="G459" s="2" t="s">
        <v>15399</v>
      </c>
      <c r="K459" s="2" t="s">
        <v>738</v>
      </c>
      <c r="L459" s="2" t="s">
        <v>741</v>
      </c>
      <c r="N459" s="2" t="s">
        <v>15399</v>
      </c>
      <c r="O459" s="2" t="s">
        <v>1368</v>
      </c>
    </row>
    <row r="460" ht="15.75" customHeight="1">
      <c r="A460" s="2">
        <v>2016.0</v>
      </c>
      <c r="B460" s="2" t="s">
        <v>9639</v>
      </c>
      <c r="C460" s="2" t="s">
        <v>12129</v>
      </c>
      <c r="K460" s="2" t="s">
        <v>9640</v>
      </c>
      <c r="L460" s="2" t="s">
        <v>9641</v>
      </c>
      <c r="O460" s="2" t="s">
        <v>1368</v>
      </c>
    </row>
    <row r="461" ht="15.75" customHeight="1">
      <c r="A461" s="2">
        <v>2010.0</v>
      </c>
      <c r="B461" s="2" t="s">
        <v>9830</v>
      </c>
      <c r="C461" s="2" t="s">
        <v>12129</v>
      </c>
      <c r="K461" s="2" t="s">
        <v>9831</v>
      </c>
      <c r="O461" s="2" t="s">
        <v>1368</v>
      </c>
    </row>
    <row r="462" ht="15.75" customHeight="1">
      <c r="A462" s="2">
        <v>2017.0</v>
      </c>
      <c r="B462" s="2" t="s">
        <v>9755</v>
      </c>
      <c r="C462" s="2" t="s">
        <v>12129</v>
      </c>
      <c r="K462" s="2" t="s">
        <v>9756</v>
      </c>
      <c r="O462" s="2" t="s">
        <v>1368</v>
      </c>
    </row>
    <row r="463" ht="15.75" customHeight="1">
      <c r="A463" s="2">
        <v>2012.0</v>
      </c>
      <c r="B463" s="2" t="s">
        <v>9801</v>
      </c>
      <c r="C463" s="2" t="s">
        <v>12129</v>
      </c>
      <c r="K463" s="2" t="s">
        <v>9802</v>
      </c>
      <c r="L463" s="2" t="s">
        <v>9803</v>
      </c>
      <c r="O463" s="2" t="s">
        <v>1368</v>
      </c>
    </row>
    <row r="464" ht="15.75" customHeight="1">
      <c r="A464" s="2">
        <v>2017.0</v>
      </c>
      <c r="B464" s="2" t="s">
        <v>9646</v>
      </c>
      <c r="C464" s="2" t="s">
        <v>12129</v>
      </c>
      <c r="K464" s="2" t="s">
        <v>9647</v>
      </c>
      <c r="O464" s="2" t="s">
        <v>1368</v>
      </c>
    </row>
    <row r="465" ht="15.75" customHeight="1">
      <c r="A465" s="2">
        <v>2016.0</v>
      </c>
      <c r="B465" s="2" t="s">
        <v>9656</v>
      </c>
      <c r="C465" s="2" t="s">
        <v>12129</v>
      </c>
      <c r="K465" s="2" t="s">
        <v>9657</v>
      </c>
      <c r="L465" s="2" t="s">
        <v>9658</v>
      </c>
      <c r="O465" s="2" t="s">
        <v>1872</v>
      </c>
    </row>
    <row r="466" ht="15.75" customHeight="1">
      <c r="A466" s="2">
        <v>2003.0</v>
      </c>
      <c r="B466" s="2" t="s">
        <v>9678</v>
      </c>
      <c r="C466" s="2" t="s">
        <v>12129</v>
      </c>
      <c r="K466" s="2" t="s">
        <v>9679</v>
      </c>
      <c r="L466" s="2" t="s">
        <v>9680</v>
      </c>
      <c r="O466" s="2" t="s">
        <v>1368</v>
      </c>
    </row>
    <row r="467" ht="15.75" customHeight="1">
      <c r="A467" s="2">
        <v>2008.0</v>
      </c>
      <c r="B467" s="2" t="s">
        <v>9823</v>
      </c>
      <c r="C467" s="2" t="s">
        <v>12129</v>
      </c>
      <c r="K467" s="2" t="s">
        <v>9824</v>
      </c>
      <c r="L467" s="2" t="s">
        <v>9826</v>
      </c>
      <c r="O467" s="2" t="s">
        <v>1368</v>
      </c>
    </row>
    <row r="468" ht="15.75" customHeight="1">
      <c r="A468" s="2">
        <v>2007.0</v>
      </c>
      <c r="B468" s="2" t="s">
        <v>9852</v>
      </c>
      <c r="C468" s="2" t="s">
        <v>12129</v>
      </c>
      <c r="K468" s="2" t="s">
        <v>9853</v>
      </c>
      <c r="L468" s="2" t="s">
        <v>9856</v>
      </c>
      <c r="O468" s="2" t="s">
        <v>1368</v>
      </c>
    </row>
    <row r="469" ht="15.75" customHeight="1">
      <c r="A469" s="2">
        <v>2016.0</v>
      </c>
      <c r="B469" s="2" t="s">
        <v>9847</v>
      </c>
      <c r="C469" s="2" t="s">
        <v>12129</v>
      </c>
      <c r="K469" s="2" t="s">
        <v>9848</v>
      </c>
      <c r="O469" s="2" t="s">
        <v>1368</v>
      </c>
    </row>
    <row r="470" ht="15.75" customHeight="1">
      <c r="A470" s="2">
        <v>2010.0</v>
      </c>
      <c r="B470" s="2" t="s">
        <v>9840</v>
      </c>
      <c r="C470" s="2" t="s">
        <v>12129</v>
      </c>
      <c r="K470" s="2" t="s">
        <v>9841</v>
      </c>
      <c r="L470" s="2" t="s">
        <v>9844</v>
      </c>
      <c r="O470" s="2" t="s">
        <v>1368</v>
      </c>
    </row>
    <row r="471" ht="15.75" customHeight="1">
      <c r="A471" s="2">
        <v>2004.0</v>
      </c>
      <c r="B471" s="2" t="s">
        <v>9760</v>
      </c>
      <c r="C471" s="2" t="s">
        <v>12129</v>
      </c>
      <c r="K471" s="2" t="s">
        <v>9761</v>
      </c>
      <c r="L471" s="2" t="s">
        <v>9764</v>
      </c>
      <c r="O471" s="2" t="s">
        <v>1368</v>
      </c>
    </row>
    <row r="472" ht="15.75" customHeight="1">
      <c r="A472" s="2">
        <v>2016.0</v>
      </c>
      <c r="B472" s="2" t="s">
        <v>3197</v>
      </c>
      <c r="C472" s="2" t="s">
        <v>12129</v>
      </c>
      <c r="K472" s="2" t="s">
        <v>9690</v>
      </c>
      <c r="O472" s="2" t="s">
        <v>9692</v>
      </c>
    </row>
    <row r="473" ht="15.75" customHeight="1">
      <c r="A473" s="2">
        <v>2014.0</v>
      </c>
      <c r="B473" s="2" t="s">
        <v>3197</v>
      </c>
      <c r="C473" s="2" t="s">
        <v>12129</v>
      </c>
      <c r="K473" s="2" t="s">
        <v>9694</v>
      </c>
      <c r="O473" s="2" t="s">
        <v>2244</v>
      </c>
    </row>
    <row r="474" ht="15.75" customHeight="1">
      <c r="A474" s="2">
        <v>2011.0</v>
      </c>
      <c r="B474" s="2" t="s">
        <v>3197</v>
      </c>
      <c r="C474" s="2" t="s">
        <v>15399</v>
      </c>
      <c r="F474" s="2" t="s">
        <v>15399</v>
      </c>
      <c r="J474" s="2" t="s">
        <v>15399</v>
      </c>
      <c r="K474" s="2" t="s">
        <v>9697</v>
      </c>
      <c r="O474" s="2" t="s">
        <v>2244</v>
      </c>
    </row>
    <row r="475" ht="15.75" customHeight="1">
      <c r="A475" s="2">
        <v>2009.0</v>
      </c>
      <c r="B475" s="2" t="s">
        <v>3197</v>
      </c>
      <c r="C475" s="2" t="s">
        <v>12129</v>
      </c>
      <c r="K475" s="2" t="s">
        <v>9699</v>
      </c>
      <c r="O475" s="2" t="s">
        <v>1368</v>
      </c>
    </row>
    <row r="476" ht="15.75" customHeight="1">
      <c r="A476" s="2">
        <v>2018.0</v>
      </c>
      <c r="B476" s="2" t="s">
        <v>3197</v>
      </c>
      <c r="C476" s="2" t="s">
        <v>15399</v>
      </c>
      <c r="G476" s="2" t="s">
        <v>15399</v>
      </c>
      <c r="J476" s="2" t="s">
        <v>15399</v>
      </c>
      <c r="K476" s="2" t="s">
        <v>9704</v>
      </c>
      <c r="O476" s="2" t="s">
        <v>1368</v>
      </c>
    </row>
    <row r="477" ht="15.75" customHeight="1">
      <c r="A477" s="2">
        <v>2018.0</v>
      </c>
      <c r="B477" s="2" t="s">
        <v>3197</v>
      </c>
      <c r="C477" s="2" t="s">
        <v>12129</v>
      </c>
      <c r="K477" s="2" t="s">
        <v>4853</v>
      </c>
      <c r="O477" s="2" t="s">
        <v>1368</v>
      </c>
    </row>
    <row r="478" ht="15.75" customHeight="1">
      <c r="A478" s="2">
        <v>2005.0</v>
      </c>
      <c r="B478" s="2" t="s">
        <v>3197</v>
      </c>
      <c r="C478" s="2" t="s">
        <v>12129</v>
      </c>
      <c r="K478" s="2" t="s">
        <v>9709</v>
      </c>
      <c r="O478" s="2" t="s">
        <v>1368</v>
      </c>
    </row>
    <row r="479" ht="15.75" customHeight="1">
      <c r="A479" s="2">
        <v>2008.0</v>
      </c>
      <c r="B479" s="2" t="s">
        <v>3197</v>
      </c>
      <c r="C479" s="2" t="s">
        <v>12129</v>
      </c>
      <c r="K479" s="2" t="s">
        <v>9713</v>
      </c>
      <c r="O479" s="2" t="s">
        <v>1368</v>
      </c>
    </row>
    <row r="480" ht="15.75" customHeight="1">
      <c r="A480" s="2">
        <v>1999.0</v>
      </c>
      <c r="B480" s="2" t="s">
        <v>3197</v>
      </c>
      <c r="C480" s="2" t="s">
        <v>12129</v>
      </c>
      <c r="K480" s="2" t="s">
        <v>9715</v>
      </c>
      <c r="O480" s="2" t="s">
        <v>1368</v>
      </c>
    </row>
    <row r="481" ht="15.75" customHeight="1">
      <c r="A481" s="2">
        <v>2011.0</v>
      </c>
      <c r="B481" s="2" t="s">
        <v>3197</v>
      </c>
      <c r="C481" s="2" t="s">
        <v>12129</v>
      </c>
      <c r="K481" s="2" t="s">
        <v>9717</v>
      </c>
      <c r="O481" s="2" t="s">
        <v>1368</v>
      </c>
    </row>
    <row r="482" ht="15.75" customHeight="1">
      <c r="A482" s="2">
        <v>2009.0</v>
      </c>
      <c r="B482" s="2" t="s">
        <v>3197</v>
      </c>
      <c r="C482" s="2" t="s">
        <v>12129</v>
      </c>
      <c r="K482" s="2" t="s">
        <v>9724</v>
      </c>
      <c r="O482" s="2" t="s">
        <v>1368</v>
      </c>
    </row>
    <row r="483" ht="15.75" customHeight="1">
      <c r="A483" s="2">
        <v>2007.0</v>
      </c>
      <c r="B483" s="2" t="s">
        <v>3197</v>
      </c>
      <c r="C483" s="2" t="s">
        <v>12129</v>
      </c>
      <c r="K483" s="2" t="s">
        <v>9726</v>
      </c>
      <c r="O483" s="2" t="s">
        <v>1368</v>
      </c>
    </row>
    <row r="484" ht="15.75" customHeight="1">
      <c r="A484" s="2">
        <v>2006.0</v>
      </c>
      <c r="B484" s="2" t="s">
        <v>3197</v>
      </c>
      <c r="C484" s="2" t="s">
        <v>12129</v>
      </c>
      <c r="K484" s="2" t="s">
        <v>9729</v>
      </c>
      <c r="O484" s="2" t="s">
        <v>1368</v>
      </c>
    </row>
    <row r="485" ht="15.75" customHeight="1">
      <c r="A485" s="2">
        <v>2000.0</v>
      </c>
      <c r="B485" s="2" t="s">
        <v>3197</v>
      </c>
      <c r="C485" s="2" t="s">
        <v>12129</v>
      </c>
      <c r="K485" s="2" t="s">
        <v>9731</v>
      </c>
      <c r="O485" s="2" t="s">
        <v>1368</v>
      </c>
    </row>
    <row r="486" ht="15.75" customHeight="1">
      <c r="A486" s="2">
        <v>2018.0</v>
      </c>
      <c r="B486" s="2" t="s">
        <v>3197</v>
      </c>
      <c r="C486" s="2" t="s">
        <v>15399</v>
      </c>
      <c r="G486" s="2" t="s">
        <v>15399</v>
      </c>
      <c r="J486" s="2" t="s">
        <v>15399</v>
      </c>
      <c r="K486" s="2" t="s">
        <v>9734</v>
      </c>
      <c r="O486" s="2" t="s">
        <v>1368</v>
      </c>
    </row>
    <row r="487" ht="15.75" customHeight="1">
      <c r="A487" s="2">
        <v>2016.0</v>
      </c>
      <c r="B487" s="2" t="s">
        <v>3197</v>
      </c>
      <c r="C487" s="2" t="s">
        <v>15399</v>
      </c>
      <c r="E487" s="2" t="s">
        <v>15399</v>
      </c>
      <c r="J487" s="2" t="s">
        <v>15399</v>
      </c>
      <c r="K487" s="2" t="s">
        <v>9737</v>
      </c>
      <c r="O487" s="2" t="s">
        <v>1368</v>
      </c>
    </row>
    <row r="488" ht="15.75" customHeight="1">
      <c r="A488" s="2">
        <v>2015.0</v>
      </c>
      <c r="B488" s="2" t="s">
        <v>3197</v>
      </c>
      <c r="C488" s="2" t="s">
        <v>15399</v>
      </c>
      <c r="E488" s="2" t="s">
        <v>15399</v>
      </c>
      <c r="J488" s="2" t="s">
        <v>15399</v>
      </c>
      <c r="K488" s="2" t="s">
        <v>9741</v>
      </c>
      <c r="O488" s="2" t="s">
        <v>1368</v>
      </c>
    </row>
    <row r="489" ht="15.75" customHeight="1">
      <c r="A489" s="2">
        <v>2012.0</v>
      </c>
      <c r="B489" s="2" t="s">
        <v>3197</v>
      </c>
      <c r="C489" s="2" t="s">
        <v>12129</v>
      </c>
      <c r="K489" s="2" t="s">
        <v>9747</v>
      </c>
      <c r="O489" s="2" t="s">
        <v>1368</v>
      </c>
    </row>
    <row r="490" ht="15.75" customHeight="1">
      <c r="A490" s="2">
        <v>2017.0</v>
      </c>
      <c r="B490" s="2" t="s">
        <v>3197</v>
      </c>
      <c r="C490" s="2" t="s">
        <v>12129</v>
      </c>
      <c r="K490" s="2" t="s">
        <v>9752</v>
      </c>
      <c r="O490" s="2" t="s">
        <v>1368</v>
      </c>
    </row>
    <row r="491" ht="15.75" customHeight="1">
      <c r="A491" s="2">
        <v>2011.0</v>
      </c>
      <c r="B491" s="2" t="s">
        <v>3197</v>
      </c>
      <c r="C491" s="2" t="s">
        <v>12129</v>
      </c>
      <c r="K491" s="2" t="s">
        <v>9770</v>
      </c>
      <c r="O491" s="2" t="s">
        <v>1368</v>
      </c>
    </row>
    <row r="492" ht="15.75" customHeight="1">
      <c r="A492" s="2">
        <v>2009.0</v>
      </c>
      <c r="B492" s="2" t="s">
        <v>3197</v>
      </c>
      <c r="C492" s="2" t="s">
        <v>12129</v>
      </c>
      <c r="K492" s="2" t="s">
        <v>9772</v>
      </c>
      <c r="O492" s="2" t="s">
        <v>1368</v>
      </c>
    </row>
    <row r="493" ht="15.75" customHeight="1">
      <c r="A493" s="2">
        <v>2003.0</v>
      </c>
      <c r="B493" s="2" t="s">
        <v>3197</v>
      </c>
      <c r="C493" s="2" t="s">
        <v>12129</v>
      </c>
      <c r="K493" s="2" t="s">
        <v>9778</v>
      </c>
      <c r="O493" s="2" t="s">
        <v>1368</v>
      </c>
    </row>
    <row r="494" ht="15.75" customHeight="1">
      <c r="A494" s="2">
        <v>2015.0</v>
      </c>
      <c r="B494" s="2" t="s">
        <v>3197</v>
      </c>
      <c r="C494" s="2" t="s">
        <v>15399</v>
      </c>
      <c r="E494" s="2" t="s">
        <v>15399</v>
      </c>
      <c r="J494" s="2" t="s">
        <v>15399</v>
      </c>
      <c r="K494" s="2" t="s">
        <v>9781</v>
      </c>
      <c r="O494" s="2" t="s">
        <v>1368</v>
      </c>
    </row>
    <row r="495" ht="15.75" customHeight="1">
      <c r="A495" s="2">
        <v>2012.0</v>
      </c>
      <c r="B495" s="2" t="s">
        <v>3197</v>
      </c>
      <c r="C495" s="2" t="s">
        <v>12129</v>
      </c>
      <c r="K495" s="2" t="s">
        <v>9786</v>
      </c>
      <c r="O495" s="2" t="s">
        <v>1368</v>
      </c>
    </row>
    <row r="496" ht="15.75" customHeight="1">
      <c r="A496" s="2">
        <v>2017.0</v>
      </c>
      <c r="B496" s="2" t="s">
        <v>3197</v>
      </c>
      <c r="C496" s="2" t="s">
        <v>12129</v>
      </c>
      <c r="K496" s="2" t="s">
        <v>9790</v>
      </c>
      <c r="O496" s="2" t="s">
        <v>1368</v>
      </c>
    </row>
    <row r="497" ht="15.75" customHeight="1">
      <c r="A497" s="2">
        <v>2018.0</v>
      </c>
      <c r="B497" s="2" t="s">
        <v>3197</v>
      </c>
      <c r="C497" s="2" t="s">
        <v>12129</v>
      </c>
      <c r="K497" s="2" t="s">
        <v>9859</v>
      </c>
      <c r="O497" s="2" t="s">
        <v>1368</v>
      </c>
    </row>
    <row r="498" ht="15.75" customHeight="1">
      <c r="A498" s="2">
        <v>2015.0</v>
      </c>
      <c r="B498" s="2" t="s">
        <v>9684</v>
      </c>
      <c r="C498" s="2" t="s">
        <v>15399</v>
      </c>
      <c r="E498" s="2" t="s">
        <v>15399</v>
      </c>
      <c r="J498" s="2" t="s">
        <v>15399</v>
      </c>
      <c r="K498" s="2" t="s">
        <v>9685</v>
      </c>
      <c r="O498" s="2" t="s">
        <v>9688</v>
      </c>
    </row>
    <row r="499" ht="15.75" customHeight="1">
      <c r="A499" s="2">
        <v>2000.0</v>
      </c>
      <c r="B499" s="2" t="s">
        <v>9651</v>
      </c>
      <c r="C499" s="2" t="s">
        <v>12129</v>
      </c>
      <c r="K499" s="2" t="s">
        <v>9652</v>
      </c>
      <c r="L499" s="2" t="s">
        <v>9653</v>
      </c>
      <c r="O499" s="2" t="s">
        <v>1368</v>
      </c>
    </row>
    <row r="500" ht="15.75" customHeight="1">
      <c r="A500" s="2">
        <v>2000.0</v>
      </c>
      <c r="B500" s="2" t="s">
        <v>9837</v>
      </c>
      <c r="C500" s="2" t="s">
        <v>12129</v>
      </c>
      <c r="K500" s="2" t="s">
        <v>9838</v>
      </c>
      <c r="O500" s="2" t="s">
        <v>1368</v>
      </c>
    </row>
    <row r="501" ht="15.75" customHeight="1">
      <c r="A501" s="2">
        <v>1987.0</v>
      </c>
      <c r="B501" s="2" t="s">
        <v>9630</v>
      </c>
      <c r="C501" s="2" t="s">
        <v>12129</v>
      </c>
      <c r="K501" s="2" t="s">
        <v>9631</v>
      </c>
      <c r="L501" s="2" t="s">
        <v>9633</v>
      </c>
      <c r="O501" s="2" t="s">
        <v>1368</v>
      </c>
    </row>
    <row r="502" ht="15.75" customHeight="1">
      <c r="A502" s="2">
        <v>2015.0</v>
      </c>
      <c r="B502" s="2" t="s">
        <v>6190</v>
      </c>
      <c r="C502" s="2" t="s">
        <v>15399</v>
      </c>
      <c r="G502" s="2" t="s">
        <v>15399</v>
      </c>
      <c r="K502" s="2" t="s">
        <v>383</v>
      </c>
      <c r="L502" s="2" t="s">
        <v>386</v>
      </c>
      <c r="N502" s="2" t="s">
        <v>15399</v>
      </c>
      <c r="O502" s="2" t="s">
        <v>1368</v>
      </c>
    </row>
    <row r="503" ht="15.75" customHeight="1">
      <c r="A503" s="2">
        <v>1990.0</v>
      </c>
      <c r="B503" s="2" t="s">
        <v>2663</v>
      </c>
      <c r="C503" s="2" t="s">
        <v>12129</v>
      </c>
      <c r="K503" s="2" t="s">
        <v>2664</v>
      </c>
      <c r="L503" s="2" t="s">
        <v>2667</v>
      </c>
      <c r="O503" s="2" t="s">
        <v>1368</v>
      </c>
    </row>
    <row r="504" ht="15.75" customHeight="1">
      <c r="A504" s="2">
        <v>2011.0</v>
      </c>
      <c r="B504" s="2" t="s">
        <v>3229</v>
      </c>
      <c r="C504" s="2" t="s">
        <v>12129</v>
      </c>
      <c r="K504" s="2" t="s">
        <v>3230</v>
      </c>
      <c r="L504" s="2" t="s">
        <v>3233</v>
      </c>
      <c r="O504" s="2" t="s">
        <v>1368</v>
      </c>
    </row>
    <row r="505" ht="15.75" customHeight="1">
      <c r="A505" s="2">
        <v>2007.0</v>
      </c>
      <c r="B505" s="2" t="s">
        <v>3237</v>
      </c>
      <c r="C505" s="2" t="s">
        <v>12129</v>
      </c>
      <c r="K505" s="2" t="s">
        <v>3238</v>
      </c>
      <c r="O505" s="2" t="s">
        <v>1368</v>
      </c>
    </row>
    <row r="506" ht="15.75" customHeight="1">
      <c r="A506" s="2">
        <v>2011.0</v>
      </c>
      <c r="B506" s="2" t="s">
        <v>2818</v>
      </c>
      <c r="C506" s="2" t="s">
        <v>12129</v>
      </c>
      <c r="K506" s="2" t="s">
        <v>2819</v>
      </c>
      <c r="L506" s="2" t="s">
        <v>2820</v>
      </c>
      <c r="O506" s="2" t="s">
        <v>1368</v>
      </c>
    </row>
    <row r="507" ht="15.75" customHeight="1">
      <c r="A507" s="2">
        <v>2008.0</v>
      </c>
      <c r="B507" s="2" t="s">
        <v>2772</v>
      </c>
      <c r="C507" s="2" t="s">
        <v>12129</v>
      </c>
      <c r="K507" s="2" t="s">
        <v>2773</v>
      </c>
      <c r="L507" s="2" t="s">
        <v>2774</v>
      </c>
      <c r="O507" s="2" t="s">
        <v>1368</v>
      </c>
    </row>
    <row r="508" ht="15.75" customHeight="1">
      <c r="A508" s="2">
        <v>2003.0</v>
      </c>
      <c r="B508" s="2" t="s">
        <v>2772</v>
      </c>
      <c r="C508" s="2" t="s">
        <v>12129</v>
      </c>
      <c r="K508" s="2" t="s">
        <v>2780</v>
      </c>
      <c r="L508" s="2" t="s">
        <v>2782</v>
      </c>
      <c r="O508" s="2" t="s">
        <v>1368</v>
      </c>
    </row>
    <row r="509" ht="15.75" customHeight="1">
      <c r="A509" s="2">
        <v>2013.0</v>
      </c>
      <c r="B509" s="2" t="s">
        <v>2639</v>
      </c>
      <c r="C509" s="2" t="s">
        <v>12129</v>
      </c>
      <c r="K509" s="2" t="s">
        <v>2640</v>
      </c>
      <c r="L509" s="2" t="s">
        <v>2642</v>
      </c>
      <c r="O509" s="2" t="s">
        <v>1368</v>
      </c>
    </row>
    <row r="510" ht="15.75" customHeight="1">
      <c r="A510" s="2">
        <v>2002.0</v>
      </c>
      <c r="B510" s="2" t="s">
        <v>3333</v>
      </c>
      <c r="C510" s="2" t="s">
        <v>12129</v>
      </c>
      <c r="K510" s="2" t="s">
        <v>3334</v>
      </c>
      <c r="L510" s="2" t="s">
        <v>3335</v>
      </c>
      <c r="O510" s="2" t="s">
        <v>1368</v>
      </c>
    </row>
    <row r="511" ht="15.75" customHeight="1">
      <c r="A511" s="2">
        <v>2012.0</v>
      </c>
      <c r="B511" s="2" t="s">
        <v>3272</v>
      </c>
      <c r="C511" s="2" t="s">
        <v>12129</v>
      </c>
      <c r="K511" s="2" t="s">
        <v>3273</v>
      </c>
      <c r="L511" s="2" t="s">
        <v>3275</v>
      </c>
      <c r="O511" s="2" t="s">
        <v>1368</v>
      </c>
    </row>
    <row r="512" ht="15.75" customHeight="1">
      <c r="A512" s="2">
        <v>2014.0</v>
      </c>
      <c r="B512" s="2" t="s">
        <v>3045</v>
      </c>
      <c r="C512" s="2" t="s">
        <v>12129</v>
      </c>
      <c r="K512" s="2" t="s">
        <v>3046</v>
      </c>
      <c r="L512" s="2" t="s">
        <v>3049</v>
      </c>
      <c r="O512" s="2" t="s">
        <v>1368</v>
      </c>
    </row>
    <row r="513" ht="15.75" customHeight="1">
      <c r="A513" s="2">
        <v>2017.0</v>
      </c>
      <c r="B513" s="2" t="s">
        <v>2616</v>
      </c>
      <c r="C513" s="2" t="s">
        <v>12129</v>
      </c>
      <c r="K513" s="2" t="s">
        <v>2617</v>
      </c>
      <c r="O513" s="2" t="s">
        <v>1368</v>
      </c>
    </row>
    <row r="514" ht="15.75" customHeight="1">
      <c r="A514" s="2">
        <v>2011.0</v>
      </c>
      <c r="B514" s="2" t="s">
        <v>3100</v>
      </c>
      <c r="C514" s="2" t="s">
        <v>12129</v>
      </c>
      <c r="K514" s="2" t="s">
        <v>3101</v>
      </c>
      <c r="L514" s="2" t="s">
        <v>3104</v>
      </c>
      <c r="O514" s="2" t="s">
        <v>1368</v>
      </c>
    </row>
    <row r="515" ht="15.75" customHeight="1">
      <c r="A515" s="2">
        <v>2015.0</v>
      </c>
      <c r="B515" s="2" t="s">
        <v>2716</v>
      </c>
      <c r="C515" s="2" t="s">
        <v>12129</v>
      </c>
      <c r="K515" s="2" t="s">
        <v>2717</v>
      </c>
      <c r="L515" s="2" t="s">
        <v>2718</v>
      </c>
      <c r="O515" s="2" t="s">
        <v>1368</v>
      </c>
    </row>
    <row r="516" ht="15.75" customHeight="1">
      <c r="A516" s="2">
        <v>2009.0</v>
      </c>
      <c r="B516" s="2" t="s">
        <v>3254</v>
      </c>
      <c r="C516" s="2" t="s">
        <v>12129</v>
      </c>
      <c r="K516" s="2" t="s">
        <v>3255</v>
      </c>
      <c r="L516" s="2" t="s">
        <v>3257</v>
      </c>
      <c r="O516" s="2" t="s">
        <v>1368</v>
      </c>
    </row>
    <row r="517" ht="15.75" customHeight="1">
      <c r="A517" s="2">
        <v>2017.0</v>
      </c>
      <c r="B517" s="2" t="s">
        <v>3245</v>
      </c>
      <c r="C517" s="2" t="s">
        <v>12129</v>
      </c>
      <c r="K517" s="2" t="s">
        <v>3246</v>
      </c>
      <c r="L517" s="2" t="s">
        <v>3249</v>
      </c>
      <c r="O517" s="2" t="s">
        <v>1368</v>
      </c>
    </row>
    <row r="518" ht="15.75" customHeight="1">
      <c r="A518" s="2">
        <v>1981.0</v>
      </c>
      <c r="B518" s="2" t="s">
        <v>3002</v>
      </c>
      <c r="C518" s="2" t="s">
        <v>12129</v>
      </c>
      <c r="K518" s="2" t="s">
        <v>3003</v>
      </c>
      <c r="O518" s="2" t="s">
        <v>1368</v>
      </c>
    </row>
    <row r="519" ht="15.75" customHeight="1">
      <c r="A519" s="2">
        <v>2006.0</v>
      </c>
      <c r="B519" s="2" t="s">
        <v>2991</v>
      </c>
      <c r="C519" s="2" t="s">
        <v>12129</v>
      </c>
      <c r="K519" s="2" t="s">
        <v>2992</v>
      </c>
      <c r="O519" s="2" t="s">
        <v>1368</v>
      </c>
    </row>
    <row r="520" ht="15.75" customHeight="1">
      <c r="A520" s="2">
        <v>1976.0</v>
      </c>
      <c r="B520" s="2" t="s">
        <v>2749</v>
      </c>
      <c r="C520" s="2" t="s">
        <v>12129</v>
      </c>
      <c r="K520" s="2" t="s">
        <v>2750</v>
      </c>
      <c r="L520" s="2" t="s">
        <v>2751</v>
      </c>
      <c r="O520" s="2" t="s">
        <v>1368</v>
      </c>
    </row>
    <row r="521" ht="15.75" customHeight="1">
      <c r="A521" s="2">
        <v>2009.0</v>
      </c>
      <c r="B521" s="2" t="s">
        <v>3013</v>
      </c>
      <c r="C521" s="2" t="s">
        <v>12129</v>
      </c>
      <c r="K521" s="2" t="s">
        <v>3014</v>
      </c>
      <c r="O521" s="2" t="s">
        <v>1368</v>
      </c>
    </row>
    <row r="522" ht="15.75" customHeight="1">
      <c r="A522" s="2">
        <v>2001.0</v>
      </c>
      <c r="B522" s="2" t="s">
        <v>3265</v>
      </c>
      <c r="C522" s="2" t="s">
        <v>12129</v>
      </c>
      <c r="K522" s="2" t="s">
        <v>3266</v>
      </c>
      <c r="L522" s="2" t="s">
        <v>3268</v>
      </c>
      <c r="O522" s="2" t="s">
        <v>1368</v>
      </c>
    </row>
    <row r="523" ht="15.75" customHeight="1">
      <c r="A523" s="2">
        <v>2015.0</v>
      </c>
      <c r="B523" s="2" t="s">
        <v>3260</v>
      </c>
      <c r="C523" s="2" t="s">
        <v>12129</v>
      </c>
      <c r="K523" s="2" t="s">
        <v>3261</v>
      </c>
      <c r="O523" s="2" t="s">
        <v>1368</v>
      </c>
    </row>
    <row r="524" ht="15.75" customHeight="1">
      <c r="A524" s="2">
        <v>1986.0</v>
      </c>
      <c r="B524" s="2" t="s">
        <v>3285</v>
      </c>
      <c r="C524" s="2" t="s">
        <v>12129</v>
      </c>
      <c r="K524" s="2" t="s">
        <v>3286</v>
      </c>
      <c r="O524" s="2" t="s">
        <v>1368</v>
      </c>
    </row>
    <row r="525" ht="15.75" customHeight="1">
      <c r="A525" s="2">
        <v>2001.0</v>
      </c>
      <c r="B525" s="2" t="s">
        <v>2656</v>
      </c>
      <c r="C525" s="2" t="s">
        <v>12129</v>
      </c>
      <c r="K525" s="2" t="s">
        <v>2657</v>
      </c>
      <c r="O525" s="2" t="s">
        <v>1368</v>
      </c>
    </row>
    <row r="526" ht="15.75" customHeight="1">
      <c r="A526" s="2">
        <v>2004.0</v>
      </c>
      <c r="B526" s="2" t="s">
        <v>3642</v>
      </c>
      <c r="C526" s="2" t="s">
        <v>15399</v>
      </c>
      <c r="G526" s="2" t="s">
        <v>15399</v>
      </c>
      <c r="K526" s="2" t="s">
        <v>1107</v>
      </c>
      <c r="L526" s="2" t="s">
        <v>1110</v>
      </c>
      <c r="N526" s="2" t="s">
        <v>15399</v>
      </c>
      <c r="O526" s="2" t="s">
        <v>1368</v>
      </c>
    </row>
    <row r="527" ht="15.75" customHeight="1">
      <c r="A527" s="2">
        <v>2011.0</v>
      </c>
      <c r="B527" s="2" t="s">
        <v>2959</v>
      </c>
      <c r="C527" s="2" t="s">
        <v>12129</v>
      </c>
      <c r="K527" s="2" t="s">
        <v>2960</v>
      </c>
      <c r="L527" s="2" t="s">
        <v>2962</v>
      </c>
      <c r="O527" s="2" t="s">
        <v>2967</v>
      </c>
    </row>
    <row r="528" ht="15.75" customHeight="1">
      <c r="A528" s="2">
        <v>2014.0</v>
      </c>
      <c r="B528" s="2" t="s">
        <v>2923</v>
      </c>
      <c r="C528" s="2" t="s">
        <v>12129</v>
      </c>
      <c r="K528" s="2" t="s">
        <v>2924</v>
      </c>
      <c r="L528" s="2" t="s">
        <v>2926</v>
      </c>
      <c r="O528" s="2" t="s">
        <v>1368</v>
      </c>
    </row>
    <row r="529" ht="15.75" customHeight="1">
      <c r="A529" s="2">
        <v>2003.0</v>
      </c>
      <c r="B529" s="2" t="s">
        <v>3278</v>
      </c>
      <c r="C529" s="2" t="s">
        <v>12129</v>
      </c>
      <c r="K529" s="2" t="s">
        <v>3279</v>
      </c>
      <c r="O529" s="2" t="s">
        <v>1368</v>
      </c>
    </row>
    <row r="530" ht="15.75" customHeight="1">
      <c r="A530" s="2">
        <v>2007.0</v>
      </c>
      <c r="B530" s="2" t="s">
        <v>2826</v>
      </c>
      <c r="C530" s="2" t="s">
        <v>12129</v>
      </c>
      <c r="K530" s="2" t="s">
        <v>2827</v>
      </c>
      <c r="L530" s="2" t="s">
        <v>2829</v>
      </c>
      <c r="O530" s="2" t="s">
        <v>1368</v>
      </c>
    </row>
    <row r="531" ht="15.75" customHeight="1">
      <c r="A531" s="2">
        <v>2015.0</v>
      </c>
      <c r="B531" s="2" t="s">
        <v>2757</v>
      </c>
      <c r="C531" s="2" t="s">
        <v>12129</v>
      </c>
      <c r="K531" s="2" t="s">
        <v>2758</v>
      </c>
      <c r="L531" s="2" t="s">
        <v>2759</v>
      </c>
      <c r="O531" s="2" t="s">
        <v>1368</v>
      </c>
    </row>
    <row r="532" ht="15.75" customHeight="1">
      <c r="A532" s="2">
        <v>2015.0</v>
      </c>
      <c r="B532" s="2" t="s">
        <v>3092</v>
      </c>
      <c r="C532" s="2" t="s">
        <v>12129</v>
      </c>
      <c r="K532" s="2" t="s">
        <v>3093</v>
      </c>
      <c r="L532" s="2" t="s">
        <v>3095</v>
      </c>
      <c r="O532" s="2" t="s">
        <v>1368</v>
      </c>
    </row>
    <row r="533" ht="15.75" customHeight="1">
      <c r="A533" s="2">
        <v>1994.0</v>
      </c>
      <c r="B533" s="2" t="s">
        <v>3308</v>
      </c>
      <c r="C533" s="2" t="s">
        <v>12129</v>
      </c>
      <c r="K533" s="2" t="s">
        <v>3309</v>
      </c>
      <c r="L533" s="2" t="s">
        <v>3312</v>
      </c>
      <c r="O533" s="2" t="s">
        <v>1368</v>
      </c>
    </row>
    <row r="534" ht="15.75" customHeight="1">
      <c r="A534" s="2">
        <v>2007.0</v>
      </c>
      <c r="B534" s="2" t="s">
        <v>2920</v>
      </c>
      <c r="C534" s="2" t="s">
        <v>12129</v>
      </c>
      <c r="K534" s="2" t="s">
        <v>3020</v>
      </c>
      <c r="O534" s="2" t="s">
        <v>1368</v>
      </c>
    </row>
    <row r="535" ht="15.75" customHeight="1">
      <c r="A535" s="2">
        <v>2011.0</v>
      </c>
      <c r="B535" s="2" t="s">
        <v>2920</v>
      </c>
      <c r="C535" s="2" t="s">
        <v>12129</v>
      </c>
      <c r="K535" s="2" t="s">
        <v>3054</v>
      </c>
      <c r="O535" s="2" t="s">
        <v>1368</v>
      </c>
    </row>
    <row r="536" ht="15.75" customHeight="1">
      <c r="A536" s="2">
        <v>2016.0</v>
      </c>
      <c r="B536" s="2" t="s">
        <v>2920</v>
      </c>
      <c r="C536" s="2" t="s">
        <v>12129</v>
      </c>
      <c r="K536" s="2" t="s">
        <v>3067</v>
      </c>
      <c r="O536" s="2" t="s">
        <v>1368</v>
      </c>
    </row>
    <row r="537" ht="15.75" customHeight="1">
      <c r="A537" s="2">
        <v>2014.0</v>
      </c>
      <c r="B537" s="2" t="s">
        <v>2920</v>
      </c>
      <c r="C537" s="2" t="s">
        <v>12129</v>
      </c>
      <c r="K537" s="2" t="s">
        <v>3069</v>
      </c>
      <c r="O537" s="2" t="s">
        <v>1368</v>
      </c>
    </row>
    <row r="538" ht="15.75" customHeight="1">
      <c r="A538" s="2">
        <v>1998.0</v>
      </c>
      <c r="B538" s="2" t="s">
        <v>3300</v>
      </c>
      <c r="C538" s="2" t="s">
        <v>12129</v>
      </c>
      <c r="K538" s="2" t="s">
        <v>3301</v>
      </c>
      <c r="L538" s="2" t="s">
        <v>3303</v>
      </c>
      <c r="O538" s="2" t="s">
        <v>1368</v>
      </c>
    </row>
    <row r="539" ht="15.75" customHeight="1">
      <c r="A539" s="2">
        <v>2016.0</v>
      </c>
      <c r="B539" s="2" t="s">
        <v>2930</v>
      </c>
      <c r="C539" s="2" t="s">
        <v>12129</v>
      </c>
      <c r="K539" s="2" t="s">
        <v>2931</v>
      </c>
      <c r="L539" s="2" t="s">
        <v>2934</v>
      </c>
      <c r="O539" s="2" t="s">
        <v>1368</v>
      </c>
    </row>
    <row r="540" ht="15.75" customHeight="1">
      <c r="A540" s="2">
        <v>2015.0</v>
      </c>
      <c r="B540" s="2" t="s">
        <v>2969</v>
      </c>
      <c r="C540" s="2" t="s">
        <v>12129</v>
      </c>
      <c r="K540" s="2" t="s">
        <v>2970</v>
      </c>
      <c r="L540" s="2" t="s">
        <v>2972</v>
      </c>
      <c r="O540" s="2" t="s">
        <v>2238</v>
      </c>
    </row>
    <row r="541" ht="15.75" customHeight="1">
      <c r="A541" s="2">
        <v>2003.0</v>
      </c>
      <c r="B541" s="2" t="s">
        <v>2809</v>
      </c>
      <c r="C541" s="2" t="s">
        <v>12129</v>
      </c>
      <c r="K541" s="2" t="s">
        <v>2810</v>
      </c>
      <c r="L541" s="2" t="s">
        <v>2812</v>
      </c>
      <c r="O541" s="2" t="s">
        <v>1368</v>
      </c>
    </row>
    <row r="542" ht="15.75" customHeight="1">
      <c r="A542" s="2">
        <v>2012.0</v>
      </c>
      <c r="B542" s="2" t="s">
        <v>3293</v>
      </c>
      <c r="C542" s="2" t="s">
        <v>12129</v>
      </c>
      <c r="K542" s="2" t="s">
        <v>3294</v>
      </c>
      <c r="L542" s="2" t="s">
        <v>3297</v>
      </c>
      <c r="O542" s="2" t="s">
        <v>1368</v>
      </c>
    </row>
    <row r="543" ht="15.75" customHeight="1">
      <c r="A543" s="2">
        <v>2016.0</v>
      </c>
      <c r="B543" s="2" t="s">
        <v>2917</v>
      </c>
      <c r="C543" s="2" t="s">
        <v>12129</v>
      </c>
      <c r="K543" s="2" t="s">
        <v>2918</v>
      </c>
      <c r="O543" s="2" t="s">
        <v>2188</v>
      </c>
    </row>
    <row r="544" ht="15.75" customHeight="1">
      <c r="A544" s="2">
        <v>2013.0</v>
      </c>
      <c r="B544" s="2" t="s">
        <v>3028</v>
      </c>
      <c r="C544" s="2" t="s">
        <v>12129</v>
      </c>
      <c r="K544" s="2" t="s">
        <v>3029</v>
      </c>
      <c r="L544" s="2" t="s">
        <v>3031</v>
      </c>
      <c r="O544" s="2" t="s">
        <v>1368</v>
      </c>
    </row>
    <row r="545" ht="15.75" customHeight="1">
      <c r="A545" s="2">
        <v>2000.0</v>
      </c>
      <c r="B545" s="2" t="s">
        <v>4532</v>
      </c>
      <c r="C545" s="2" t="s">
        <v>15399</v>
      </c>
      <c r="F545" s="2" t="s">
        <v>15399</v>
      </c>
      <c r="K545" s="2" t="s">
        <v>1225</v>
      </c>
      <c r="L545" s="2" t="s">
        <v>1228</v>
      </c>
      <c r="N545" s="2" t="s">
        <v>15399</v>
      </c>
      <c r="O545" s="2" t="s">
        <v>1368</v>
      </c>
    </row>
    <row r="546" ht="15.75" customHeight="1">
      <c r="A546" s="2">
        <v>2013.0</v>
      </c>
      <c r="B546" s="2" t="s">
        <v>3330</v>
      </c>
      <c r="C546" s="2" t="s">
        <v>12129</v>
      </c>
      <c r="K546" s="2" t="s">
        <v>3331</v>
      </c>
      <c r="O546" s="2" t="s">
        <v>1368</v>
      </c>
    </row>
    <row r="547" ht="15.75" customHeight="1">
      <c r="A547" s="2">
        <v>2018.0</v>
      </c>
      <c r="B547" s="2" t="s">
        <v>3323</v>
      </c>
      <c r="C547" s="2" t="s">
        <v>12129</v>
      </c>
      <c r="K547" s="2" t="s">
        <v>3324</v>
      </c>
      <c r="L547" s="2" t="s">
        <v>3326</v>
      </c>
      <c r="O547" s="2" t="s">
        <v>1368</v>
      </c>
    </row>
    <row r="548" ht="15.75" customHeight="1">
      <c r="A548" s="2">
        <v>2014.0</v>
      </c>
      <c r="B548" s="2" t="s">
        <v>10495</v>
      </c>
      <c r="C548" s="2" t="s">
        <v>15399</v>
      </c>
      <c r="E548" s="2" t="s">
        <v>15399</v>
      </c>
      <c r="K548" s="2" t="s">
        <v>473</v>
      </c>
      <c r="L548" s="2" t="s">
        <v>476</v>
      </c>
      <c r="N548" s="2" t="s">
        <v>15399</v>
      </c>
      <c r="O548" s="2" t="s">
        <v>1368</v>
      </c>
    </row>
    <row r="549" ht="15.75" customHeight="1">
      <c r="A549" s="2">
        <v>1989.0</v>
      </c>
      <c r="B549" s="2" t="s">
        <v>2696</v>
      </c>
      <c r="C549" s="2" t="s">
        <v>12129</v>
      </c>
      <c r="K549" s="2" t="s">
        <v>2697</v>
      </c>
      <c r="L549" s="2" t="s">
        <v>2699</v>
      </c>
      <c r="O549" s="2" t="s">
        <v>1368</v>
      </c>
    </row>
    <row r="550" ht="15.75" customHeight="1">
      <c r="A550" s="2">
        <v>2017.0</v>
      </c>
      <c r="B550" s="2" t="s">
        <v>2995</v>
      </c>
      <c r="C550" s="2" t="s">
        <v>12129</v>
      </c>
      <c r="K550" s="2" t="s">
        <v>2996</v>
      </c>
      <c r="O550" s="2" t="s">
        <v>1368</v>
      </c>
    </row>
    <row r="551" ht="15.75" customHeight="1">
      <c r="A551" s="2">
        <v>2018.0</v>
      </c>
      <c r="B551" s="2" t="s">
        <v>2995</v>
      </c>
      <c r="C551" s="2" t="s">
        <v>12129</v>
      </c>
      <c r="K551" s="2" t="s">
        <v>3071</v>
      </c>
      <c r="O551" s="2" t="s">
        <v>1368</v>
      </c>
    </row>
    <row r="552" ht="15.75" customHeight="1">
      <c r="A552" s="2">
        <v>2011.0</v>
      </c>
      <c r="B552" s="2" t="s">
        <v>3315</v>
      </c>
      <c r="C552" s="2" t="s">
        <v>12129</v>
      </c>
      <c r="K552" s="2" t="s">
        <v>3316</v>
      </c>
      <c r="L552" s="2" t="s">
        <v>3317</v>
      </c>
      <c r="O552" s="2" t="s">
        <v>1368</v>
      </c>
    </row>
    <row r="553" ht="15.75" customHeight="1">
      <c r="A553" s="2">
        <v>2011.0</v>
      </c>
      <c r="B553" s="2" t="s">
        <v>3057</v>
      </c>
      <c r="C553" s="2" t="s">
        <v>12129</v>
      </c>
      <c r="K553" s="2" t="s">
        <v>3058</v>
      </c>
      <c r="L553" s="2" t="s">
        <v>3061</v>
      </c>
      <c r="O553" s="2" t="s">
        <v>1368</v>
      </c>
    </row>
    <row r="554" ht="15.75" customHeight="1">
      <c r="A554" s="2">
        <v>2007.0</v>
      </c>
      <c r="B554" s="2" t="s">
        <v>2674</v>
      </c>
      <c r="C554" s="2" t="s">
        <v>12129</v>
      </c>
      <c r="K554" s="2" t="s">
        <v>2675</v>
      </c>
      <c r="L554" s="2" t="s">
        <v>2677</v>
      </c>
      <c r="O554" s="2" t="s">
        <v>1368</v>
      </c>
    </row>
    <row r="555" ht="15.75" customHeight="1">
      <c r="A555" s="2">
        <v>2013.0</v>
      </c>
      <c r="B555" s="2" t="s">
        <v>2801</v>
      </c>
      <c r="C555" s="2" t="s">
        <v>12129</v>
      </c>
      <c r="K555" s="2" t="s">
        <v>2802</v>
      </c>
      <c r="L555" s="2" t="s">
        <v>2803</v>
      </c>
      <c r="O555" s="2" t="s">
        <v>1368</v>
      </c>
    </row>
    <row r="556" ht="15.75" customHeight="1">
      <c r="A556" s="2">
        <v>2014.0</v>
      </c>
      <c r="B556" s="2" t="s">
        <v>3125</v>
      </c>
      <c r="C556" s="2" t="s">
        <v>12129</v>
      </c>
      <c r="K556" s="2" t="s">
        <v>3126</v>
      </c>
      <c r="L556" s="2" t="s">
        <v>3127</v>
      </c>
      <c r="O556" s="2" t="s">
        <v>1368</v>
      </c>
    </row>
    <row r="557" ht="15.75" customHeight="1">
      <c r="A557" s="2">
        <v>2017.0</v>
      </c>
      <c r="B557" s="2" t="s">
        <v>2987</v>
      </c>
      <c r="C557" s="2" t="s">
        <v>12129</v>
      </c>
      <c r="K557" s="2" t="s">
        <v>2988</v>
      </c>
      <c r="O557" s="2" t="s">
        <v>1368</v>
      </c>
    </row>
    <row r="558" ht="15.75" customHeight="1">
      <c r="A558" s="2">
        <v>2017.0</v>
      </c>
      <c r="B558" s="2" t="s">
        <v>2982</v>
      </c>
      <c r="C558" s="2" t="s">
        <v>12129</v>
      </c>
      <c r="K558" s="2" t="s">
        <v>2983</v>
      </c>
      <c r="O558" s="2" t="s">
        <v>1368</v>
      </c>
    </row>
    <row r="559" ht="15.75" customHeight="1">
      <c r="A559" s="2">
        <v>1993.0</v>
      </c>
      <c r="B559" s="2" t="s">
        <v>2732</v>
      </c>
      <c r="C559" s="2" t="s">
        <v>12129</v>
      </c>
      <c r="K559" s="2" t="s">
        <v>2733</v>
      </c>
      <c r="O559" s="2" t="s">
        <v>1885</v>
      </c>
    </row>
    <row r="560" ht="15.75" customHeight="1">
      <c r="A560" s="2">
        <v>2018.0</v>
      </c>
      <c r="B560" s="2" t="s">
        <v>2879</v>
      </c>
      <c r="C560" s="2" t="s">
        <v>12129</v>
      </c>
      <c r="K560" s="2" t="s">
        <v>2880</v>
      </c>
      <c r="L560" s="2" t="s">
        <v>2881</v>
      </c>
      <c r="O560" s="2" t="s">
        <v>2889</v>
      </c>
    </row>
    <row r="561" ht="15.75" customHeight="1">
      <c r="A561" s="2">
        <v>2004.0</v>
      </c>
      <c r="B561" s="2" t="s">
        <v>4427</v>
      </c>
      <c r="C561" s="2" t="s">
        <v>15399</v>
      </c>
      <c r="F561" s="2" t="s">
        <v>15399</v>
      </c>
      <c r="K561" s="2" t="s">
        <v>1116</v>
      </c>
      <c r="L561" s="2" t="s">
        <v>1119</v>
      </c>
      <c r="N561" s="2" t="s">
        <v>15399</v>
      </c>
      <c r="O561" s="2" t="s">
        <v>1368</v>
      </c>
    </row>
    <row r="562" ht="15.75" customHeight="1">
      <c r="A562" s="2">
        <v>1996.0</v>
      </c>
      <c r="B562" s="2" t="s">
        <v>2787</v>
      </c>
      <c r="C562" s="2" t="s">
        <v>12129</v>
      </c>
      <c r="K562" s="2" t="s">
        <v>2788</v>
      </c>
      <c r="O562" s="2" t="s">
        <v>1368</v>
      </c>
    </row>
    <row r="563" ht="15.75" customHeight="1">
      <c r="A563" s="2">
        <v>2016.0</v>
      </c>
      <c r="B563" s="2" t="s">
        <v>3130</v>
      </c>
      <c r="C563" s="2" t="s">
        <v>12129</v>
      </c>
      <c r="K563" s="2" t="s">
        <v>3131</v>
      </c>
      <c r="L563" s="2" t="s">
        <v>3133</v>
      </c>
      <c r="O563" s="2" t="s">
        <v>1368</v>
      </c>
    </row>
    <row r="564" ht="15.75" customHeight="1">
      <c r="A564" s="2">
        <v>2014.0</v>
      </c>
      <c r="B564" s="2" t="s">
        <v>3117</v>
      </c>
      <c r="C564" s="2" t="s">
        <v>12129</v>
      </c>
      <c r="K564" s="2" t="s">
        <v>3118</v>
      </c>
      <c r="L564" s="2" t="s">
        <v>3120</v>
      </c>
      <c r="O564" s="2" t="s">
        <v>1368</v>
      </c>
    </row>
    <row r="565" ht="15.75" customHeight="1">
      <c r="A565" s="2">
        <v>2012.0</v>
      </c>
      <c r="B565" s="2" t="s">
        <v>2741</v>
      </c>
      <c r="C565" s="2" t="s">
        <v>12129</v>
      </c>
      <c r="K565" s="2" t="s">
        <v>2742</v>
      </c>
      <c r="L565" s="2" t="s">
        <v>2744</v>
      </c>
      <c r="O565" s="2" t="s">
        <v>1368</v>
      </c>
    </row>
    <row r="566" ht="15.75" customHeight="1">
      <c r="A566" s="2">
        <v>1999.0</v>
      </c>
      <c r="B566" s="2" t="s">
        <v>3110</v>
      </c>
      <c r="C566" s="2" t="s">
        <v>12129</v>
      </c>
      <c r="K566" s="2" t="s">
        <v>3111</v>
      </c>
      <c r="L566" s="2" t="s">
        <v>3114</v>
      </c>
      <c r="O566" s="2" t="s">
        <v>1368</v>
      </c>
    </row>
    <row r="567" ht="15.75" customHeight="1">
      <c r="A567" s="2">
        <v>2012.0</v>
      </c>
      <c r="B567" s="2" t="s">
        <v>2689</v>
      </c>
      <c r="C567" s="2" t="s">
        <v>12129</v>
      </c>
      <c r="K567" s="2" t="s">
        <v>2690</v>
      </c>
      <c r="O567" s="2" t="s">
        <v>1368</v>
      </c>
    </row>
    <row r="568" ht="15.75" customHeight="1">
      <c r="A568" s="2">
        <v>2008.0</v>
      </c>
      <c r="B568" s="2" t="s">
        <v>3007</v>
      </c>
      <c r="C568" s="2" t="s">
        <v>12129</v>
      </c>
      <c r="K568" s="2" t="s">
        <v>3008</v>
      </c>
      <c r="O568" s="2" t="s">
        <v>1368</v>
      </c>
    </row>
    <row r="569" ht="15.75" customHeight="1">
      <c r="A569" s="2">
        <v>2007.0</v>
      </c>
      <c r="B569" s="2" t="s">
        <v>2792</v>
      </c>
      <c r="C569" s="2" t="s">
        <v>12129</v>
      </c>
      <c r="K569" s="2" t="s">
        <v>2793</v>
      </c>
      <c r="L569" s="2" t="s">
        <v>2795</v>
      </c>
      <c r="O569" s="2" t="s">
        <v>1368</v>
      </c>
    </row>
    <row r="570" ht="15.75" customHeight="1">
      <c r="A570" s="2">
        <v>2013.0</v>
      </c>
      <c r="B570" s="2" t="s">
        <v>2707</v>
      </c>
      <c r="C570" s="2" t="s">
        <v>12129</v>
      </c>
      <c r="K570" s="2" t="s">
        <v>2708</v>
      </c>
      <c r="L570" s="2" t="s">
        <v>2710</v>
      </c>
      <c r="O570" s="2" t="s">
        <v>1368</v>
      </c>
    </row>
    <row r="571" ht="15.75" customHeight="1">
      <c r="A571" s="2">
        <v>2016.0</v>
      </c>
      <c r="B571" s="2" t="s">
        <v>3169</v>
      </c>
      <c r="C571" s="2" t="s">
        <v>12129</v>
      </c>
      <c r="K571" s="2" t="s">
        <v>3170</v>
      </c>
      <c r="L571" s="2" t="s">
        <v>3171</v>
      </c>
      <c r="O571" s="2" t="s">
        <v>1368</v>
      </c>
    </row>
    <row r="572" ht="15.75" customHeight="1">
      <c r="A572" s="2">
        <v>2018.0</v>
      </c>
      <c r="B572" s="2" t="s">
        <v>2903</v>
      </c>
      <c r="C572" s="2" t="s">
        <v>12129</v>
      </c>
      <c r="K572" s="2" t="s">
        <v>2904</v>
      </c>
      <c r="L572" s="2" t="s">
        <v>2907</v>
      </c>
      <c r="O572" s="2" t="s">
        <v>2915</v>
      </c>
    </row>
    <row r="573" ht="15.75" customHeight="1">
      <c r="A573" s="2">
        <v>2004.0</v>
      </c>
      <c r="B573" s="2" t="s">
        <v>2683</v>
      </c>
      <c r="C573" s="2" t="s">
        <v>12129</v>
      </c>
      <c r="K573" s="2" t="s">
        <v>2684</v>
      </c>
      <c r="O573" s="2" t="s">
        <v>1368</v>
      </c>
    </row>
    <row r="574" ht="15.75" customHeight="1">
      <c r="A574" s="2">
        <v>2007.0</v>
      </c>
      <c r="B574" s="2" t="s">
        <v>4346</v>
      </c>
      <c r="C574" s="2" t="s">
        <v>15399</v>
      </c>
      <c r="E574" s="2" t="s">
        <v>15399</v>
      </c>
      <c r="K574" s="2" t="s">
        <v>1035</v>
      </c>
      <c r="L574" s="2" t="s">
        <v>1037</v>
      </c>
      <c r="N574" s="2" t="s">
        <v>15399</v>
      </c>
      <c r="O574" s="2" t="s">
        <v>1368</v>
      </c>
    </row>
    <row r="575" ht="15.75" customHeight="1">
      <c r="A575" s="2">
        <v>2014.0</v>
      </c>
      <c r="B575" s="2" t="s">
        <v>6893</v>
      </c>
      <c r="C575" s="2" t="s">
        <v>15399</v>
      </c>
      <c r="G575" s="2" t="s">
        <v>15399</v>
      </c>
      <c r="K575" s="2" t="s">
        <v>503</v>
      </c>
      <c r="L575" s="2" t="s">
        <v>506</v>
      </c>
      <c r="N575" s="2" t="s">
        <v>15399</v>
      </c>
      <c r="O575" s="2" t="s">
        <v>1368</v>
      </c>
    </row>
    <row r="576" ht="15.75" customHeight="1">
      <c r="A576" s="2">
        <v>2006.0</v>
      </c>
      <c r="B576" s="2" t="s">
        <v>3080</v>
      </c>
      <c r="C576" s="2" t="s">
        <v>12129</v>
      </c>
      <c r="K576" s="2" t="s">
        <v>3081</v>
      </c>
      <c r="O576" s="2" t="s">
        <v>1368</v>
      </c>
    </row>
    <row r="577" ht="15.75" customHeight="1">
      <c r="A577" s="2">
        <v>2001.0</v>
      </c>
      <c r="B577" s="2" t="s">
        <v>2724</v>
      </c>
      <c r="C577" s="2" t="s">
        <v>12129</v>
      </c>
      <c r="K577" s="2" t="s">
        <v>2725</v>
      </c>
      <c r="L577" s="2" t="s">
        <v>2727</v>
      </c>
      <c r="O577" s="2" t="s">
        <v>1368</v>
      </c>
    </row>
    <row r="578" ht="15.75" customHeight="1">
      <c r="A578" s="2">
        <v>2005.0</v>
      </c>
      <c r="B578" s="2" t="s">
        <v>3161</v>
      </c>
      <c r="C578" s="2" t="s">
        <v>12129</v>
      </c>
      <c r="K578" s="2" t="s">
        <v>3162</v>
      </c>
      <c r="L578" s="2" t="s">
        <v>3165</v>
      </c>
      <c r="O578" s="2" t="s">
        <v>1368</v>
      </c>
    </row>
    <row r="579" ht="15.75" customHeight="1">
      <c r="A579" s="2">
        <v>2010.0</v>
      </c>
      <c r="B579" s="2" t="s">
        <v>2834</v>
      </c>
      <c r="C579" s="2" t="s">
        <v>12129</v>
      </c>
      <c r="K579" s="2" t="s">
        <v>2835</v>
      </c>
      <c r="O579" s="2" t="s">
        <v>1368</v>
      </c>
    </row>
    <row r="580" ht="15.75" customHeight="1">
      <c r="A580" s="2">
        <v>1998.0</v>
      </c>
      <c r="B580" s="2" t="s">
        <v>10156</v>
      </c>
      <c r="C580" s="2" t="s">
        <v>15399</v>
      </c>
      <c r="E580" s="2" t="s">
        <v>15399</v>
      </c>
      <c r="K580" s="2" t="s">
        <v>1258</v>
      </c>
      <c r="L580" s="2" t="s">
        <v>1261</v>
      </c>
      <c r="N580" s="2" t="s">
        <v>15399</v>
      </c>
      <c r="O580" s="2" t="s">
        <v>1368</v>
      </c>
    </row>
    <row r="581" ht="15.75" customHeight="1">
      <c r="A581" s="2">
        <v>2016.0</v>
      </c>
      <c r="B581" s="2" t="s">
        <v>3152</v>
      </c>
      <c r="C581" s="2" t="s">
        <v>12129</v>
      </c>
      <c r="K581" s="2" t="s">
        <v>3153</v>
      </c>
      <c r="L581" s="2" t="s">
        <v>3156</v>
      </c>
      <c r="O581" s="2" t="s">
        <v>1368</v>
      </c>
    </row>
    <row r="582" ht="15.75" customHeight="1">
      <c r="A582" s="2">
        <v>2001.0</v>
      </c>
      <c r="B582" s="2" t="s">
        <v>8513</v>
      </c>
      <c r="C582" s="2" t="s">
        <v>15399</v>
      </c>
      <c r="G582" s="2" t="s">
        <v>15399</v>
      </c>
      <c r="K582" s="2" t="s">
        <v>1212</v>
      </c>
      <c r="L582" s="2" t="s">
        <v>1214</v>
      </c>
      <c r="N582" s="2" t="s">
        <v>15399</v>
      </c>
      <c r="O582" s="2" t="s">
        <v>1368</v>
      </c>
    </row>
    <row r="583" ht="15.75" customHeight="1">
      <c r="A583" s="2">
        <v>2005.0</v>
      </c>
      <c r="B583" s="2" t="s">
        <v>2868</v>
      </c>
      <c r="C583" s="2" t="s">
        <v>12129</v>
      </c>
      <c r="K583" s="2" t="s">
        <v>2869</v>
      </c>
      <c r="L583" s="2" t="s">
        <v>2870</v>
      </c>
      <c r="O583" s="2" t="s">
        <v>1872</v>
      </c>
    </row>
    <row r="584" ht="15.75" customHeight="1">
      <c r="A584" s="2">
        <v>2003.0</v>
      </c>
      <c r="B584" s="2" t="s">
        <v>3146</v>
      </c>
      <c r="C584" s="2" t="s">
        <v>12129</v>
      </c>
      <c r="K584" s="2" t="s">
        <v>3147</v>
      </c>
      <c r="L584" s="2" t="s">
        <v>3149</v>
      </c>
      <c r="O584" s="2" t="s">
        <v>1368</v>
      </c>
    </row>
    <row r="585" ht="15.75" customHeight="1">
      <c r="A585" s="2">
        <v>2006.0</v>
      </c>
      <c r="B585" s="2" t="s">
        <v>2622</v>
      </c>
      <c r="C585" s="2" t="s">
        <v>12129</v>
      </c>
      <c r="K585" s="2" t="s">
        <v>2623</v>
      </c>
      <c r="L585" s="2" t="s">
        <v>2625</v>
      </c>
      <c r="O585" s="2" t="s">
        <v>1368</v>
      </c>
    </row>
    <row r="586" ht="15.75" customHeight="1">
      <c r="A586" s="2">
        <v>2016.0</v>
      </c>
      <c r="B586" s="2" t="s">
        <v>3138</v>
      </c>
      <c r="C586" s="2" t="s">
        <v>15399</v>
      </c>
      <c r="G586" s="2" t="s">
        <v>15399</v>
      </c>
      <c r="J586" s="2" t="s">
        <v>15399</v>
      </c>
      <c r="K586" s="2" t="s">
        <v>3139</v>
      </c>
      <c r="O586" s="2" t="s">
        <v>1368</v>
      </c>
    </row>
    <row r="587" ht="15.75" customHeight="1">
      <c r="A587" s="2">
        <v>2007.0</v>
      </c>
      <c r="B587" s="2" t="s">
        <v>3039</v>
      </c>
      <c r="C587" s="2" t="s">
        <v>12129</v>
      </c>
      <c r="K587" s="2" t="s">
        <v>3040</v>
      </c>
      <c r="O587" s="2" t="s">
        <v>1368</v>
      </c>
    </row>
    <row r="588" ht="15.75" customHeight="1">
      <c r="A588" s="2">
        <v>2016.0</v>
      </c>
      <c r="B588" s="2" t="s">
        <v>3195</v>
      </c>
      <c r="C588" s="2" t="s">
        <v>12129</v>
      </c>
      <c r="K588" s="2" t="s">
        <v>3196</v>
      </c>
      <c r="O588" s="2" t="s">
        <v>1368</v>
      </c>
    </row>
    <row r="589" ht="15.75" customHeight="1">
      <c r="A589" s="2">
        <v>2005.0</v>
      </c>
      <c r="B589" s="2" t="s">
        <v>3222</v>
      </c>
      <c r="C589" s="2" t="s">
        <v>12129</v>
      </c>
      <c r="K589" s="2" t="s">
        <v>3223</v>
      </c>
      <c r="L589" s="2" t="s">
        <v>3226</v>
      </c>
      <c r="O589" s="2" t="s">
        <v>1368</v>
      </c>
    </row>
    <row r="590" ht="15.75" customHeight="1">
      <c r="A590" s="2">
        <v>2004.0</v>
      </c>
      <c r="B590" s="2" t="s">
        <v>2764</v>
      </c>
      <c r="C590" s="2" t="s">
        <v>12129</v>
      </c>
      <c r="K590" s="2" t="s">
        <v>2765</v>
      </c>
      <c r="L590" s="2" t="s">
        <v>2767</v>
      </c>
      <c r="O590" s="2" t="s">
        <v>1368</v>
      </c>
    </row>
    <row r="591" ht="15.75" customHeight="1">
      <c r="A591" s="2">
        <v>2014.0</v>
      </c>
      <c r="B591" s="2" t="s">
        <v>3213</v>
      </c>
      <c r="C591" s="2" t="s">
        <v>12129</v>
      </c>
      <c r="K591" s="2" t="s">
        <v>3214</v>
      </c>
      <c r="L591" s="2" t="s">
        <v>3217</v>
      </c>
      <c r="O591" s="2" t="s">
        <v>1368</v>
      </c>
    </row>
    <row r="592" ht="15.75" customHeight="1">
      <c r="A592" s="2">
        <v>2007.0</v>
      </c>
      <c r="B592" s="2" t="s">
        <v>3206</v>
      </c>
      <c r="C592" s="2" t="s">
        <v>12129</v>
      </c>
      <c r="K592" s="2" t="s">
        <v>3207</v>
      </c>
      <c r="L592" s="2" t="s">
        <v>3209</v>
      </c>
      <c r="O592" s="2" t="s">
        <v>1368</v>
      </c>
    </row>
    <row r="593" ht="15.75" customHeight="1">
      <c r="A593" s="2">
        <v>2012.0</v>
      </c>
      <c r="B593" s="2" t="s">
        <v>2999</v>
      </c>
      <c r="C593" s="2" t="s">
        <v>12129</v>
      </c>
      <c r="K593" s="2" t="s">
        <v>3000</v>
      </c>
      <c r="O593" s="2" t="s">
        <v>1368</v>
      </c>
    </row>
    <row r="594" ht="15.75" customHeight="1">
      <c r="A594" s="2">
        <v>2018.0</v>
      </c>
      <c r="B594" s="2" t="s">
        <v>3024</v>
      </c>
      <c r="C594" s="2" t="s">
        <v>12129</v>
      </c>
      <c r="K594" s="2" t="s">
        <v>3025</v>
      </c>
      <c r="O594" s="2" t="s">
        <v>1368</v>
      </c>
    </row>
    <row r="595" ht="15.75" customHeight="1">
      <c r="A595" s="2">
        <v>2017.0</v>
      </c>
      <c r="B595" s="2" t="s">
        <v>3075</v>
      </c>
      <c r="C595" s="2" t="s">
        <v>12129</v>
      </c>
      <c r="K595" s="2" t="s">
        <v>3076</v>
      </c>
      <c r="O595" s="2" t="s">
        <v>1368</v>
      </c>
    </row>
    <row r="596" ht="15.75" customHeight="1">
      <c r="A596" s="2">
        <v>2014.0</v>
      </c>
      <c r="B596" s="2" t="s">
        <v>2977</v>
      </c>
      <c r="C596" s="2" t="s">
        <v>12129</v>
      </c>
      <c r="K596" s="2" t="s">
        <v>2978</v>
      </c>
      <c r="O596" s="2" t="s">
        <v>1368</v>
      </c>
    </row>
    <row r="597" ht="15.75" customHeight="1">
      <c r="A597" s="2">
        <v>2009.0</v>
      </c>
      <c r="B597" s="2" t="s">
        <v>3187</v>
      </c>
      <c r="C597" s="2" t="s">
        <v>12129</v>
      </c>
      <c r="K597" s="2" t="s">
        <v>3188</v>
      </c>
      <c r="L597" s="2" t="s">
        <v>3191</v>
      </c>
      <c r="O597" s="2" t="s">
        <v>1368</v>
      </c>
    </row>
    <row r="598" ht="15.75" customHeight="1">
      <c r="A598" s="2">
        <v>2010.0</v>
      </c>
      <c r="B598" s="2" t="s">
        <v>3180</v>
      </c>
      <c r="C598" s="2" t="s">
        <v>12129</v>
      </c>
      <c r="K598" s="2" t="s">
        <v>3181</v>
      </c>
      <c r="L598" s="2" t="s">
        <v>3184</v>
      </c>
      <c r="O598" s="2" t="s">
        <v>1368</v>
      </c>
    </row>
    <row r="599" ht="15.75" customHeight="1">
      <c r="A599" s="2">
        <v>1998.0</v>
      </c>
      <c r="B599" s="2" t="s">
        <v>3199</v>
      </c>
      <c r="C599" s="2" t="s">
        <v>12129</v>
      </c>
      <c r="K599" s="2" t="s">
        <v>3200</v>
      </c>
      <c r="L599" s="2" t="s">
        <v>3203</v>
      </c>
      <c r="O599" s="2" t="s">
        <v>1368</v>
      </c>
    </row>
    <row r="600" ht="15.75" customHeight="1">
      <c r="A600" s="2">
        <v>2016.0</v>
      </c>
      <c r="B600" s="2" t="s">
        <v>2854</v>
      </c>
      <c r="C600" s="2" t="s">
        <v>12129</v>
      </c>
      <c r="K600" s="2" t="s">
        <v>2855</v>
      </c>
      <c r="L600" s="2" t="s">
        <v>2857</v>
      </c>
      <c r="O600" s="2" t="s">
        <v>2159</v>
      </c>
    </row>
    <row r="601" ht="15.75" customHeight="1">
      <c r="A601" s="2">
        <v>2017.0</v>
      </c>
      <c r="B601" s="2" t="s">
        <v>3174</v>
      </c>
      <c r="C601" s="2" t="s">
        <v>12129</v>
      </c>
      <c r="K601" s="2" t="s">
        <v>3175</v>
      </c>
      <c r="L601" s="2" t="s">
        <v>3176</v>
      </c>
      <c r="O601" s="2" t="s">
        <v>1368</v>
      </c>
    </row>
    <row r="602" ht="15.75" customHeight="1">
      <c r="A602" s="2">
        <v>2010.0</v>
      </c>
      <c r="B602" s="2" t="s">
        <v>2503</v>
      </c>
      <c r="C602" s="2" t="s">
        <v>12129</v>
      </c>
      <c r="K602" s="2" t="s">
        <v>2504</v>
      </c>
      <c r="O602" s="2" t="s">
        <v>1368</v>
      </c>
    </row>
    <row r="603" ht="15.75" customHeight="1">
      <c r="A603" s="2">
        <v>2004.0</v>
      </c>
      <c r="B603" s="2" t="s">
        <v>2516</v>
      </c>
      <c r="C603" s="2" t="s">
        <v>12129</v>
      </c>
      <c r="K603" s="2" t="s">
        <v>2517</v>
      </c>
      <c r="L603" s="2" t="s">
        <v>2520</v>
      </c>
      <c r="O603" s="2" t="s">
        <v>1368</v>
      </c>
    </row>
    <row r="604" ht="15.75" customHeight="1">
      <c r="A604" s="2">
        <v>2005.0</v>
      </c>
      <c r="B604" s="2" t="s">
        <v>2171</v>
      </c>
      <c r="C604" s="2" t="s">
        <v>12129</v>
      </c>
      <c r="K604" s="2" t="s">
        <v>2172</v>
      </c>
      <c r="L604" s="2" t="s">
        <v>2174</v>
      </c>
      <c r="O604" s="2" t="s">
        <v>1872</v>
      </c>
    </row>
    <row r="605" ht="15.75" customHeight="1">
      <c r="A605" s="2">
        <v>2014.0</v>
      </c>
      <c r="B605" s="2" t="s">
        <v>1986</v>
      </c>
      <c r="C605" s="2" t="s">
        <v>12129</v>
      </c>
      <c r="K605" s="2" t="s">
        <v>1987</v>
      </c>
      <c r="O605" s="2" t="s">
        <v>1368</v>
      </c>
    </row>
    <row r="606" ht="15.75" customHeight="1">
      <c r="A606" s="2">
        <v>2015.0</v>
      </c>
      <c r="B606" s="2" t="s">
        <v>2547</v>
      </c>
      <c r="C606" s="2" t="s">
        <v>12129</v>
      </c>
      <c r="K606" s="2" t="s">
        <v>2548</v>
      </c>
      <c r="L606" s="2" t="s">
        <v>2551</v>
      </c>
      <c r="O606" s="2" t="s">
        <v>1368</v>
      </c>
    </row>
    <row r="607" ht="15.75" customHeight="1">
      <c r="A607" s="2">
        <v>2005.0</v>
      </c>
      <c r="B607" s="2" t="s">
        <v>2018</v>
      </c>
      <c r="C607" s="2" t="s">
        <v>12129</v>
      </c>
      <c r="K607" s="2" t="s">
        <v>2019</v>
      </c>
      <c r="L607" s="2" t="s">
        <v>2021</v>
      </c>
      <c r="O607" s="2" t="s">
        <v>1368</v>
      </c>
    </row>
    <row r="608" ht="15.75" customHeight="1">
      <c r="A608" s="2">
        <v>2003.0</v>
      </c>
      <c r="B608" s="2" t="s">
        <v>12037</v>
      </c>
      <c r="C608" s="2" t="s">
        <v>15399</v>
      </c>
      <c r="G608" s="2" t="s">
        <v>15399</v>
      </c>
      <c r="K608" s="2" t="s">
        <v>1163</v>
      </c>
      <c r="L608" s="2" t="s">
        <v>1166</v>
      </c>
      <c r="N608" s="2" t="s">
        <v>15399</v>
      </c>
      <c r="O608" s="2" t="s">
        <v>1368</v>
      </c>
    </row>
    <row r="609" ht="15.75" customHeight="1">
      <c r="A609" s="2">
        <v>1954.0</v>
      </c>
      <c r="B609" s="2" t="s">
        <v>2009</v>
      </c>
      <c r="C609" s="2" t="s">
        <v>12129</v>
      </c>
      <c r="K609" s="2" t="s">
        <v>2010</v>
      </c>
      <c r="L609" s="2" t="s">
        <v>2012</v>
      </c>
      <c r="O609" s="2" t="s">
        <v>1368</v>
      </c>
    </row>
    <row r="610" ht="15.75" customHeight="1">
      <c r="A610" s="2">
        <v>2008.0</v>
      </c>
      <c r="B610" s="2" t="s">
        <v>2507</v>
      </c>
      <c r="C610" s="2" t="s">
        <v>12129</v>
      </c>
      <c r="K610" s="2" t="s">
        <v>2508</v>
      </c>
      <c r="O610" s="2" t="s">
        <v>1368</v>
      </c>
    </row>
    <row r="611" ht="15.75" customHeight="1">
      <c r="A611" s="2">
        <v>2008.0</v>
      </c>
      <c r="B611" s="2" t="s">
        <v>2252</v>
      </c>
      <c r="C611" s="2" t="s">
        <v>12129</v>
      </c>
      <c r="K611" s="2" t="s">
        <v>2253</v>
      </c>
      <c r="L611" s="2" t="s">
        <v>2256</v>
      </c>
      <c r="O611" s="2" t="s">
        <v>1368</v>
      </c>
    </row>
    <row r="612" ht="15.75" customHeight="1">
      <c r="A612" s="2">
        <v>2015.0</v>
      </c>
      <c r="B612" s="2" t="s">
        <v>2539</v>
      </c>
      <c r="C612" s="2" t="s">
        <v>12129</v>
      </c>
      <c r="K612" s="2" t="s">
        <v>2540</v>
      </c>
      <c r="L612" s="2" t="s">
        <v>2543</v>
      </c>
      <c r="O612" s="2" t="s">
        <v>1368</v>
      </c>
    </row>
    <row r="613" ht="15.75" customHeight="1">
      <c r="A613" s="2">
        <v>2002.0</v>
      </c>
      <c r="B613" s="2" t="s">
        <v>2531</v>
      </c>
      <c r="C613" s="2" t="s">
        <v>12129</v>
      </c>
      <c r="K613" s="2" t="s">
        <v>2532</v>
      </c>
      <c r="L613" s="2" t="s">
        <v>2535</v>
      </c>
      <c r="O613" s="2" t="s">
        <v>1368</v>
      </c>
    </row>
    <row r="614" ht="15.75" customHeight="1">
      <c r="A614" s="2">
        <v>1996.0</v>
      </c>
      <c r="B614" s="2" t="s">
        <v>2523</v>
      </c>
      <c r="C614" s="2" t="s">
        <v>12129</v>
      </c>
      <c r="K614" s="2" t="s">
        <v>2524</v>
      </c>
      <c r="L614" s="2" t="s">
        <v>2527</v>
      </c>
      <c r="O614" s="2" t="s">
        <v>1368</v>
      </c>
    </row>
    <row r="615" ht="15.75" customHeight="1">
      <c r="A615" s="2">
        <v>2000.0</v>
      </c>
      <c r="B615" s="2" t="s">
        <v>2303</v>
      </c>
      <c r="C615" s="2" t="s">
        <v>12129</v>
      </c>
      <c r="K615" s="2" t="s">
        <v>2304</v>
      </c>
      <c r="L615" s="2" t="s">
        <v>2307</v>
      </c>
      <c r="O615" s="2" t="s">
        <v>1368</v>
      </c>
    </row>
    <row r="616" ht="15.75" customHeight="1">
      <c r="A616" s="2">
        <v>2007.0</v>
      </c>
      <c r="B616" s="2" t="s">
        <v>2599</v>
      </c>
      <c r="C616" s="2" t="s">
        <v>12129</v>
      </c>
      <c r="K616" s="2" t="s">
        <v>2600</v>
      </c>
      <c r="L616" s="2" t="s">
        <v>2603</v>
      </c>
      <c r="O616" s="2" t="s">
        <v>1368</v>
      </c>
    </row>
    <row r="617" ht="15.75" customHeight="1">
      <c r="A617" s="2">
        <v>2003.0</v>
      </c>
      <c r="B617" s="2" t="s">
        <v>2583</v>
      </c>
      <c r="C617" s="2" t="s">
        <v>12129</v>
      </c>
      <c r="K617" s="2" t="s">
        <v>2584</v>
      </c>
      <c r="L617" s="2" t="s">
        <v>2586</v>
      </c>
      <c r="O617" s="2" t="s">
        <v>1368</v>
      </c>
    </row>
    <row r="618" ht="15.75" customHeight="1">
      <c r="A618" s="2">
        <v>2009.0</v>
      </c>
      <c r="B618" s="2" t="s">
        <v>2577</v>
      </c>
      <c r="C618" s="2" t="s">
        <v>12129</v>
      </c>
      <c r="K618" s="2" t="s">
        <v>2578</v>
      </c>
      <c r="L618" s="2" t="s">
        <v>2581</v>
      </c>
      <c r="O618" s="2" t="s">
        <v>1368</v>
      </c>
    </row>
    <row r="619" ht="15.75" customHeight="1">
      <c r="A619" s="2">
        <v>2012.0</v>
      </c>
      <c r="B619" s="2" t="s">
        <v>2559</v>
      </c>
      <c r="C619" s="2" t="s">
        <v>12129</v>
      </c>
      <c r="K619" s="2" t="s">
        <v>2560</v>
      </c>
      <c r="L619" s="2" t="s">
        <v>2561</v>
      </c>
      <c r="O619" s="2" t="s">
        <v>1368</v>
      </c>
    </row>
    <row r="620" ht="15.75" customHeight="1">
      <c r="A620" s="2">
        <v>2009.0</v>
      </c>
      <c r="B620" s="2" t="s">
        <v>2567</v>
      </c>
      <c r="C620" s="2" t="s">
        <v>12129</v>
      </c>
      <c r="K620" s="2" t="s">
        <v>2568</v>
      </c>
      <c r="L620" s="2" t="s">
        <v>2569</v>
      </c>
      <c r="O620" s="2" t="s">
        <v>1368</v>
      </c>
    </row>
    <row r="621" ht="15.75" customHeight="1">
      <c r="A621" s="2">
        <v>2010.0</v>
      </c>
      <c r="B621" s="2" t="s">
        <v>2567</v>
      </c>
      <c r="C621" s="2" t="s">
        <v>12129</v>
      </c>
      <c r="K621" s="2" t="s">
        <v>2589</v>
      </c>
      <c r="L621" s="2" t="s">
        <v>2592</v>
      </c>
      <c r="O621" s="2" t="s">
        <v>1368</v>
      </c>
    </row>
    <row r="622" ht="15.75" customHeight="1">
      <c r="A622" s="2">
        <v>2009.0</v>
      </c>
      <c r="B622" s="2" t="s">
        <v>2567</v>
      </c>
      <c r="C622" s="2" t="s">
        <v>12129</v>
      </c>
      <c r="K622" s="2" t="s">
        <v>2595</v>
      </c>
      <c r="L622" s="2" t="s">
        <v>2596</v>
      </c>
      <c r="O622" s="2" t="s">
        <v>1368</v>
      </c>
    </row>
    <row r="623" ht="15.75" customHeight="1">
      <c r="A623" s="2">
        <v>2012.0</v>
      </c>
      <c r="B623" s="2" t="s">
        <v>2572</v>
      </c>
      <c r="C623" s="2" t="s">
        <v>12129</v>
      </c>
      <c r="K623" s="2" t="s">
        <v>2573</v>
      </c>
      <c r="L623" s="2" t="s">
        <v>2574</v>
      </c>
      <c r="O623" s="2" t="s">
        <v>1368</v>
      </c>
    </row>
    <row r="624" ht="15.75" customHeight="1">
      <c r="A624" s="2">
        <v>2004.0</v>
      </c>
      <c r="B624" s="2" t="s">
        <v>9186</v>
      </c>
      <c r="C624" s="2" t="s">
        <v>15399</v>
      </c>
      <c r="I624" s="2" t="s">
        <v>15399</v>
      </c>
      <c r="K624" s="2" t="s">
        <v>9187</v>
      </c>
      <c r="L624" s="2" t="s">
        <v>1158</v>
      </c>
      <c r="N624" s="2" t="s">
        <v>15399</v>
      </c>
      <c r="O624" s="2" t="s">
        <v>1368</v>
      </c>
    </row>
    <row r="625" ht="15.75" customHeight="1">
      <c r="A625" s="2">
        <v>2015.0</v>
      </c>
      <c r="B625" s="2" t="s">
        <v>2261</v>
      </c>
      <c r="C625" s="2" t="s">
        <v>12129</v>
      </c>
      <c r="K625" s="2" t="s">
        <v>2262</v>
      </c>
      <c r="O625" s="2" t="s">
        <v>1368</v>
      </c>
    </row>
    <row r="626" ht="15.75" customHeight="1">
      <c r="A626" s="2">
        <v>1999.0</v>
      </c>
      <c r="B626" s="2" t="s">
        <v>2110</v>
      </c>
      <c r="C626" s="2" t="s">
        <v>12129</v>
      </c>
      <c r="K626" s="2" t="s">
        <v>2111</v>
      </c>
      <c r="L626" s="2" t="s">
        <v>2113</v>
      </c>
      <c r="O626" s="2" t="s">
        <v>1368</v>
      </c>
    </row>
    <row r="627" ht="15.75" customHeight="1">
      <c r="A627" s="2">
        <v>2002.0</v>
      </c>
      <c r="B627" s="2" t="s">
        <v>2001</v>
      </c>
      <c r="C627" s="2" t="s">
        <v>12129</v>
      </c>
      <c r="K627" s="2" t="s">
        <v>2002</v>
      </c>
      <c r="L627" s="2" t="s">
        <v>2004</v>
      </c>
      <c r="O627" s="2" t="s">
        <v>1368</v>
      </c>
    </row>
    <row r="628" ht="15.75" customHeight="1">
      <c r="A628" s="2">
        <v>2009.0</v>
      </c>
      <c r="B628" s="2" t="s">
        <v>1971</v>
      </c>
      <c r="C628" s="2" t="s">
        <v>12129</v>
      </c>
      <c r="K628" s="2" t="s">
        <v>1972</v>
      </c>
      <c r="L628" s="2" t="s">
        <v>1973</v>
      </c>
      <c r="O628" s="2" t="s">
        <v>1368</v>
      </c>
    </row>
    <row r="629" ht="15.75" customHeight="1">
      <c r="A629" s="2">
        <v>2015.0</v>
      </c>
      <c r="B629" s="2" t="s">
        <v>2313</v>
      </c>
      <c r="C629" s="2" t="s">
        <v>12129</v>
      </c>
      <c r="K629" s="2" t="s">
        <v>2314</v>
      </c>
      <c r="O629" s="2" t="s">
        <v>1368</v>
      </c>
    </row>
    <row r="630" ht="15.75" customHeight="1">
      <c r="A630" s="2">
        <v>2012.0</v>
      </c>
      <c r="B630" s="2" t="s">
        <v>2609</v>
      </c>
      <c r="C630" s="2" t="s">
        <v>12129</v>
      </c>
      <c r="K630" s="2" t="s">
        <v>2610</v>
      </c>
      <c r="L630" s="2" t="s">
        <v>2611</v>
      </c>
      <c r="O630" s="2" t="s">
        <v>1368</v>
      </c>
    </row>
    <row r="631" ht="15.75" customHeight="1">
      <c r="A631" s="2">
        <v>2008.0</v>
      </c>
      <c r="B631" s="2" t="s">
        <v>2078</v>
      </c>
      <c r="C631" s="2" t="s">
        <v>12129</v>
      </c>
      <c r="K631" s="2" t="s">
        <v>2079</v>
      </c>
      <c r="L631" s="2" t="s">
        <v>2080</v>
      </c>
      <c r="O631" s="2" t="s">
        <v>1621</v>
      </c>
    </row>
    <row r="632" ht="15.75" customHeight="1">
      <c r="A632" s="2">
        <v>2009.0</v>
      </c>
      <c r="B632" s="2" t="s">
        <v>1963</v>
      </c>
      <c r="C632" s="2" t="s">
        <v>12129</v>
      </c>
      <c r="K632" s="2" t="s">
        <v>1964</v>
      </c>
      <c r="L632" s="2" t="s">
        <v>1966</v>
      </c>
      <c r="O632" s="2" t="s">
        <v>1368</v>
      </c>
    </row>
    <row r="633" ht="15.75" customHeight="1">
      <c r="A633" s="2">
        <v>1995.0</v>
      </c>
      <c r="B633" s="2" t="s">
        <v>2085</v>
      </c>
      <c r="C633" s="2" t="s">
        <v>12129</v>
      </c>
      <c r="K633" s="2" t="s">
        <v>2086</v>
      </c>
      <c r="L633" s="2" t="s">
        <v>2088</v>
      </c>
      <c r="O633" s="2" t="s">
        <v>1368</v>
      </c>
    </row>
    <row r="634" ht="15.75" customHeight="1">
      <c r="A634" s="2">
        <v>1991.0</v>
      </c>
      <c r="B634" s="2" t="s">
        <v>2085</v>
      </c>
      <c r="C634" s="2" t="s">
        <v>12129</v>
      </c>
      <c r="K634" s="2" t="s">
        <v>2606</v>
      </c>
      <c r="O634" s="2" t="s">
        <v>1368</v>
      </c>
    </row>
    <row r="635" ht="15.75" customHeight="1">
      <c r="A635" s="2">
        <v>2003.0</v>
      </c>
      <c r="B635" s="2" t="s">
        <v>2283</v>
      </c>
      <c r="C635" s="2" t="s">
        <v>12129</v>
      </c>
      <c r="K635" s="2" t="s">
        <v>2284</v>
      </c>
      <c r="O635" s="2" t="s">
        <v>1368</v>
      </c>
    </row>
    <row r="636" ht="15.75" customHeight="1">
      <c r="A636" s="2">
        <v>2002.0</v>
      </c>
      <c r="B636" s="2" t="s">
        <v>1378</v>
      </c>
      <c r="C636" s="2" t="s">
        <v>15399</v>
      </c>
      <c r="G636" s="2" t="s">
        <v>15399</v>
      </c>
      <c r="K636" s="2" t="s">
        <v>1379</v>
      </c>
      <c r="L636" s="2" t="s">
        <v>1201</v>
      </c>
      <c r="N636" s="2" t="s">
        <v>15399</v>
      </c>
      <c r="O636" s="2" t="s">
        <v>1368</v>
      </c>
    </row>
    <row r="637" ht="15.75" customHeight="1">
      <c r="A637" s="2">
        <v>2015.0</v>
      </c>
      <c r="B637" s="2" t="s">
        <v>2246</v>
      </c>
      <c r="C637" s="2" t="s">
        <v>12129</v>
      </c>
      <c r="K637" s="2" t="s">
        <v>2247</v>
      </c>
      <c r="L637" s="2" t="s">
        <v>2248</v>
      </c>
      <c r="O637" s="2" t="s">
        <v>1368</v>
      </c>
    </row>
    <row r="638" ht="15.75" customHeight="1">
      <c r="A638" s="2">
        <v>2013.0</v>
      </c>
      <c r="B638" s="2" t="s">
        <v>1939</v>
      </c>
      <c r="C638" s="2" t="s">
        <v>12129</v>
      </c>
      <c r="K638" s="2" t="s">
        <v>1940</v>
      </c>
      <c r="L638" s="2" t="s">
        <v>1942</v>
      </c>
      <c r="O638" s="2" t="s">
        <v>1368</v>
      </c>
    </row>
    <row r="639" ht="15.75" customHeight="1">
      <c r="A639" s="2">
        <v>1971.0</v>
      </c>
      <c r="B639" s="2" t="s">
        <v>2034</v>
      </c>
      <c r="C639" s="2" t="s">
        <v>12129</v>
      </c>
      <c r="K639" s="2" t="s">
        <v>2035</v>
      </c>
      <c r="L639" s="2" t="s">
        <v>2037</v>
      </c>
      <c r="O639" s="2" t="s">
        <v>1368</v>
      </c>
    </row>
    <row r="640" ht="15.75" customHeight="1">
      <c r="A640" s="2">
        <v>2004.0</v>
      </c>
      <c r="B640" s="2" t="s">
        <v>2370</v>
      </c>
      <c r="C640" s="2" t="s">
        <v>12129</v>
      </c>
      <c r="K640" s="2" t="s">
        <v>2371</v>
      </c>
      <c r="O640" s="2" t="s">
        <v>1368</v>
      </c>
    </row>
    <row r="641" ht="15.75" customHeight="1">
      <c r="A641" s="2">
        <v>2010.0</v>
      </c>
      <c r="B641" s="2" t="s">
        <v>2338</v>
      </c>
      <c r="C641" s="2" t="s">
        <v>12129</v>
      </c>
      <c r="K641" s="2" t="s">
        <v>2339</v>
      </c>
      <c r="L641" s="2" t="s">
        <v>2342</v>
      </c>
      <c r="O641" s="2" t="s">
        <v>1368</v>
      </c>
    </row>
    <row r="642" ht="15.75" customHeight="1">
      <c r="A642" s="2">
        <v>2009.0</v>
      </c>
      <c r="B642" s="2" t="s">
        <v>2330</v>
      </c>
      <c r="C642" s="2" t="s">
        <v>12129</v>
      </c>
      <c r="K642" s="2" t="s">
        <v>2331</v>
      </c>
      <c r="L642" s="2" t="s">
        <v>2333</v>
      </c>
      <c r="O642" s="2" t="s">
        <v>1368</v>
      </c>
    </row>
    <row r="643" ht="15.75" customHeight="1">
      <c r="A643" s="2">
        <v>1999.0</v>
      </c>
      <c r="B643" s="2" t="s">
        <v>8585</v>
      </c>
      <c r="C643" s="2" t="s">
        <v>15399</v>
      </c>
      <c r="G643" s="2" t="s">
        <v>15399</v>
      </c>
      <c r="K643" s="2" t="s">
        <v>1242</v>
      </c>
      <c r="L643" s="2" t="s">
        <v>1244</v>
      </c>
      <c r="N643" s="2" t="s">
        <v>15399</v>
      </c>
      <c r="O643" s="2" t="s">
        <v>1368</v>
      </c>
    </row>
    <row r="644" ht="15.75" customHeight="1">
      <c r="A644" s="2">
        <v>1994.0</v>
      </c>
      <c r="B644" s="2" t="s">
        <v>2324</v>
      </c>
      <c r="C644" s="2" t="s">
        <v>12129</v>
      </c>
      <c r="K644" s="2" t="s">
        <v>2325</v>
      </c>
      <c r="L644" s="2" t="s">
        <v>2326</v>
      </c>
      <c r="O644" s="2" t="s">
        <v>1368</v>
      </c>
    </row>
    <row r="645" ht="15.75" customHeight="1">
      <c r="A645" s="2">
        <v>2013.0</v>
      </c>
      <c r="B645" s="2" t="s">
        <v>11334</v>
      </c>
      <c r="C645" s="2" t="s">
        <v>15399</v>
      </c>
      <c r="G645" s="2" t="s">
        <v>15399</v>
      </c>
      <c r="J645" s="2" t="s">
        <v>15399</v>
      </c>
      <c r="K645" s="2" t="s">
        <v>565</v>
      </c>
      <c r="L645" s="2" t="s">
        <v>566</v>
      </c>
      <c r="N645" s="2" t="s">
        <v>15399</v>
      </c>
      <c r="O645" s="2" t="s">
        <v>2169</v>
      </c>
    </row>
    <row r="646" ht="15.75" customHeight="1">
      <c r="A646" s="2">
        <v>2002.0</v>
      </c>
      <c r="B646" s="2" t="s">
        <v>6001</v>
      </c>
      <c r="C646" s="2" t="s">
        <v>15399</v>
      </c>
      <c r="D646" s="2" t="s">
        <v>15399</v>
      </c>
      <c r="K646" s="2" t="s">
        <v>1178</v>
      </c>
      <c r="L646" s="2" t="s">
        <v>1180</v>
      </c>
      <c r="N646" s="2" t="s">
        <v>15399</v>
      </c>
      <c r="O646" s="2" t="s">
        <v>1621</v>
      </c>
    </row>
    <row r="647" ht="15.75" customHeight="1">
      <c r="A647" s="2">
        <v>2012.0</v>
      </c>
      <c r="B647" s="2" t="s">
        <v>2356</v>
      </c>
      <c r="C647" s="2" t="s">
        <v>12129</v>
      </c>
      <c r="K647" s="2" t="s">
        <v>2357</v>
      </c>
      <c r="L647" s="2" t="s">
        <v>2360</v>
      </c>
      <c r="O647" s="2" t="s">
        <v>1368</v>
      </c>
    </row>
    <row r="648" ht="15.75" customHeight="1">
      <c r="A648" s="2">
        <v>2012.0</v>
      </c>
      <c r="B648" s="2" t="s">
        <v>2348</v>
      </c>
      <c r="C648" s="2" t="s">
        <v>12129</v>
      </c>
      <c r="K648" s="2" t="s">
        <v>2349</v>
      </c>
      <c r="L648" s="2" t="s">
        <v>2352</v>
      </c>
      <c r="O648" s="2" t="s">
        <v>1368</v>
      </c>
    </row>
    <row r="649" ht="15.75" customHeight="1">
      <c r="A649" s="2">
        <v>2003.0</v>
      </c>
      <c r="B649" s="2" t="s">
        <v>4266</v>
      </c>
      <c r="C649" s="2" t="s">
        <v>15399</v>
      </c>
      <c r="I649" s="2" t="s">
        <v>15399</v>
      </c>
      <c r="K649" s="2" t="s">
        <v>4267</v>
      </c>
      <c r="L649" s="2" t="s">
        <v>4268</v>
      </c>
      <c r="O649" s="2" t="s">
        <v>2244</v>
      </c>
    </row>
    <row r="650" ht="15.75" customHeight="1">
      <c r="A650" s="2">
        <v>2015.0</v>
      </c>
      <c r="B650" s="2" t="s">
        <v>2214</v>
      </c>
      <c r="C650" s="2" t="s">
        <v>12129</v>
      </c>
      <c r="K650" s="2" t="s">
        <v>2215</v>
      </c>
      <c r="L650" s="2" t="s">
        <v>2218</v>
      </c>
      <c r="O650" s="2" t="s">
        <v>1885</v>
      </c>
    </row>
    <row r="651" ht="15.75" customHeight="1">
      <c r="A651" s="2">
        <v>2014.0</v>
      </c>
      <c r="B651" s="2" t="s">
        <v>2413</v>
      </c>
      <c r="C651" s="2" t="s">
        <v>12129</v>
      </c>
      <c r="K651" s="2" t="s">
        <v>2414</v>
      </c>
      <c r="L651" s="2" t="s">
        <v>2417</v>
      </c>
      <c r="O651" s="2" t="s">
        <v>1368</v>
      </c>
    </row>
    <row r="652" ht="15.75" customHeight="1">
      <c r="A652" s="2">
        <v>2012.0</v>
      </c>
      <c r="B652" s="2" t="s">
        <v>2183</v>
      </c>
      <c r="C652" s="2" t="s">
        <v>12129</v>
      </c>
      <c r="K652" s="2" t="s">
        <v>2184</v>
      </c>
      <c r="O652" s="2" t="s">
        <v>2188</v>
      </c>
    </row>
    <row r="653" ht="15.75" customHeight="1">
      <c r="A653" s="2">
        <v>2010.0</v>
      </c>
      <c r="B653" s="2" t="s">
        <v>1922</v>
      </c>
      <c r="C653" s="2" t="s">
        <v>12129</v>
      </c>
      <c r="K653" s="2" t="s">
        <v>1923</v>
      </c>
      <c r="L653" s="2" t="s">
        <v>1925</v>
      </c>
      <c r="O653" s="2" t="s">
        <v>1368</v>
      </c>
    </row>
    <row r="654" ht="15.75" customHeight="1">
      <c r="A654" s="2">
        <v>2016.0</v>
      </c>
      <c r="B654" s="2" t="s">
        <v>2405</v>
      </c>
      <c r="C654" s="2" t="s">
        <v>12129</v>
      </c>
      <c r="K654" s="2" t="s">
        <v>2406</v>
      </c>
      <c r="O654" s="2" t="s">
        <v>1368</v>
      </c>
    </row>
    <row r="655" ht="15.75" customHeight="1">
      <c r="A655" s="2">
        <v>2010.0</v>
      </c>
      <c r="B655" s="2" t="s">
        <v>2398</v>
      </c>
      <c r="C655" s="2" t="s">
        <v>12129</v>
      </c>
      <c r="K655" s="2" t="s">
        <v>2399</v>
      </c>
      <c r="L655" s="2" t="s">
        <v>2402</v>
      </c>
      <c r="O655" s="2" t="s">
        <v>1368</v>
      </c>
    </row>
    <row r="656" ht="15.75" customHeight="1">
      <c r="A656" s="2">
        <v>2003.0</v>
      </c>
      <c r="B656" s="2" t="s">
        <v>9338</v>
      </c>
      <c r="C656" s="2" t="s">
        <v>15399</v>
      </c>
      <c r="E656" s="2" t="s">
        <v>15399</v>
      </c>
      <c r="K656" s="2" t="s">
        <v>1171</v>
      </c>
      <c r="L656" s="2" t="s">
        <v>1173</v>
      </c>
      <c r="N656" s="2" t="s">
        <v>15399</v>
      </c>
      <c r="O656" s="2" t="s">
        <v>1621</v>
      </c>
    </row>
    <row r="657" ht="15.75" customHeight="1">
      <c r="A657" s="2">
        <v>2008.0</v>
      </c>
      <c r="B657" s="2" t="s">
        <v>9579</v>
      </c>
      <c r="C657" s="2" t="s">
        <v>15399</v>
      </c>
      <c r="I657" s="2" t="s">
        <v>15399</v>
      </c>
      <c r="K657" s="2" t="s">
        <v>1006</v>
      </c>
      <c r="L657" s="2" t="s">
        <v>1008</v>
      </c>
      <c r="N657" s="2" t="s">
        <v>15399</v>
      </c>
      <c r="O657" s="2" t="s">
        <v>1368</v>
      </c>
    </row>
    <row r="658" ht="15.75" customHeight="1">
      <c r="A658" s="2">
        <v>2009.0</v>
      </c>
      <c r="B658" s="2" t="s">
        <v>2287</v>
      </c>
      <c r="C658" s="2" t="s">
        <v>12129</v>
      </c>
      <c r="K658" s="2" t="s">
        <v>2288</v>
      </c>
      <c r="O658" s="2" t="s">
        <v>1368</v>
      </c>
    </row>
    <row r="659" ht="15.75" customHeight="1">
      <c r="A659" s="2">
        <v>2012.0</v>
      </c>
      <c r="B659" s="2" t="s">
        <v>2389</v>
      </c>
      <c r="C659" s="2" t="s">
        <v>12129</v>
      </c>
      <c r="K659" s="2" t="s">
        <v>2390</v>
      </c>
      <c r="L659" s="2" t="s">
        <v>2393</v>
      </c>
      <c r="O659" s="2" t="s">
        <v>1368</v>
      </c>
    </row>
    <row r="660" ht="15.75" customHeight="1">
      <c r="A660" s="2">
        <v>2012.0</v>
      </c>
      <c r="B660" s="2" t="s">
        <v>2070</v>
      </c>
      <c r="C660" s="2" t="s">
        <v>12129</v>
      </c>
      <c r="K660" s="2" t="s">
        <v>2071</v>
      </c>
      <c r="L660" s="2" t="s">
        <v>2073</v>
      </c>
      <c r="O660" s="2" t="s">
        <v>1368</v>
      </c>
    </row>
    <row r="661" ht="15.75" customHeight="1">
      <c r="A661" s="2">
        <v>1978.0</v>
      </c>
      <c r="B661" s="2" t="s">
        <v>2382</v>
      </c>
      <c r="C661" s="2" t="s">
        <v>12129</v>
      </c>
      <c r="K661" s="2" t="s">
        <v>2383</v>
      </c>
      <c r="L661" s="2" t="s">
        <v>2384</v>
      </c>
      <c r="O661" s="2" t="s">
        <v>1368</v>
      </c>
    </row>
    <row r="662" ht="15.75" customHeight="1">
      <c r="A662" s="2">
        <v>2007.0</v>
      </c>
      <c r="B662" s="2" t="s">
        <v>2376</v>
      </c>
      <c r="C662" s="2" t="s">
        <v>12129</v>
      </c>
      <c r="K662" s="2" t="s">
        <v>2377</v>
      </c>
      <c r="O662" s="2" t="s">
        <v>1368</v>
      </c>
    </row>
    <row r="663" ht="15.75" customHeight="1">
      <c r="A663" s="2">
        <v>2013.0</v>
      </c>
      <c r="B663" s="2" t="s">
        <v>2126</v>
      </c>
      <c r="C663" s="2" t="s">
        <v>12129</v>
      </c>
      <c r="K663" s="2" t="s">
        <v>2127</v>
      </c>
      <c r="L663" s="2" t="s">
        <v>2128</v>
      </c>
      <c r="O663" s="2" t="s">
        <v>2137</v>
      </c>
    </row>
    <row r="664" ht="15.75" customHeight="1">
      <c r="A664" s="2">
        <v>2002.0</v>
      </c>
      <c r="B664" s="2" t="s">
        <v>2026</v>
      </c>
      <c r="C664" s="2" t="s">
        <v>12129</v>
      </c>
      <c r="K664" s="2" t="s">
        <v>2027</v>
      </c>
      <c r="L664" s="2" t="s">
        <v>2029</v>
      </c>
      <c r="O664" s="2" t="s">
        <v>1368</v>
      </c>
    </row>
    <row r="665" ht="15.75" customHeight="1">
      <c r="A665" s="2">
        <v>1968.0</v>
      </c>
      <c r="B665" s="2" t="s">
        <v>2420</v>
      </c>
      <c r="C665" s="2" t="s">
        <v>12129</v>
      </c>
      <c r="K665" s="2" t="s">
        <v>2421</v>
      </c>
      <c r="L665" s="2" t="s">
        <v>2422</v>
      </c>
      <c r="O665" s="2" t="s">
        <v>1368</v>
      </c>
    </row>
    <row r="666" ht="15.75" customHeight="1">
      <c r="A666" s="2">
        <v>2013.0</v>
      </c>
      <c r="B666" s="2" t="s">
        <v>2439</v>
      </c>
      <c r="C666" s="2" t="s">
        <v>12129</v>
      </c>
      <c r="K666" s="2" t="s">
        <v>2440</v>
      </c>
      <c r="O666" s="2" t="s">
        <v>1368</v>
      </c>
    </row>
    <row r="667" ht="15.75" customHeight="1">
      <c r="A667" s="2">
        <v>2013.0</v>
      </c>
      <c r="B667" s="2" t="s">
        <v>2203</v>
      </c>
      <c r="C667" s="2" t="s">
        <v>12129</v>
      </c>
      <c r="K667" s="2" t="s">
        <v>2204</v>
      </c>
      <c r="L667" s="2" t="s">
        <v>2207</v>
      </c>
      <c r="O667" s="2" t="s">
        <v>1885</v>
      </c>
    </row>
    <row r="668" ht="15.75" customHeight="1">
      <c r="A668" s="2">
        <v>2012.0</v>
      </c>
      <c r="B668" s="2" t="s">
        <v>1930</v>
      </c>
      <c r="C668" s="2" t="s">
        <v>12129</v>
      </c>
      <c r="K668" s="2" t="s">
        <v>1931</v>
      </c>
      <c r="L668" s="2" t="s">
        <v>1933</v>
      </c>
      <c r="O668" s="2" t="s">
        <v>1368</v>
      </c>
    </row>
    <row r="669" ht="15.75" customHeight="1">
      <c r="A669" s="2">
        <v>2005.0</v>
      </c>
      <c r="B669" s="2" t="s">
        <v>1993</v>
      </c>
      <c r="C669" s="2" t="s">
        <v>12129</v>
      </c>
      <c r="K669" s="2" t="s">
        <v>1994</v>
      </c>
      <c r="L669" s="2" t="s">
        <v>1996</v>
      </c>
      <c r="O669" s="2" t="s">
        <v>1368</v>
      </c>
    </row>
    <row r="670" ht="15.75" customHeight="1">
      <c r="A670" s="2">
        <v>2009.0</v>
      </c>
      <c r="B670" s="2" t="s">
        <v>9311</v>
      </c>
      <c r="C670" s="2" t="s">
        <v>15399</v>
      </c>
      <c r="I670" s="2" t="s">
        <v>15399</v>
      </c>
      <c r="K670" s="2" t="s">
        <v>938</v>
      </c>
      <c r="L670" s="2" t="s">
        <v>940</v>
      </c>
      <c r="N670" s="2" t="s">
        <v>15399</v>
      </c>
      <c r="O670" s="2" t="s">
        <v>2169</v>
      </c>
    </row>
    <row r="671" ht="15.75" customHeight="1">
      <c r="A671" s="2">
        <v>2003.0</v>
      </c>
      <c r="B671" s="2" t="s">
        <v>2044</v>
      </c>
      <c r="C671" s="2" t="s">
        <v>12129</v>
      </c>
      <c r="K671" s="2" t="s">
        <v>2045</v>
      </c>
      <c r="O671" s="2" t="s">
        <v>1368</v>
      </c>
    </row>
    <row r="672" ht="15.75" customHeight="1">
      <c r="A672" s="2">
        <v>2015.0</v>
      </c>
      <c r="B672" s="2" t="s">
        <v>1978</v>
      </c>
      <c r="C672" s="2" t="s">
        <v>12129</v>
      </c>
      <c r="K672" s="2" t="s">
        <v>1979</v>
      </c>
      <c r="L672" s="2" t="s">
        <v>1981</v>
      </c>
      <c r="O672" s="2" t="s">
        <v>1368</v>
      </c>
    </row>
    <row r="673" ht="15.75" customHeight="1">
      <c r="A673" s="2">
        <v>2015.0</v>
      </c>
      <c r="B673" s="2" t="s">
        <v>2190</v>
      </c>
      <c r="C673" s="2" t="s">
        <v>12129</v>
      </c>
      <c r="K673" s="2" t="s">
        <v>2191</v>
      </c>
      <c r="L673" s="2" t="s">
        <v>2192</v>
      </c>
      <c r="O673" s="2" t="s">
        <v>1368</v>
      </c>
    </row>
    <row r="674" ht="15.75" customHeight="1">
      <c r="A674" s="2">
        <v>2017.0</v>
      </c>
      <c r="B674" s="2" t="s">
        <v>2190</v>
      </c>
      <c r="C674" s="2" t="s">
        <v>12129</v>
      </c>
      <c r="K674" s="2" t="s">
        <v>2433</v>
      </c>
      <c r="L674" s="2" t="s">
        <v>2435</v>
      </c>
      <c r="O674" s="2" t="s">
        <v>1368</v>
      </c>
    </row>
    <row r="675" ht="15.75" customHeight="1">
      <c r="A675" s="2">
        <v>2014.0</v>
      </c>
      <c r="B675" s="2" t="s">
        <v>2102</v>
      </c>
      <c r="C675" s="2" t="s">
        <v>12129</v>
      </c>
      <c r="K675" s="2" t="s">
        <v>2103</v>
      </c>
      <c r="L675" s="2" t="s">
        <v>2105</v>
      </c>
      <c r="O675" s="2" t="s">
        <v>1368</v>
      </c>
    </row>
    <row r="676" ht="15.75" customHeight="1">
      <c r="A676" s="2">
        <v>2000.0</v>
      </c>
      <c r="B676" s="2" t="s">
        <v>2427</v>
      </c>
      <c r="C676" s="2" t="s">
        <v>12129</v>
      </c>
      <c r="K676" s="2" t="s">
        <v>2428</v>
      </c>
      <c r="O676" s="2" t="s">
        <v>1368</v>
      </c>
    </row>
    <row r="677" ht="15.75" customHeight="1">
      <c r="A677" s="2">
        <v>2015.0</v>
      </c>
      <c r="B677" s="2" t="s">
        <v>2465</v>
      </c>
      <c r="C677" s="2" t="s">
        <v>12129</v>
      </c>
      <c r="K677" s="2" t="s">
        <v>2466</v>
      </c>
      <c r="O677" s="2" t="s">
        <v>1368</v>
      </c>
    </row>
    <row r="678" ht="15.75" customHeight="1">
      <c r="A678" s="2">
        <v>2015.0</v>
      </c>
      <c r="B678" s="2" t="s">
        <v>10303</v>
      </c>
      <c r="C678" s="2" t="s">
        <v>15399</v>
      </c>
      <c r="G678" s="2" t="s">
        <v>15399</v>
      </c>
      <c r="K678" s="2" t="s">
        <v>307</v>
      </c>
      <c r="L678" s="2" t="s">
        <v>309</v>
      </c>
      <c r="N678" s="2" t="s">
        <v>15399</v>
      </c>
      <c r="O678" s="2" t="s">
        <v>2238</v>
      </c>
    </row>
    <row r="679" ht="15.75" customHeight="1">
      <c r="A679" s="2">
        <v>2014.0</v>
      </c>
      <c r="B679" s="2" t="s">
        <v>1947</v>
      </c>
      <c r="C679" s="2" t="s">
        <v>12129</v>
      </c>
      <c r="K679" s="2" t="s">
        <v>1948</v>
      </c>
      <c r="L679" s="2" t="s">
        <v>1950</v>
      </c>
      <c r="O679" s="2" t="s">
        <v>1368</v>
      </c>
    </row>
    <row r="680" ht="15.75" customHeight="1">
      <c r="A680" s="2">
        <v>2009.0</v>
      </c>
      <c r="B680" s="2" t="s">
        <v>2484</v>
      </c>
      <c r="C680" s="2" t="s">
        <v>12129</v>
      </c>
      <c r="K680" s="2" t="s">
        <v>2485</v>
      </c>
      <c r="O680" s="2" t="s">
        <v>1368</v>
      </c>
    </row>
    <row r="681" ht="15.75" customHeight="1">
      <c r="A681" s="2">
        <v>1981.0</v>
      </c>
      <c r="B681" s="2" t="s">
        <v>2456</v>
      </c>
      <c r="C681" s="2" t="s">
        <v>12129</v>
      </c>
      <c r="K681" s="2" t="s">
        <v>2457</v>
      </c>
      <c r="L681" s="2" t="s">
        <v>2460</v>
      </c>
      <c r="O681" s="2" t="s">
        <v>1368</v>
      </c>
    </row>
    <row r="682" ht="15.75" customHeight="1">
      <c r="A682" s="2">
        <v>2015.0</v>
      </c>
      <c r="B682" s="2" t="s">
        <v>7197</v>
      </c>
      <c r="C682" s="2" t="s">
        <v>15399</v>
      </c>
      <c r="I682" s="2" t="s">
        <v>15399</v>
      </c>
      <c r="K682" s="2" t="s">
        <v>274</v>
      </c>
      <c r="L682" s="2" t="s">
        <v>277</v>
      </c>
      <c r="M682" s="2" t="s">
        <v>15399</v>
      </c>
      <c r="N682" s="2" t="s">
        <v>15399</v>
      </c>
      <c r="O682" s="2" t="s">
        <v>1368</v>
      </c>
    </row>
    <row r="683" ht="15.75" customHeight="1">
      <c r="A683" s="2">
        <v>2012.0</v>
      </c>
      <c r="B683" s="2" t="s">
        <v>4292</v>
      </c>
      <c r="C683" s="2" t="s">
        <v>15399</v>
      </c>
      <c r="I683" s="2" t="s">
        <v>15399</v>
      </c>
      <c r="K683" s="2" t="s">
        <v>652</v>
      </c>
      <c r="L683" s="2" t="s">
        <v>4294</v>
      </c>
      <c r="N683" s="2" t="s">
        <v>15399</v>
      </c>
      <c r="O683" s="2" t="s">
        <v>1368</v>
      </c>
    </row>
    <row r="684" ht="15.75" customHeight="1">
      <c r="A684" s="2">
        <v>2015.0</v>
      </c>
      <c r="B684" s="2" t="s">
        <v>2274</v>
      </c>
      <c r="C684" s="2" t="s">
        <v>12129</v>
      </c>
      <c r="K684" s="2" t="s">
        <v>2275</v>
      </c>
      <c r="O684" s="2" t="s">
        <v>1368</v>
      </c>
    </row>
    <row r="685" ht="15.75" customHeight="1">
      <c r="A685" s="2">
        <v>2013.0</v>
      </c>
      <c r="B685" s="2" t="s">
        <v>8711</v>
      </c>
      <c r="C685" s="2" t="s">
        <v>15399</v>
      </c>
      <c r="I685" s="2" t="s">
        <v>15399</v>
      </c>
      <c r="K685" s="2" t="s">
        <v>558</v>
      </c>
      <c r="L685" s="2" t="s">
        <v>8712</v>
      </c>
      <c r="N685" s="2" t="s">
        <v>15399</v>
      </c>
      <c r="O685" s="2" t="s">
        <v>1368</v>
      </c>
    </row>
    <row r="686" ht="15.75" customHeight="1">
      <c r="A686" s="2">
        <v>2006.0</v>
      </c>
      <c r="B686" s="2" t="s">
        <v>2293</v>
      </c>
      <c r="C686" s="2" t="s">
        <v>12129</v>
      </c>
      <c r="K686" s="2" t="s">
        <v>2294</v>
      </c>
      <c r="L686" s="2" t="s">
        <v>2297</v>
      </c>
      <c r="O686" s="2" t="s">
        <v>1368</v>
      </c>
    </row>
    <row r="687" ht="15.75" customHeight="1">
      <c r="A687" s="2">
        <v>2014.0</v>
      </c>
      <c r="B687" s="2" t="s">
        <v>2648</v>
      </c>
      <c r="C687" s="2" t="s">
        <v>15399</v>
      </c>
      <c r="I687" s="2" t="s">
        <v>15399</v>
      </c>
      <c r="J687" s="2" t="s">
        <v>15399</v>
      </c>
      <c r="K687" s="2" t="s">
        <v>2649</v>
      </c>
      <c r="L687" s="2" t="s">
        <v>498</v>
      </c>
      <c r="M687" s="2" t="s">
        <v>15399</v>
      </c>
      <c r="N687" s="2" t="s">
        <v>15399</v>
      </c>
      <c r="O687" s="2" t="s">
        <v>1368</v>
      </c>
    </row>
    <row r="688" ht="15.75" customHeight="1">
      <c r="A688" s="2">
        <v>2014.0</v>
      </c>
      <c r="B688" s="2" t="s">
        <v>2474</v>
      </c>
      <c r="C688" s="2" t="s">
        <v>12129</v>
      </c>
      <c r="K688" s="2" t="s">
        <v>2475</v>
      </c>
      <c r="O688" s="2" t="s">
        <v>1368</v>
      </c>
    </row>
    <row r="689" ht="15.75" customHeight="1">
      <c r="A689" s="2">
        <v>2012.0</v>
      </c>
      <c r="B689" s="2" t="s">
        <v>2469</v>
      </c>
      <c r="C689" s="2" t="s">
        <v>12129</v>
      </c>
      <c r="K689" s="2" t="s">
        <v>2470</v>
      </c>
      <c r="O689" s="2" t="s">
        <v>1368</v>
      </c>
    </row>
    <row r="690" ht="15.75" customHeight="1">
      <c r="A690" s="2">
        <v>2003.0</v>
      </c>
      <c r="B690" s="2" t="s">
        <v>2443</v>
      </c>
      <c r="C690" s="2" t="s">
        <v>12129</v>
      </c>
      <c r="K690" s="2" t="s">
        <v>2444</v>
      </c>
      <c r="O690" s="2" t="s">
        <v>1368</v>
      </c>
    </row>
    <row r="691" ht="15.75" customHeight="1">
      <c r="A691" s="2">
        <v>1998.0</v>
      </c>
      <c r="B691" s="2" t="s">
        <v>1955</v>
      </c>
      <c r="C691" s="2" t="s">
        <v>12129</v>
      </c>
      <c r="K691" s="2" t="s">
        <v>1956</v>
      </c>
      <c r="L691" s="2" t="s">
        <v>1957</v>
      </c>
      <c r="O691" s="2" t="s">
        <v>1368</v>
      </c>
    </row>
    <row r="692" ht="15.75" customHeight="1">
      <c r="A692" s="2">
        <v>2016.0</v>
      </c>
      <c r="B692" s="2" t="s">
        <v>2197</v>
      </c>
      <c r="C692" s="2" t="s">
        <v>12129</v>
      </c>
      <c r="K692" s="2" t="s">
        <v>2198</v>
      </c>
      <c r="O692" s="2" t="s">
        <v>1368</v>
      </c>
    </row>
    <row r="693" ht="15.75" customHeight="1">
      <c r="A693" s="2">
        <v>2013.0</v>
      </c>
      <c r="B693" s="2" t="s">
        <v>2094</v>
      </c>
      <c r="C693" s="2" t="s">
        <v>12129</v>
      </c>
      <c r="K693" s="2" t="s">
        <v>2095</v>
      </c>
      <c r="L693" s="2" t="s">
        <v>2097</v>
      </c>
      <c r="O693" s="2" t="s">
        <v>1368</v>
      </c>
    </row>
    <row r="694" ht="15.75" customHeight="1">
      <c r="A694" s="2">
        <v>2005.0</v>
      </c>
      <c r="B694" s="2" t="s">
        <v>2499</v>
      </c>
      <c r="C694" s="2" t="s">
        <v>12129</v>
      </c>
      <c r="K694" s="2" t="s">
        <v>2500</v>
      </c>
      <c r="O694" s="2" t="s">
        <v>1368</v>
      </c>
    </row>
    <row r="695" ht="15.75" customHeight="1">
      <c r="A695" s="2">
        <v>2011.0</v>
      </c>
      <c r="B695" s="2" t="s">
        <v>2495</v>
      </c>
      <c r="C695" s="2" t="s">
        <v>12129</v>
      </c>
      <c r="K695" s="2" t="s">
        <v>2496</v>
      </c>
      <c r="O695" s="2" t="s">
        <v>1368</v>
      </c>
    </row>
    <row r="696" ht="15.75" customHeight="1">
      <c r="A696" s="2">
        <v>2013.0</v>
      </c>
      <c r="B696" s="2" t="s">
        <v>2279</v>
      </c>
      <c r="C696" s="2" t="s">
        <v>12129</v>
      </c>
      <c r="K696" s="2" t="s">
        <v>2280</v>
      </c>
      <c r="O696" s="2" t="s">
        <v>1368</v>
      </c>
    </row>
    <row r="697" ht="15.75" customHeight="1">
      <c r="A697" s="2">
        <v>2015.0</v>
      </c>
      <c r="B697" s="2" t="s">
        <v>2139</v>
      </c>
      <c r="C697" s="2" t="s">
        <v>12129</v>
      </c>
      <c r="K697" s="2" t="s">
        <v>2140</v>
      </c>
      <c r="O697" s="2" t="s">
        <v>1872</v>
      </c>
    </row>
    <row r="698" ht="15.75" customHeight="1">
      <c r="A698" s="2">
        <v>2014.0</v>
      </c>
      <c r="B698" s="2" t="s">
        <v>2051</v>
      </c>
      <c r="C698" s="2" t="s">
        <v>12129</v>
      </c>
      <c r="K698" s="2" t="s">
        <v>2052</v>
      </c>
      <c r="L698" s="2" t="s">
        <v>2054</v>
      </c>
      <c r="O698" s="2" t="s">
        <v>1368</v>
      </c>
    </row>
    <row r="699" ht="15.75" customHeight="1">
      <c r="A699" s="2">
        <v>2015.0</v>
      </c>
      <c r="B699" s="2" t="s">
        <v>10971</v>
      </c>
      <c r="C699" s="2" t="s">
        <v>15399</v>
      </c>
      <c r="I699" s="2" t="s">
        <v>15399</v>
      </c>
      <c r="K699" s="2" t="s">
        <v>10972</v>
      </c>
      <c r="L699" s="2" t="s">
        <v>10973</v>
      </c>
      <c r="N699" s="2" t="s">
        <v>15399</v>
      </c>
      <c r="O699" s="2" t="s">
        <v>1368</v>
      </c>
    </row>
    <row r="700" ht="15.75" customHeight="1">
      <c r="A700" s="2">
        <v>2016.0</v>
      </c>
      <c r="B700" s="2" t="s">
        <v>11849</v>
      </c>
      <c r="C700" s="2" t="s">
        <v>15399</v>
      </c>
      <c r="H700" s="2" t="s">
        <v>15399</v>
      </c>
      <c r="K700" s="2" t="s">
        <v>207</v>
      </c>
      <c r="L700" s="2" t="s">
        <v>209</v>
      </c>
      <c r="N700" s="2" t="s">
        <v>15399</v>
      </c>
      <c r="O700" s="2" t="s">
        <v>1368</v>
      </c>
    </row>
    <row r="701" ht="15.75" customHeight="1">
      <c r="A701" s="2">
        <v>1996.0</v>
      </c>
      <c r="B701" s="2" t="s">
        <v>2489</v>
      </c>
      <c r="C701" s="2" t="s">
        <v>12129</v>
      </c>
      <c r="K701" s="2" t="s">
        <v>2490</v>
      </c>
      <c r="O701" s="2" t="s">
        <v>1368</v>
      </c>
    </row>
    <row r="702" ht="15.75" customHeight="1">
      <c r="A702" s="2">
        <v>2016.0</v>
      </c>
      <c r="B702" s="2" t="s">
        <v>11215</v>
      </c>
      <c r="C702" s="2" t="s">
        <v>12129</v>
      </c>
      <c r="K702" s="2" t="s">
        <v>11216</v>
      </c>
      <c r="L702" s="2" t="s">
        <v>11217</v>
      </c>
      <c r="O702" s="2" t="s">
        <v>1368</v>
      </c>
    </row>
    <row r="703" ht="15.75" customHeight="1">
      <c r="A703" s="2">
        <v>2017.0</v>
      </c>
      <c r="B703" s="2" t="s">
        <v>11321</v>
      </c>
      <c r="C703" s="2" t="s">
        <v>12129</v>
      </c>
      <c r="K703" s="2" t="s">
        <v>11322</v>
      </c>
      <c r="L703" s="2" t="s">
        <v>11323</v>
      </c>
      <c r="O703" s="2" t="s">
        <v>1368</v>
      </c>
    </row>
    <row r="704" ht="15.75" customHeight="1">
      <c r="A704" s="2">
        <v>2008.0</v>
      </c>
      <c r="B704" s="2" t="s">
        <v>11149</v>
      </c>
      <c r="C704" s="2" t="s">
        <v>12129</v>
      </c>
      <c r="K704" s="2" t="s">
        <v>11150</v>
      </c>
      <c r="L704" s="2" t="s">
        <v>11152</v>
      </c>
      <c r="O704" s="2" t="s">
        <v>1368</v>
      </c>
    </row>
    <row r="705" ht="15.75" customHeight="1">
      <c r="A705" s="2">
        <v>2003.0</v>
      </c>
      <c r="B705" s="2" t="s">
        <v>11468</v>
      </c>
      <c r="C705" s="2" t="s">
        <v>12129</v>
      </c>
      <c r="K705" s="2" t="s">
        <v>11469</v>
      </c>
      <c r="L705" s="2" t="s">
        <v>11472</v>
      </c>
      <c r="O705" s="2" t="s">
        <v>1368</v>
      </c>
    </row>
    <row r="706" ht="15.75" customHeight="1">
      <c r="A706" s="2">
        <v>2005.0</v>
      </c>
      <c r="B706" s="2" t="s">
        <v>11487</v>
      </c>
      <c r="C706" s="2" t="s">
        <v>12129</v>
      </c>
      <c r="K706" s="2" t="s">
        <v>11488</v>
      </c>
      <c r="L706" s="2" t="s">
        <v>11489</v>
      </c>
      <c r="O706" s="2" t="s">
        <v>1368</v>
      </c>
    </row>
    <row r="707" ht="15.75" customHeight="1">
      <c r="A707" s="2">
        <v>1997.0</v>
      </c>
      <c r="B707" s="2" t="s">
        <v>11487</v>
      </c>
      <c r="C707" s="2" t="s">
        <v>12129</v>
      </c>
      <c r="K707" s="2" t="s">
        <v>11493</v>
      </c>
      <c r="L707" s="2" t="s">
        <v>11494</v>
      </c>
      <c r="O707" s="2" t="s">
        <v>1368</v>
      </c>
    </row>
    <row r="708" ht="15.75" customHeight="1">
      <c r="A708" s="2">
        <v>2017.0</v>
      </c>
      <c r="B708" s="2" t="s">
        <v>8416</v>
      </c>
      <c r="C708" s="2" t="s">
        <v>15399</v>
      </c>
      <c r="H708" s="2" t="s">
        <v>15399</v>
      </c>
      <c r="K708" s="2" t="s">
        <v>115</v>
      </c>
      <c r="L708" s="2" t="s">
        <v>117</v>
      </c>
      <c r="N708" s="2" t="s">
        <v>15399</v>
      </c>
      <c r="O708" s="2" t="s">
        <v>2137</v>
      </c>
    </row>
    <row r="709" ht="15.75" customHeight="1">
      <c r="A709" s="2">
        <v>2012.0</v>
      </c>
      <c r="B709" s="2" t="s">
        <v>11513</v>
      </c>
      <c r="C709" s="2" t="s">
        <v>15399</v>
      </c>
      <c r="G709" s="2" t="s">
        <v>15399</v>
      </c>
      <c r="J709" s="2" t="s">
        <v>15399</v>
      </c>
      <c r="K709" s="2" t="s">
        <v>11514</v>
      </c>
      <c r="O709" s="2" t="s">
        <v>1368</v>
      </c>
    </row>
    <row r="710" ht="15.75" customHeight="1">
      <c r="A710" s="2">
        <v>2017.0</v>
      </c>
      <c r="B710" s="2" t="s">
        <v>9930</v>
      </c>
      <c r="C710" s="2" t="s">
        <v>15399</v>
      </c>
      <c r="G710" s="2" t="s">
        <v>15399</v>
      </c>
      <c r="K710" s="2" t="s">
        <v>9931</v>
      </c>
      <c r="L710" s="2" t="s">
        <v>103</v>
      </c>
      <c r="N710" s="2" t="s">
        <v>15399</v>
      </c>
      <c r="O710" s="2" t="s">
        <v>1885</v>
      </c>
    </row>
    <row r="711" ht="15.75" customHeight="1">
      <c r="A711" s="2">
        <v>2015.0</v>
      </c>
      <c r="B711" s="2" t="s">
        <v>2148</v>
      </c>
      <c r="C711" s="2" t="s">
        <v>15399</v>
      </c>
      <c r="D711" s="2" t="s">
        <v>15399</v>
      </c>
      <c r="K711" s="2" t="s">
        <v>2149</v>
      </c>
      <c r="L711" s="2" t="s">
        <v>333</v>
      </c>
      <c r="N711" s="2" t="s">
        <v>15399</v>
      </c>
      <c r="O711" s="2" t="s">
        <v>2159</v>
      </c>
    </row>
    <row r="712" ht="15.75" customHeight="1">
      <c r="A712" s="2">
        <v>2011.0</v>
      </c>
      <c r="B712" s="2" t="s">
        <v>2059</v>
      </c>
      <c r="C712" s="2" t="s">
        <v>15399</v>
      </c>
      <c r="I712" s="2" t="s">
        <v>15399</v>
      </c>
      <c r="K712" s="2" t="s">
        <v>762</v>
      </c>
      <c r="L712" s="2" t="s">
        <v>2060</v>
      </c>
      <c r="N712" s="2" t="s">
        <v>15399</v>
      </c>
      <c r="O712" s="2" t="s">
        <v>1368</v>
      </c>
    </row>
    <row r="713" ht="15.75" customHeight="1">
      <c r="A713" s="2">
        <v>2012.0</v>
      </c>
      <c r="B713" s="2" t="s">
        <v>11164</v>
      </c>
      <c r="C713" s="2" t="s">
        <v>12129</v>
      </c>
      <c r="K713" s="2" t="s">
        <v>11165</v>
      </c>
      <c r="O713" s="2" t="s">
        <v>1368</v>
      </c>
    </row>
    <row r="714" ht="15.75" customHeight="1">
      <c r="A714" s="2">
        <v>2010.0</v>
      </c>
      <c r="B714" s="2" t="s">
        <v>10162</v>
      </c>
      <c r="C714" s="2" t="s">
        <v>15399</v>
      </c>
      <c r="I714" s="2" t="s">
        <v>15399</v>
      </c>
      <c r="K714" s="2" t="s">
        <v>908</v>
      </c>
      <c r="L714" s="2" t="s">
        <v>15403</v>
      </c>
      <c r="N714" s="2" t="s">
        <v>15399</v>
      </c>
      <c r="O714" s="2" t="s">
        <v>1368</v>
      </c>
    </row>
    <row r="715" ht="15.75" customHeight="1">
      <c r="A715" s="2">
        <v>2004.0</v>
      </c>
      <c r="B715" s="2" t="s">
        <v>11266</v>
      </c>
      <c r="C715" s="2" t="s">
        <v>12129</v>
      </c>
      <c r="K715" s="2" t="s">
        <v>11267</v>
      </c>
      <c r="L715" s="2" t="s">
        <v>11269</v>
      </c>
      <c r="O715" s="2" t="s">
        <v>1368</v>
      </c>
    </row>
    <row r="716" ht="15.75" customHeight="1">
      <c r="A716" s="2">
        <v>2012.0</v>
      </c>
      <c r="B716" s="2" t="s">
        <v>11394</v>
      </c>
      <c r="C716" s="2" t="s">
        <v>12129</v>
      </c>
      <c r="K716" s="2" t="s">
        <v>11395</v>
      </c>
      <c r="O716" s="2" t="s">
        <v>1368</v>
      </c>
    </row>
    <row r="717" ht="15.75" customHeight="1">
      <c r="A717" s="2">
        <v>2014.0</v>
      </c>
      <c r="B717" s="2" t="s">
        <v>11519</v>
      </c>
      <c r="C717" s="2" t="s">
        <v>12129</v>
      </c>
      <c r="K717" s="2" t="s">
        <v>11520</v>
      </c>
      <c r="L717" s="2" t="s">
        <v>11521</v>
      </c>
      <c r="O717" s="2" t="s">
        <v>1368</v>
      </c>
    </row>
    <row r="718" ht="15.75" customHeight="1">
      <c r="A718" s="2">
        <v>2001.0</v>
      </c>
      <c r="B718" s="2" t="s">
        <v>11207</v>
      </c>
      <c r="C718" s="2" t="s">
        <v>12129</v>
      </c>
      <c r="K718" s="2" t="s">
        <v>11208</v>
      </c>
      <c r="L718" s="2" t="s">
        <v>11210</v>
      </c>
      <c r="O718" s="2" t="s">
        <v>1368</v>
      </c>
    </row>
    <row r="719" ht="15.75" customHeight="1">
      <c r="A719" s="2">
        <v>1996.0</v>
      </c>
      <c r="B719" s="2" t="s">
        <v>11544</v>
      </c>
      <c r="C719" s="2" t="s">
        <v>12129</v>
      </c>
      <c r="K719" s="2" t="s">
        <v>11545</v>
      </c>
      <c r="L719" s="2" t="s">
        <v>11548</v>
      </c>
      <c r="O719" s="2" t="s">
        <v>1368</v>
      </c>
    </row>
    <row r="720" ht="15.75" customHeight="1">
      <c r="A720" s="2">
        <v>2016.0</v>
      </c>
      <c r="B720" s="2" t="s">
        <v>11540</v>
      </c>
      <c r="C720" s="2" t="s">
        <v>12129</v>
      </c>
      <c r="K720" s="2" t="s">
        <v>11541</v>
      </c>
      <c r="O720" s="2" t="s">
        <v>1368</v>
      </c>
    </row>
    <row r="721" ht="15.75" customHeight="1">
      <c r="A721" s="2">
        <v>2009.0</v>
      </c>
      <c r="B721" s="2" t="s">
        <v>11299</v>
      </c>
      <c r="C721" s="2" t="s">
        <v>12129</v>
      </c>
      <c r="K721" s="2" t="s">
        <v>11300</v>
      </c>
      <c r="L721" s="2" t="s">
        <v>11301</v>
      </c>
      <c r="O721" s="2" t="s">
        <v>2169</v>
      </c>
    </row>
    <row r="722" ht="15.75" customHeight="1">
      <c r="A722" s="2">
        <v>1990.0</v>
      </c>
      <c r="B722" s="2" t="s">
        <v>11534</v>
      </c>
      <c r="C722" s="2" t="s">
        <v>12129</v>
      </c>
      <c r="K722" s="2" t="s">
        <v>11535</v>
      </c>
      <c r="L722" s="2" t="s">
        <v>11536</v>
      </c>
      <c r="O722" s="2" t="s">
        <v>1368</v>
      </c>
    </row>
    <row r="723" ht="15.75" customHeight="1">
      <c r="A723" s="2">
        <v>2005.0</v>
      </c>
      <c r="B723" s="2" t="s">
        <v>11567</v>
      </c>
      <c r="C723" s="2" t="s">
        <v>12129</v>
      </c>
      <c r="K723" s="2" t="s">
        <v>11568</v>
      </c>
      <c r="O723" s="2" t="s">
        <v>1368</v>
      </c>
    </row>
    <row r="724" ht="15.75" customHeight="1">
      <c r="A724" s="2">
        <v>2000.0</v>
      </c>
      <c r="B724" s="2" t="s">
        <v>11567</v>
      </c>
      <c r="C724" s="2" t="s">
        <v>12129</v>
      </c>
      <c r="K724" s="2" t="s">
        <v>11572</v>
      </c>
      <c r="L724" s="2" t="s">
        <v>11574</v>
      </c>
      <c r="O724" s="2" t="s">
        <v>1368</v>
      </c>
    </row>
    <row r="725" ht="15.75" customHeight="1">
      <c r="A725" s="2">
        <v>2005.0</v>
      </c>
      <c r="B725" s="2" t="s">
        <v>11527</v>
      </c>
      <c r="C725" s="2" t="s">
        <v>12129</v>
      </c>
      <c r="K725" s="2" t="s">
        <v>11528</v>
      </c>
      <c r="L725" s="2" t="s">
        <v>11531</v>
      </c>
      <c r="O725" s="2" t="s">
        <v>1368</v>
      </c>
    </row>
    <row r="726" ht="15.75" customHeight="1">
      <c r="A726" s="2">
        <v>2015.0</v>
      </c>
      <c r="B726" s="2" t="s">
        <v>11559</v>
      </c>
      <c r="C726" s="2" t="s">
        <v>12129</v>
      </c>
      <c r="K726" s="2" t="s">
        <v>11560</v>
      </c>
      <c r="L726" s="2" t="s">
        <v>11563</v>
      </c>
      <c r="O726" s="2" t="s">
        <v>1368</v>
      </c>
    </row>
    <row r="727" ht="15.75" customHeight="1">
      <c r="A727" s="2">
        <v>2013.0</v>
      </c>
      <c r="B727" s="2" t="s">
        <v>11552</v>
      </c>
      <c r="C727" s="2" t="s">
        <v>12129</v>
      </c>
      <c r="K727" s="2" t="s">
        <v>11553</v>
      </c>
      <c r="L727" s="2" t="s">
        <v>11556</v>
      </c>
      <c r="O727" s="2" t="s">
        <v>1368</v>
      </c>
    </row>
    <row r="728" ht="15.75" customHeight="1">
      <c r="A728" s="2">
        <v>2014.0</v>
      </c>
      <c r="B728" s="2" t="s">
        <v>11596</v>
      </c>
      <c r="C728" s="2" t="s">
        <v>12129</v>
      </c>
      <c r="K728" s="2" t="s">
        <v>11597</v>
      </c>
      <c r="L728" s="2" t="s">
        <v>11599</v>
      </c>
      <c r="O728" s="2" t="s">
        <v>1368</v>
      </c>
    </row>
    <row r="729" ht="15.75" customHeight="1">
      <c r="A729" s="2">
        <v>2005.0</v>
      </c>
      <c r="B729" s="2" t="s">
        <v>11586</v>
      </c>
      <c r="C729" s="2" t="s">
        <v>12129</v>
      </c>
      <c r="K729" s="2" t="s">
        <v>11587</v>
      </c>
      <c r="O729" s="2" t="s">
        <v>1368</v>
      </c>
    </row>
    <row r="730" ht="15.75" customHeight="1">
      <c r="A730" s="2">
        <v>2002.0</v>
      </c>
      <c r="B730" s="2" t="s">
        <v>11581</v>
      </c>
      <c r="C730" s="2" t="s">
        <v>12129</v>
      </c>
      <c r="K730" s="2" t="s">
        <v>11582</v>
      </c>
      <c r="L730" s="2" t="s">
        <v>11583</v>
      </c>
      <c r="O730" s="2" t="s">
        <v>1368</v>
      </c>
    </row>
    <row r="731" ht="15.75" customHeight="1">
      <c r="A731" s="2">
        <v>2009.0</v>
      </c>
      <c r="B731" s="2" t="s">
        <v>11416</v>
      </c>
      <c r="C731" s="2" t="s">
        <v>12129</v>
      </c>
      <c r="K731" s="2" t="s">
        <v>11417</v>
      </c>
      <c r="O731" s="2" t="s">
        <v>1368</v>
      </c>
    </row>
    <row r="732" ht="15.75" customHeight="1">
      <c r="A732" s="2">
        <v>2017.0</v>
      </c>
      <c r="B732" s="2" t="s">
        <v>11413</v>
      </c>
      <c r="C732" s="2" t="s">
        <v>12129</v>
      </c>
      <c r="K732" s="2" t="s">
        <v>11414</v>
      </c>
      <c r="O732" s="2" t="s">
        <v>1368</v>
      </c>
    </row>
    <row r="733" ht="15.75" customHeight="1">
      <c r="A733" s="2">
        <v>2012.0</v>
      </c>
      <c r="B733" s="2" t="s">
        <v>11460</v>
      </c>
      <c r="C733" s="2" t="s">
        <v>12129</v>
      </c>
      <c r="K733" s="2" t="s">
        <v>11461</v>
      </c>
      <c r="O733" s="2" t="s">
        <v>1368</v>
      </c>
    </row>
    <row r="734" ht="15.75" customHeight="1">
      <c r="A734" s="2">
        <v>1989.0</v>
      </c>
      <c r="B734" s="2" t="s">
        <v>11388</v>
      </c>
      <c r="C734" s="2" t="s">
        <v>12129</v>
      </c>
      <c r="K734" s="2" t="s">
        <v>11389</v>
      </c>
      <c r="O734" s="2" t="s">
        <v>1368</v>
      </c>
    </row>
    <row r="735" ht="15.75" customHeight="1">
      <c r="A735" s="2">
        <v>2015.0</v>
      </c>
      <c r="B735" s="2" t="s">
        <v>11379</v>
      </c>
      <c r="C735" s="2" t="s">
        <v>12129</v>
      </c>
      <c r="K735" s="2" t="s">
        <v>11380</v>
      </c>
      <c r="O735" s="2" t="s">
        <v>1368</v>
      </c>
    </row>
    <row r="736" ht="15.75" customHeight="1">
      <c r="A736" s="2">
        <v>1972.0</v>
      </c>
      <c r="B736" s="2" t="s">
        <v>11379</v>
      </c>
      <c r="C736" s="2" t="s">
        <v>15399</v>
      </c>
      <c r="G736" s="2" t="s">
        <v>15399</v>
      </c>
      <c r="J736" s="2" t="s">
        <v>15399</v>
      </c>
      <c r="K736" s="2" t="s">
        <v>11392</v>
      </c>
      <c r="O736" s="2" t="s">
        <v>1368</v>
      </c>
    </row>
    <row r="737" ht="15.75" customHeight="1">
      <c r="A737" s="2">
        <v>2015.0</v>
      </c>
      <c r="B737" s="2" t="s">
        <v>11341</v>
      </c>
      <c r="C737" s="2" t="s">
        <v>12129</v>
      </c>
      <c r="K737" s="2" t="s">
        <v>11342</v>
      </c>
      <c r="O737" s="2" t="s">
        <v>2244</v>
      </c>
    </row>
    <row r="738" ht="15.75" customHeight="1">
      <c r="A738" s="2">
        <v>2015.0</v>
      </c>
      <c r="B738" s="2" t="s">
        <v>11399</v>
      </c>
      <c r="C738" s="2" t="s">
        <v>12129</v>
      </c>
      <c r="K738" s="2" t="s">
        <v>11400</v>
      </c>
      <c r="O738" s="2" t="s">
        <v>1368</v>
      </c>
    </row>
    <row r="739" ht="15.75" customHeight="1">
      <c r="A739" s="2">
        <v>2012.0</v>
      </c>
      <c r="B739" s="2" t="s">
        <v>11589</v>
      </c>
      <c r="C739" s="2" t="s">
        <v>12129</v>
      </c>
      <c r="K739" s="2" t="s">
        <v>11590</v>
      </c>
      <c r="L739" s="2" t="s">
        <v>11593</v>
      </c>
      <c r="O739" s="2" t="s">
        <v>1368</v>
      </c>
    </row>
    <row r="740" ht="15.75" customHeight="1">
      <c r="A740" s="2">
        <v>2015.0</v>
      </c>
      <c r="B740" s="2" t="s">
        <v>11307</v>
      </c>
      <c r="C740" s="2" t="s">
        <v>12129</v>
      </c>
      <c r="K740" s="2" t="s">
        <v>11308</v>
      </c>
      <c r="O740" s="2" t="s">
        <v>2188</v>
      </c>
    </row>
    <row r="741" ht="15.75" customHeight="1">
      <c r="A741" s="2">
        <v>2018.0</v>
      </c>
      <c r="B741" s="2" t="s">
        <v>11307</v>
      </c>
      <c r="C741" s="2" t="s">
        <v>15399</v>
      </c>
      <c r="E741" s="2" t="s">
        <v>15399</v>
      </c>
      <c r="J741" s="2" t="s">
        <v>15399</v>
      </c>
      <c r="K741" s="2" t="s">
        <v>11355</v>
      </c>
      <c r="O741" s="2" t="s">
        <v>2169</v>
      </c>
    </row>
    <row r="742" ht="15.75" customHeight="1">
      <c r="A742" s="2">
        <v>2018.0</v>
      </c>
      <c r="B742" s="2" t="s">
        <v>11359</v>
      </c>
      <c r="C742" s="2" t="s">
        <v>15399</v>
      </c>
      <c r="E742" s="2" t="s">
        <v>15399</v>
      </c>
      <c r="H742" s="2" t="s">
        <v>15399</v>
      </c>
      <c r="I742" s="2" t="s">
        <v>15399</v>
      </c>
      <c r="J742" s="2" t="s">
        <v>15399</v>
      </c>
      <c r="K742" s="2" t="s">
        <v>11360</v>
      </c>
      <c r="O742" s="2" t="s">
        <v>9692</v>
      </c>
    </row>
    <row r="743" ht="15.75" customHeight="1">
      <c r="A743" s="2">
        <v>2018.0</v>
      </c>
      <c r="B743" s="2" t="s">
        <v>11359</v>
      </c>
      <c r="C743" s="2" t="s">
        <v>15399</v>
      </c>
      <c r="E743" s="2" t="s">
        <v>15399</v>
      </c>
      <c r="J743" s="2" t="s">
        <v>15399</v>
      </c>
      <c r="K743" s="2" t="s">
        <v>11364</v>
      </c>
      <c r="O743" s="2" t="s">
        <v>2169</v>
      </c>
    </row>
    <row r="744" ht="15.75" customHeight="1">
      <c r="A744" s="2">
        <v>2018.0</v>
      </c>
      <c r="B744" s="2" t="s">
        <v>11359</v>
      </c>
      <c r="C744" s="2" t="s">
        <v>15399</v>
      </c>
      <c r="E744" s="2" t="s">
        <v>15399</v>
      </c>
      <c r="J744" s="2" t="s">
        <v>15399</v>
      </c>
      <c r="K744" s="2" t="s">
        <v>11370</v>
      </c>
      <c r="O744" s="2" t="s">
        <v>2169</v>
      </c>
    </row>
    <row r="745" ht="15.75" customHeight="1">
      <c r="A745" s="2">
        <v>2018.0</v>
      </c>
      <c r="B745" s="2" t="s">
        <v>11359</v>
      </c>
      <c r="C745" s="2" t="s">
        <v>15399</v>
      </c>
      <c r="E745" s="2" t="s">
        <v>15399</v>
      </c>
      <c r="I745" s="2" t="s">
        <v>15399</v>
      </c>
      <c r="J745" s="2" t="s">
        <v>15399</v>
      </c>
      <c r="K745" s="2" t="s">
        <v>11375</v>
      </c>
      <c r="O745" s="2" t="s">
        <v>2169</v>
      </c>
    </row>
    <row r="746" ht="15.75" customHeight="1">
      <c r="A746" s="2">
        <v>2018.0</v>
      </c>
      <c r="B746" s="2" t="s">
        <v>11280</v>
      </c>
      <c r="C746" s="2" t="s">
        <v>15399</v>
      </c>
      <c r="I746" s="2" t="s">
        <v>15399</v>
      </c>
      <c r="J746" s="2" t="s">
        <v>15399</v>
      </c>
      <c r="K746" s="2" t="s">
        <v>11281</v>
      </c>
      <c r="O746" s="2" t="s">
        <v>11286</v>
      </c>
    </row>
    <row r="747" ht="15.75" customHeight="1">
      <c r="A747" s="2">
        <v>2013.0</v>
      </c>
      <c r="B747" s="2" t="s">
        <v>11280</v>
      </c>
      <c r="C747" s="2" t="s">
        <v>15399</v>
      </c>
      <c r="I747" s="2" t="s">
        <v>15399</v>
      </c>
      <c r="J747" s="2" t="s">
        <v>15399</v>
      </c>
      <c r="K747" s="2" t="s">
        <v>11346</v>
      </c>
      <c r="O747" s="2" t="s">
        <v>2244</v>
      </c>
    </row>
    <row r="748" ht="15.75" customHeight="1">
      <c r="A748" s="2">
        <v>2014.0</v>
      </c>
      <c r="B748" s="2" t="s">
        <v>11280</v>
      </c>
      <c r="C748" s="2" t="s">
        <v>15399</v>
      </c>
      <c r="I748" s="2" t="s">
        <v>15399</v>
      </c>
      <c r="J748" s="2" t="s">
        <v>15399</v>
      </c>
      <c r="K748" s="2" t="s">
        <v>11350</v>
      </c>
      <c r="O748" s="2" t="s">
        <v>11352</v>
      </c>
    </row>
    <row r="749" ht="15.75" customHeight="1">
      <c r="A749" s="2">
        <v>2007.0</v>
      </c>
      <c r="B749" s="2" t="s">
        <v>11280</v>
      </c>
      <c r="C749" s="2" t="s">
        <v>12129</v>
      </c>
      <c r="K749" s="2" t="s">
        <v>11465</v>
      </c>
      <c r="O749" s="2" t="s">
        <v>1368</v>
      </c>
    </row>
    <row r="750" ht="15.75" customHeight="1">
      <c r="A750" s="2">
        <v>2016.0</v>
      </c>
      <c r="B750" s="2" t="s">
        <v>11447</v>
      </c>
      <c r="C750" s="2" t="s">
        <v>12129</v>
      </c>
      <c r="K750" s="2" t="s">
        <v>11448</v>
      </c>
      <c r="O750" s="2" t="s">
        <v>1368</v>
      </c>
    </row>
    <row r="751" ht="15.75" customHeight="1">
      <c r="A751" s="2">
        <v>2010.0</v>
      </c>
      <c r="B751" s="2" t="s">
        <v>3965</v>
      </c>
      <c r="C751" s="2" t="s">
        <v>15399</v>
      </c>
      <c r="G751" s="2" t="s">
        <v>15399</v>
      </c>
      <c r="K751" s="2" t="s">
        <v>886</v>
      </c>
      <c r="L751" s="2" t="s">
        <v>888</v>
      </c>
      <c r="N751" s="2" t="s">
        <v>15399</v>
      </c>
      <c r="O751" s="2" t="s">
        <v>1368</v>
      </c>
    </row>
    <row r="752" ht="15.75" customHeight="1">
      <c r="A752" s="2">
        <v>1997.0</v>
      </c>
      <c r="B752" s="2" t="s">
        <v>11142</v>
      </c>
      <c r="C752" s="2" t="s">
        <v>12129</v>
      </c>
      <c r="K752" s="2" t="s">
        <v>11143</v>
      </c>
      <c r="L752" s="2" t="s">
        <v>11146</v>
      </c>
      <c r="O752" s="2" t="s">
        <v>1368</v>
      </c>
    </row>
    <row r="753" ht="15.75" customHeight="1">
      <c r="A753" s="2">
        <v>2018.0</v>
      </c>
      <c r="B753" s="2" t="s">
        <v>11258</v>
      </c>
      <c r="C753" s="2" t="s">
        <v>12129</v>
      </c>
      <c r="K753" s="2" t="s">
        <v>11259</v>
      </c>
      <c r="L753" s="2" t="s">
        <v>11261</v>
      </c>
      <c r="O753" s="2" t="s">
        <v>1368</v>
      </c>
    </row>
    <row r="754" ht="15.75" customHeight="1">
      <c r="A754" s="2">
        <v>2015.0</v>
      </c>
      <c r="B754" s="2" t="s">
        <v>11451</v>
      </c>
      <c r="C754" s="2" t="s">
        <v>12129</v>
      </c>
      <c r="K754" s="2" t="s">
        <v>11452</v>
      </c>
      <c r="O754" s="2" t="s">
        <v>1368</v>
      </c>
    </row>
    <row r="755" ht="15.75" customHeight="1">
      <c r="A755" s="2">
        <v>2008.0</v>
      </c>
      <c r="B755" s="2" t="s">
        <v>11451</v>
      </c>
      <c r="C755" s="2" t="s">
        <v>12129</v>
      </c>
      <c r="K755" s="2" t="s">
        <v>11454</v>
      </c>
      <c r="O755" s="2" t="s">
        <v>1368</v>
      </c>
    </row>
    <row r="756" ht="15.75" customHeight="1">
      <c r="A756" s="2">
        <v>1980.0</v>
      </c>
      <c r="B756" s="2" t="s">
        <v>11451</v>
      </c>
      <c r="C756" s="2" t="s">
        <v>12129</v>
      </c>
      <c r="K756" s="2" t="s">
        <v>11457</v>
      </c>
      <c r="O756" s="2" t="s">
        <v>1368</v>
      </c>
    </row>
    <row r="757" ht="15.75" customHeight="1">
      <c r="A757" s="2">
        <v>2010.0</v>
      </c>
      <c r="B757" s="2" t="s">
        <v>11624</v>
      </c>
      <c r="C757" s="2" t="s">
        <v>12129</v>
      </c>
      <c r="K757" s="2" t="s">
        <v>11625</v>
      </c>
      <c r="L757" s="2" t="s">
        <v>11628</v>
      </c>
      <c r="O757" s="2" t="s">
        <v>1368</v>
      </c>
    </row>
    <row r="758" ht="15.75" customHeight="1">
      <c r="A758" s="2">
        <v>2008.0</v>
      </c>
      <c r="B758" s="2" t="s">
        <v>11607</v>
      </c>
      <c r="C758" s="2" t="s">
        <v>12129</v>
      </c>
      <c r="K758" s="2" t="s">
        <v>11608</v>
      </c>
      <c r="O758" s="2" t="s">
        <v>1368</v>
      </c>
    </row>
    <row r="759" ht="15.75" customHeight="1">
      <c r="A759" s="2">
        <v>2008.0</v>
      </c>
      <c r="B759" s="2" t="s">
        <v>11126</v>
      </c>
      <c r="C759" s="2" t="s">
        <v>12129</v>
      </c>
      <c r="K759" s="2" t="s">
        <v>11127</v>
      </c>
      <c r="L759" s="2" t="s">
        <v>11128</v>
      </c>
      <c r="O759" s="2" t="s">
        <v>1368</v>
      </c>
    </row>
    <row r="760" ht="15.75" customHeight="1">
      <c r="A760" s="2">
        <v>1995.0</v>
      </c>
      <c r="B760" s="2" t="s">
        <v>11251</v>
      </c>
      <c r="C760" s="2" t="s">
        <v>12129</v>
      </c>
      <c r="K760" s="2" t="s">
        <v>11252</v>
      </c>
      <c r="O760" s="2" t="s">
        <v>1368</v>
      </c>
    </row>
    <row r="761" ht="15.75" customHeight="1">
      <c r="A761" s="2">
        <v>2010.0</v>
      </c>
      <c r="B761" s="2" t="s">
        <v>11616</v>
      </c>
      <c r="C761" s="2" t="s">
        <v>12129</v>
      </c>
      <c r="K761" s="2" t="s">
        <v>11617</v>
      </c>
      <c r="O761" s="2" t="s">
        <v>1368</v>
      </c>
    </row>
    <row r="762" ht="15.75" customHeight="1">
      <c r="A762" s="2">
        <v>2017.0</v>
      </c>
      <c r="B762" s="2" t="s">
        <v>11112</v>
      </c>
      <c r="C762" s="2" t="s">
        <v>12129</v>
      </c>
      <c r="K762" s="2" t="s">
        <v>11113</v>
      </c>
      <c r="L762" s="2" t="s">
        <v>11115</v>
      </c>
      <c r="O762" s="2" t="s">
        <v>1368</v>
      </c>
    </row>
    <row r="763" ht="15.75" customHeight="1">
      <c r="A763" s="2">
        <v>2012.0</v>
      </c>
      <c r="B763" s="2" t="s">
        <v>11602</v>
      </c>
      <c r="C763" s="2" t="s">
        <v>12129</v>
      </c>
      <c r="K763" s="2" t="s">
        <v>11603</v>
      </c>
      <c r="L763" s="2" t="s">
        <v>11604</v>
      </c>
      <c r="O763" s="2" t="s">
        <v>1368</v>
      </c>
    </row>
    <row r="764" ht="15.75" customHeight="1">
      <c r="A764" s="2">
        <v>2003.0</v>
      </c>
      <c r="B764" s="2" t="s">
        <v>11221</v>
      </c>
      <c r="C764" s="2" t="s">
        <v>12129</v>
      </c>
      <c r="K764" s="2" t="s">
        <v>11222</v>
      </c>
      <c r="L764" s="2" t="s">
        <v>11224</v>
      </c>
      <c r="O764" s="2" t="s">
        <v>1368</v>
      </c>
    </row>
    <row r="765" ht="15.75" customHeight="1">
      <c r="A765" s="2">
        <v>2004.0</v>
      </c>
      <c r="B765" s="2" t="s">
        <v>11098</v>
      </c>
      <c r="C765" s="2" t="s">
        <v>12129</v>
      </c>
      <c r="K765" s="2" t="s">
        <v>11099</v>
      </c>
      <c r="O765" s="2" t="s">
        <v>1368</v>
      </c>
    </row>
    <row r="766" ht="15.75" customHeight="1">
      <c r="A766" s="2">
        <v>2017.0</v>
      </c>
      <c r="B766" s="2" t="s">
        <v>1706</v>
      </c>
      <c r="C766" s="2" t="s">
        <v>15399</v>
      </c>
      <c r="H766" s="2" t="s">
        <v>15399</v>
      </c>
      <c r="K766" s="2" t="s">
        <v>76</v>
      </c>
      <c r="L766" s="2" t="s">
        <v>79</v>
      </c>
      <c r="N766" s="2" t="s">
        <v>15399</v>
      </c>
      <c r="O766" s="2" t="s">
        <v>1368</v>
      </c>
    </row>
    <row r="767" ht="15.75" customHeight="1">
      <c r="A767" s="2">
        <v>2012.0</v>
      </c>
      <c r="B767" s="2" t="s">
        <v>11611</v>
      </c>
      <c r="C767" s="2" t="s">
        <v>12129</v>
      </c>
      <c r="K767" s="2" t="s">
        <v>11612</v>
      </c>
      <c r="L767" s="2" t="s">
        <v>11613</v>
      </c>
      <c r="O767" s="2" t="s">
        <v>1368</v>
      </c>
    </row>
    <row r="768" ht="15.75" customHeight="1">
      <c r="A768" s="2">
        <v>2009.0</v>
      </c>
      <c r="B768" s="2" t="s">
        <v>11651</v>
      </c>
      <c r="C768" s="2" t="s">
        <v>12129</v>
      </c>
      <c r="K768" s="2" t="s">
        <v>11652</v>
      </c>
      <c r="L768" s="2" t="s">
        <v>11653</v>
      </c>
      <c r="O768" s="2" t="s">
        <v>1368</v>
      </c>
    </row>
    <row r="769" ht="15.75" customHeight="1">
      <c r="A769" s="2">
        <v>2012.0</v>
      </c>
      <c r="B769" s="2" t="s">
        <v>11646</v>
      </c>
      <c r="C769" s="2" t="s">
        <v>12129</v>
      </c>
      <c r="K769" s="2" t="s">
        <v>11647</v>
      </c>
      <c r="L769" s="2" t="s">
        <v>11648</v>
      </c>
      <c r="O769" s="2" t="s">
        <v>1368</v>
      </c>
    </row>
    <row r="770" ht="15.75" customHeight="1">
      <c r="A770" s="2">
        <v>2016.0</v>
      </c>
      <c r="B770" s="2" t="s">
        <v>11641</v>
      </c>
      <c r="C770" s="2" t="s">
        <v>12129</v>
      </c>
      <c r="K770" s="2" t="s">
        <v>11642</v>
      </c>
      <c r="L770" s="2" t="s">
        <v>11643</v>
      </c>
      <c r="O770" s="2" t="s">
        <v>1368</v>
      </c>
    </row>
    <row r="771" ht="15.75" customHeight="1">
      <c r="A771" s="2">
        <v>2014.0</v>
      </c>
      <c r="B771" s="2" t="s">
        <v>11638</v>
      </c>
      <c r="C771" s="2" t="s">
        <v>12129</v>
      </c>
      <c r="K771" s="2" t="s">
        <v>11639</v>
      </c>
      <c r="O771" s="2" t="s">
        <v>1368</v>
      </c>
    </row>
    <row r="772" ht="15.75" customHeight="1">
      <c r="A772" s="2">
        <v>2016.0</v>
      </c>
      <c r="B772" s="2" t="s">
        <v>5049</v>
      </c>
      <c r="C772" s="2" t="s">
        <v>15399</v>
      </c>
      <c r="D772" s="2" t="s">
        <v>15399</v>
      </c>
      <c r="K772" s="2" t="s">
        <v>198</v>
      </c>
      <c r="L772" s="2" t="s">
        <v>202</v>
      </c>
      <c r="N772" s="2" t="s">
        <v>15399</v>
      </c>
      <c r="O772" s="2" t="s">
        <v>1368</v>
      </c>
    </row>
    <row r="773" ht="15.75" customHeight="1">
      <c r="A773" s="2">
        <v>2018.0</v>
      </c>
      <c r="B773" s="2" t="s">
        <v>11428</v>
      </c>
      <c r="C773" s="2" t="s">
        <v>12129</v>
      </c>
      <c r="K773" s="2" t="s">
        <v>11429</v>
      </c>
      <c r="L773" s="2" t="s">
        <v>11432</v>
      </c>
      <c r="O773" s="2" t="s">
        <v>1368</v>
      </c>
    </row>
    <row r="774" ht="15.75" customHeight="1">
      <c r="A774" s="2">
        <v>2013.0</v>
      </c>
      <c r="B774" s="2" t="s">
        <v>11633</v>
      </c>
      <c r="C774" s="2" t="s">
        <v>12129</v>
      </c>
      <c r="K774" s="2" t="s">
        <v>11634</v>
      </c>
      <c r="L774" s="2" t="s">
        <v>11635</v>
      </c>
      <c r="O774" s="2" t="s">
        <v>1368</v>
      </c>
    </row>
    <row r="775" ht="15.75" customHeight="1">
      <c r="A775" s="2">
        <v>2009.0</v>
      </c>
      <c r="B775" s="2" t="s">
        <v>11662</v>
      </c>
      <c r="C775" s="2" t="s">
        <v>12129</v>
      </c>
      <c r="K775" s="2" t="s">
        <v>11663</v>
      </c>
      <c r="L775" s="2" t="s">
        <v>11664</v>
      </c>
      <c r="O775" s="2" t="s">
        <v>1368</v>
      </c>
    </row>
    <row r="776" ht="15.75" customHeight="1">
      <c r="A776" s="2">
        <v>2010.0</v>
      </c>
      <c r="B776" s="2" t="s">
        <v>11171</v>
      </c>
      <c r="C776" s="2" t="s">
        <v>12129</v>
      </c>
      <c r="K776" s="2" t="s">
        <v>11172</v>
      </c>
      <c r="L776" s="2" t="s">
        <v>11173</v>
      </c>
      <c r="O776" s="2" t="s">
        <v>1368</v>
      </c>
    </row>
    <row r="777" ht="15.75" customHeight="1">
      <c r="A777" s="2">
        <v>2014.0</v>
      </c>
      <c r="B777" s="2" t="s">
        <v>11313</v>
      </c>
      <c r="C777" s="2" t="s">
        <v>12129</v>
      </c>
      <c r="K777" s="2" t="s">
        <v>11314</v>
      </c>
      <c r="O777" s="2" t="s">
        <v>1885</v>
      </c>
    </row>
    <row r="778" ht="15.75" customHeight="1">
      <c r="A778" s="2">
        <v>2009.0</v>
      </c>
      <c r="B778" s="2" t="s">
        <v>11229</v>
      </c>
      <c r="C778" s="2" t="s">
        <v>12129</v>
      </c>
      <c r="K778" s="2" t="s">
        <v>11230</v>
      </c>
      <c r="L778" s="2" t="s">
        <v>11231</v>
      </c>
      <c r="O778" s="2" t="s">
        <v>1368</v>
      </c>
    </row>
    <row r="779" ht="15.75" customHeight="1">
      <c r="A779" s="2">
        <v>2011.0</v>
      </c>
      <c r="B779" s="2" t="s">
        <v>11656</v>
      </c>
      <c r="C779" s="2" t="s">
        <v>12129</v>
      </c>
      <c r="K779" s="2" t="s">
        <v>11657</v>
      </c>
      <c r="L779" s="2" t="s">
        <v>11659</v>
      </c>
      <c r="O779" s="2" t="s">
        <v>1368</v>
      </c>
    </row>
    <row r="780" ht="15.75" customHeight="1">
      <c r="A780" s="2">
        <v>2016.0</v>
      </c>
      <c r="B780" s="2" t="s">
        <v>11686</v>
      </c>
      <c r="C780" s="2" t="s">
        <v>12129</v>
      </c>
      <c r="K780" s="2" t="s">
        <v>11687</v>
      </c>
      <c r="O780" s="2" t="s">
        <v>1368</v>
      </c>
    </row>
    <row r="781" ht="15.75" customHeight="1">
      <c r="A781" s="2">
        <v>2017.0</v>
      </c>
      <c r="B781" s="2" t="s">
        <v>11438</v>
      </c>
      <c r="C781" s="2" t="s">
        <v>12129</v>
      </c>
      <c r="K781" s="2" t="s">
        <v>11439</v>
      </c>
      <c r="L781" s="2" t="s">
        <v>11440</v>
      </c>
      <c r="O781" s="2" t="s">
        <v>1368</v>
      </c>
    </row>
    <row r="782" ht="15.75" customHeight="1">
      <c r="A782" s="2">
        <v>1991.0</v>
      </c>
      <c r="B782" s="2" t="s">
        <v>11236</v>
      </c>
      <c r="C782" s="2" t="s">
        <v>12129</v>
      </c>
      <c r="K782" s="2" t="s">
        <v>11237</v>
      </c>
      <c r="L782" s="2" t="s">
        <v>11238</v>
      </c>
      <c r="O782" s="2" t="s">
        <v>1368</v>
      </c>
    </row>
    <row r="783" ht="15.75" customHeight="1">
      <c r="A783" s="2">
        <v>2011.0</v>
      </c>
      <c r="B783" s="2" t="s">
        <v>11243</v>
      </c>
      <c r="C783" s="2" t="s">
        <v>12129</v>
      </c>
      <c r="K783" s="2" t="s">
        <v>11244</v>
      </c>
      <c r="L783" s="2" t="s">
        <v>11246</v>
      </c>
      <c r="O783" s="2" t="s">
        <v>1368</v>
      </c>
    </row>
    <row r="784" ht="15.75" customHeight="1">
      <c r="A784" s="2">
        <v>1979.0</v>
      </c>
      <c r="B784" s="2" t="s">
        <v>11179</v>
      </c>
      <c r="C784" s="2" t="s">
        <v>12129</v>
      </c>
      <c r="K784" s="2" t="s">
        <v>11180</v>
      </c>
      <c r="L784" s="2" t="s">
        <v>11182</v>
      </c>
      <c r="O784" s="2" t="s">
        <v>1368</v>
      </c>
    </row>
    <row r="785" ht="15.75" customHeight="1">
      <c r="A785" s="2">
        <v>2017.0</v>
      </c>
      <c r="B785" s="2" t="s">
        <v>11119</v>
      </c>
      <c r="C785" s="2" t="s">
        <v>12129</v>
      </c>
      <c r="K785" s="2" t="s">
        <v>11120</v>
      </c>
      <c r="L785" s="2" t="s">
        <v>11121</v>
      </c>
      <c r="O785" s="2" t="s">
        <v>1368</v>
      </c>
    </row>
    <row r="786" ht="15.75" customHeight="1">
      <c r="A786" s="2">
        <v>1993.0</v>
      </c>
      <c r="B786" s="2" t="s">
        <v>11188</v>
      </c>
      <c r="C786" s="2" t="s">
        <v>12129</v>
      </c>
      <c r="K786" s="2" t="s">
        <v>11189</v>
      </c>
      <c r="L786" s="2" t="s">
        <v>11192</v>
      </c>
      <c r="O786" s="2" t="s">
        <v>1368</v>
      </c>
    </row>
    <row r="787" ht="15.75" customHeight="1">
      <c r="A787" s="2">
        <v>2015.0</v>
      </c>
      <c r="B787" s="2" t="s">
        <v>4476</v>
      </c>
      <c r="C787" s="2" t="s">
        <v>15399</v>
      </c>
      <c r="G787" s="2" t="s">
        <v>15399</v>
      </c>
      <c r="K787" s="2" t="s">
        <v>300</v>
      </c>
      <c r="L787" s="2" t="s">
        <v>302</v>
      </c>
      <c r="N787" s="2" t="s">
        <v>15399</v>
      </c>
      <c r="O787" s="2" t="s">
        <v>1368</v>
      </c>
    </row>
    <row r="788" ht="15.75" customHeight="1">
      <c r="A788" s="2">
        <v>2018.0</v>
      </c>
      <c r="B788" s="2" t="s">
        <v>11405</v>
      </c>
      <c r="C788" s="2" t="s">
        <v>12129</v>
      </c>
      <c r="K788" s="2" t="s">
        <v>11406</v>
      </c>
      <c r="L788" s="2" t="s">
        <v>11407</v>
      </c>
      <c r="O788" s="2" t="s">
        <v>1368</v>
      </c>
    </row>
    <row r="789" ht="15.75" customHeight="1">
      <c r="A789" s="2">
        <v>2003.0</v>
      </c>
      <c r="B789" s="2" t="s">
        <v>11671</v>
      </c>
      <c r="C789" s="2" t="s">
        <v>12129</v>
      </c>
      <c r="K789" s="2" t="s">
        <v>11672</v>
      </c>
      <c r="O789" s="2" t="s">
        <v>1368</v>
      </c>
    </row>
    <row r="790" ht="15.75" customHeight="1">
      <c r="A790" s="2">
        <v>2005.0</v>
      </c>
      <c r="B790" s="2" t="s">
        <v>11674</v>
      </c>
      <c r="C790" s="2" t="s">
        <v>12129</v>
      </c>
      <c r="K790" s="2" t="s">
        <v>11675</v>
      </c>
      <c r="L790" s="2" t="s">
        <v>11678</v>
      </c>
      <c r="O790" s="2" t="s">
        <v>1368</v>
      </c>
    </row>
    <row r="791" ht="15.75" customHeight="1">
      <c r="A791" s="2">
        <v>2015.0</v>
      </c>
      <c r="B791" s="2" t="s">
        <v>11421</v>
      </c>
      <c r="C791" s="2" t="s">
        <v>12129</v>
      </c>
      <c r="K791" s="2" t="s">
        <v>11422</v>
      </c>
      <c r="L791" s="2" t="s">
        <v>11423</v>
      </c>
      <c r="O791" s="2" t="s">
        <v>1368</v>
      </c>
    </row>
    <row r="792" ht="15.75" customHeight="1">
      <c r="A792" s="2">
        <v>2012.0</v>
      </c>
      <c r="B792" s="2" t="s">
        <v>11508</v>
      </c>
      <c r="C792" s="2" t="s">
        <v>12129</v>
      </c>
      <c r="K792" s="2" t="s">
        <v>11509</v>
      </c>
      <c r="L792" s="2" t="s">
        <v>11510</v>
      </c>
      <c r="O792" s="2" t="s">
        <v>1368</v>
      </c>
    </row>
    <row r="793" ht="15.75" customHeight="1">
      <c r="A793" s="2">
        <v>2005.0</v>
      </c>
      <c r="B793" s="2" t="s">
        <v>11501</v>
      </c>
      <c r="C793" s="2" t="s">
        <v>12129</v>
      </c>
      <c r="K793" s="2" t="s">
        <v>11502</v>
      </c>
      <c r="O793" s="2" t="s">
        <v>1368</v>
      </c>
    </row>
    <row r="794" ht="15.75" customHeight="1">
      <c r="A794" s="2">
        <v>2007.0</v>
      </c>
      <c r="B794" s="2" t="s">
        <v>11274</v>
      </c>
      <c r="C794" s="2" t="s">
        <v>12129</v>
      </c>
      <c r="K794" s="2" t="s">
        <v>11275</v>
      </c>
      <c r="L794" s="2" t="s">
        <v>11277</v>
      </c>
      <c r="O794" s="2" t="s">
        <v>1368</v>
      </c>
    </row>
    <row r="795" ht="15.75" customHeight="1">
      <c r="A795" s="2">
        <v>1998.0</v>
      </c>
      <c r="B795" s="2" t="s">
        <v>11157</v>
      </c>
      <c r="C795" s="2" t="s">
        <v>12129</v>
      </c>
      <c r="K795" s="2" t="s">
        <v>11158</v>
      </c>
      <c r="O795" s="2" t="s">
        <v>1368</v>
      </c>
    </row>
    <row r="796" ht="15.75" customHeight="1">
      <c r="A796" s="2">
        <v>2013.0</v>
      </c>
      <c r="B796" s="2" t="s">
        <v>11133</v>
      </c>
      <c r="C796" s="2" t="s">
        <v>12129</v>
      </c>
      <c r="K796" s="2" t="s">
        <v>11134</v>
      </c>
      <c r="L796" s="2" t="s">
        <v>11136</v>
      </c>
      <c r="O796" s="2" t="s">
        <v>1368</v>
      </c>
    </row>
    <row r="797" ht="15.75" customHeight="1">
      <c r="A797" s="2">
        <v>2009.0</v>
      </c>
      <c r="B797" s="2" t="s">
        <v>11498</v>
      </c>
      <c r="C797" s="2" t="s">
        <v>12129</v>
      </c>
      <c r="K797" s="2" t="s">
        <v>11499</v>
      </c>
      <c r="O797" s="2" t="s">
        <v>1368</v>
      </c>
    </row>
    <row r="798" ht="15.75" customHeight="1">
      <c r="A798" s="2">
        <v>2000.0</v>
      </c>
      <c r="B798" s="2" t="s">
        <v>11105</v>
      </c>
      <c r="C798" s="2" t="s">
        <v>12129</v>
      </c>
      <c r="K798" s="2" t="s">
        <v>11106</v>
      </c>
      <c r="L798" s="2" t="s">
        <v>11107</v>
      </c>
      <c r="O798" s="2" t="s">
        <v>1368</v>
      </c>
    </row>
    <row r="799" ht="15.75" customHeight="1">
      <c r="A799" s="2">
        <v>2005.0</v>
      </c>
      <c r="B799" s="2" t="s">
        <v>11384</v>
      </c>
      <c r="C799" s="2" t="s">
        <v>12129</v>
      </c>
      <c r="K799" s="2" t="s">
        <v>11385</v>
      </c>
      <c r="O799" s="2" t="s">
        <v>1368</v>
      </c>
    </row>
    <row r="800" ht="15.75" customHeight="1">
      <c r="A800" s="2">
        <v>2014.0</v>
      </c>
      <c r="B800" s="2" t="s">
        <v>11198</v>
      </c>
      <c r="C800" s="2" t="s">
        <v>12129</v>
      </c>
      <c r="K800" s="2" t="s">
        <v>11199</v>
      </c>
      <c r="L800" s="2" t="s">
        <v>11201</v>
      </c>
      <c r="O800" s="2" t="s">
        <v>1368</v>
      </c>
    </row>
    <row r="801" ht="15.75" customHeight="1">
      <c r="A801" s="2">
        <v>2009.0</v>
      </c>
      <c r="B801" s="2" t="s">
        <v>10026</v>
      </c>
      <c r="C801" s="2" t="s">
        <v>15399</v>
      </c>
      <c r="H801" s="2" t="s">
        <v>15399</v>
      </c>
      <c r="J801" s="2" t="s">
        <v>15399</v>
      </c>
      <c r="K801" s="2" t="s">
        <v>10027</v>
      </c>
      <c r="O801" s="2" t="s">
        <v>1368</v>
      </c>
    </row>
    <row r="802" ht="15.75" customHeight="1">
      <c r="A802" s="2">
        <v>2010.0</v>
      </c>
      <c r="B802" s="2" t="s">
        <v>9990</v>
      </c>
      <c r="C802" s="2" t="s">
        <v>12129</v>
      </c>
      <c r="K802" s="2" t="s">
        <v>9991</v>
      </c>
      <c r="O802" s="2" t="s">
        <v>1368</v>
      </c>
    </row>
    <row r="803" ht="15.75" customHeight="1">
      <c r="A803" s="2">
        <v>2009.0</v>
      </c>
      <c r="B803" s="2" t="s">
        <v>10421</v>
      </c>
      <c r="C803" s="2" t="s">
        <v>12129</v>
      </c>
      <c r="K803" s="2" t="s">
        <v>10422</v>
      </c>
      <c r="L803" s="2" t="s">
        <v>10423</v>
      </c>
      <c r="O803" s="2" t="s">
        <v>1368</v>
      </c>
    </row>
    <row r="804" ht="15.75" customHeight="1">
      <c r="A804" s="2">
        <v>2014.0</v>
      </c>
      <c r="B804" s="2" t="s">
        <v>10230</v>
      </c>
      <c r="C804" s="2" t="s">
        <v>12129</v>
      </c>
      <c r="K804" s="2" t="s">
        <v>10231</v>
      </c>
      <c r="L804" s="2" t="s">
        <v>10232</v>
      </c>
      <c r="O804" s="2" t="s">
        <v>10201</v>
      </c>
    </row>
    <row r="805" ht="15.75" customHeight="1">
      <c r="A805" s="2">
        <v>2016.0</v>
      </c>
      <c r="B805" s="2" t="s">
        <v>2478</v>
      </c>
      <c r="C805" s="2" t="s">
        <v>15399</v>
      </c>
      <c r="I805" s="2" t="s">
        <v>15399</v>
      </c>
      <c r="K805" s="2" t="s">
        <v>2479</v>
      </c>
      <c r="L805" s="2" t="s">
        <v>159</v>
      </c>
      <c r="N805" s="2" t="s">
        <v>15399</v>
      </c>
      <c r="O805" s="2" t="s">
        <v>1368</v>
      </c>
    </row>
    <row r="806" ht="15.75" customHeight="1">
      <c r="A806" s="2">
        <v>2008.0</v>
      </c>
      <c r="B806" s="2" t="s">
        <v>10012</v>
      </c>
      <c r="C806" s="2" t="s">
        <v>12129</v>
      </c>
      <c r="K806" s="2" t="s">
        <v>10013</v>
      </c>
      <c r="L806" s="2" t="s">
        <v>10014</v>
      </c>
      <c r="O806" s="2" t="s">
        <v>1368</v>
      </c>
    </row>
    <row r="807" ht="15.75" customHeight="1">
      <c r="A807" s="2">
        <v>2008.0</v>
      </c>
      <c r="B807" s="2" t="s">
        <v>10012</v>
      </c>
      <c r="C807" s="2" t="s">
        <v>12129</v>
      </c>
      <c r="K807" s="2" t="s">
        <v>10099</v>
      </c>
      <c r="L807" s="2" t="s">
        <v>10101</v>
      </c>
      <c r="O807" s="2" t="s">
        <v>1368</v>
      </c>
    </row>
    <row r="808" ht="15.75" customHeight="1">
      <c r="A808" s="2">
        <v>1999.0</v>
      </c>
      <c r="B808" s="2" t="s">
        <v>10547</v>
      </c>
      <c r="C808" s="2" t="s">
        <v>15399</v>
      </c>
      <c r="E808" s="2" t="s">
        <v>15399</v>
      </c>
      <c r="K808" s="2" t="s">
        <v>10548</v>
      </c>
      <c r="L808" s="2" t="s">
        <v>1252</v>
      </c>
      <c r="N808" s="2" t="s">
        <v>15399</v>
      </c>
      <c r="O808" s="2" t="s">
        <v>1368</v>
      </c>
    </row>
    <row r="809" ht="15.75" customHeight="1">
      <c r="A809" s="2">
        <v>2013.0</v>
      </c>
      <c r="B809" s="2" t="s">
        <v>10092</v>
      </c>
      <c r="C809" s="2" t="s">
        <v>12129</v>
      </c>
      <c r="K809" s="2" t="s">
        <v>10093</v>
      </c>
      <c r="L809" s="2" t="s">
        <v>10094</v>
      </c>
      <c r="O809" s="2" t="s">
        <v>1368</v>
      </c>
    </row>
    <row r="810" ht="15.75" customHeight="1">
      <c r="A810" s="2">
        <v>2012.0</v>
      </c>
      <c r="B810" s="2" t="s">
        <v>10241</v>
      </c>
      <c r="C810" s="2" t="s">
        <v>15399</v>
      </c>
      <c r="E810" s="2" t="s">
        <v>15399</v>
      </c>
      <c r="J810" s="2" t="s">
        <v>15399</v>
      </c>
      <c r="K810" s="2" t="s">
        <v>10242</v>
      </c>
      <c r="O810" s="2" t="s">
        <v>1885</v>
      </c>
    </row>
    <row r="811" ht="15.75" customHeight="1">
      <c r="A811" s="2">
        <v>2015.0</v>
      </c>
      <c r="B811" s="2" t="s">
        <v>10434</v>
      </c>
      <c r="C811" s="2" t="s">
        <v>12129</v>
      </c>
      <c r="K811" s="2" t="s">
        <v>10435</v>
      </c>
      <c r="L811" s="2" t="s">
        <v>10438</v>
      </c>
      <c r="O811" s="2" t="s">
        <v>1368</v>
      </c>
    </row>
    <row r="812" ht="15.75" customHeight="1">
      <c r="A812" s="2">
        <v>2015.0</v>
      </c>
      <c r="B812" s="2" t="s">
        <v>9949</v>
      </c>
      <c r="C812" s="2" t="s">
        <v>12129</v>
      </c>
      <c r="K812" s="2" t="s">
        <v>9950</v>
      </c>
      <c r="L812" s="2" t="s">
        <v>9951</v>
      </c>
      <c r="O812" s="2" t="s">
        <v>1368</v>
      </c>
    </row>
    <row r="813" ht="15.75" customHeight="1">
      <c r="A813" s="2">
        <v>2007.0</v>
      </c>
      <c r="B813" s="2" t="s">
        <v>10430</v>
      </c>
      <c r="C813" s="2" t="s">
        <v>15399</v>
      </c>
      <c r="G813" s="2" t="s">
        <v>15399</v>
      </c>
      <c r="K813" s="2" t="s">
        <v>1028</v>
      </c>
      <c r="L813" s="2" t="s">
        <v>1030</v>
      </c>
      <c r="N813" s="2" t="s">
        <v>15399</v>
      </c>
      <c r="O813" s="2" t="s">
        <v>1368</v>
      </c>
    </row>
    <row r="814" ht="15.75" customHeight="1">
      <c r="A814" s="2">
        <v>2010.0</v>
      </c>
      <c r="B814" s="2" t="s">
        <v>10046</v>
      </c>
      <c r="C814" s="2" t="s">
        <v>12129</v>
      </c>
      <c r="K814" s="2" t="s">
        <v>10047</v>
      </c>
      <c r="L814" s="2" t="s">
        <v>10048</v>
      </c>
      <c r="O814" s="2" t="s">
        <v>1368</v>
      </c>
    </row>
    <row r="815" ht="15.75" customHeight="1">
      <c r="A815" s="2">
        <v>2005.0</v>
      </c>
      <c r="B815" s="2" t="s">
        <v>10445</v>
      </c>
      <c r="C815" s="2" t="s">
        <v>12129</v>
      </c>
      <c r="K815" s="2" t="s">
        <v>10446</v>
      </c>
      <c r="L815" s="2" t="s">
        <v>10449</v>
      </c>
      <c r="O815" s="2" t="s">
        <v>1368</v>
      </c>
    </row>
    <row r="816" ht="15.75" customHeight="1">
      <c r="A816" s="2">
        <v>2012.0</v>
      </c>
      <c r="B816" s="2" t="s">
        <v>9962</v>
      </c>
      <c r="C816" s="2" t="s">
        <v>12129</v>
      </c>
      <c r="K816" s="2" t="s">
        <v>9963</v>
      </c>
      <c r="L816" s="2" t="s">
        <v>9965</v>
      </c>
      <c r="O816" s="2" t="s">
        <v>1368</v>
      </c>
    </row>
    <row r="817" ht="15.75" customHeight="1">
      <c r="A817" s="2">
        <v>2010.0</v>
      </c>
      <c r="B817" s="2" t="s">
        <v>2891</v>
      </c>
      <c r="C817" s="2" t="s">
        <v>15399</v>
      </c>
      <c r="E817" s="2" t="s">
        <v>15399</v>
      </c>
      <c r="K817" s="2" t="s">
        <v>818</v>
      </c>
      <c r="L817" s="2" t="s">
        <v>820</v>
      </c>
      <c r="N817" s="2" t="s">
        <v>15399</v>
      </c>
      <c r="O817" s="2" t="s">
        <v>1885</v>
      </c>
    </row>
    <row r="818" ht="15.75" customHeight="1">
      <c r="A818" s="2">
        <v>2018.0</v>
      </c>
      <c r="B818" s="2" t="s">
        <v>10321</v>
      </c>
      <c r="C818" s="2" t="s">
        <v>12129</v>
      </c>
      <c r="K818" s="2" t="s">
        <v>10322</v>
      </c>
      <c r="O818" s="2" t="s">
        <v>1368</v>
      </c>
    </row>
    <row r="819" ht="15.75" customHeight="1">
      <c r="A819" s="2">
        <v>2011.0</v>
      </c>
      <c r="B819" s="2" t="s">
        <v>10203</v>
      </c>
      <c r="C819" s="2" t="s">
        <v>12129</v>
      </c>
      <c r="K819" s="2" t="s">
        <v>10204</v>
      </c>
      <c r="L819" s="2" t="s">
        <v>10205</v>
      </c>
      <c r="O819" s="2" t="s">
        <v>2169</v>
      </c>
    </row>
    <row r="820" ht="15.75" customHeight="1">
      <c r="A820" s="2">
        <v>2014.0</v>
      </c>
      <c r="B820" s="2" t="s">
        <v>10080</v>
      </c>
      <c r="C820" s="2" t="s">
        <v>12129</v>
      </c>
      <c r="K820" s="2" t="s">
        <v>10081</v>
      </c>
      <c r="L820" s="2" t="s">
        <v>10082</v>
      </c>
      <c r="O820" s="2" t="s">
        <v>1368</v>
      </c>
    </row>
    <row r="821" ht="15.75" customHeight="1">
      <c r="A821" s="2">
        <v>2014.0</v>
      </c>
      <c r="B821" s="2" t="s">
        <v>9970</v>
      </c>
      <c r="C821" s="2" t="s">
        <v>12129</v>
      </c>
      <c r="K821" s="2" t="s">
        <v>9971</v>
      </c>
      <c r="O821" s="2" t="s">
        <v>1368</v>
      </c>
    </row>
    <row r="822" ht="15.75" customHeight="1">
      <c r="A822" s="2">
        <v>2008.0</v>
      </c>
      <c r="B822" s="2" t="s">
        <v>10441</v>
      </c>
      <c r="C822" s="2" t="s">
        <v>12129</v>
      </c>
      <c r="K822" s="2" t="s">
        <v>10442</v>
      </c>
      <c r="O822" s="2" t="s">
        <v>1368</v>
      </c>
    </row>
    <row r="823" ht="15.75" customHeight="1">
      <c r="A823" s="2">
        <v>2013.0</v>
      </c>
      <c r="B823" s="2" t="s">
        <v>10487</v>
      </c>
      <c r="C823" s="2" t="s">
        <v>12129</v>
      </c>
      <c r="K823" s="2" t="s">
        <v>10488</v>
      </c>
      <c r="L823" s="2" t="s">
        <v>10489</v>
      </c>
      <c r="O823" s="2" t="s">
        <v>1368</v>
      </c>
    </row>
    <row r="824" ht="15.75" customHeight="1">
      <c r="A824" s="2">
        <v>2011.0</v>
      </c>
      <c r="B824" s="2" t="s">
        <v>10458</v>
      </c>
      <c r="C824" s="2" t="s">
        <v>12129</v>
      </c>
      <c r="K824" s="2" t="s">
        <v>10459</v>
      </c>
      <c r="L824" s="2" t="s">
        <v>10461</v>
      </c>
      <c r="O824" s="2" t="s">
        <v>1368</v>
      </c>
    </row>
    <row r="825" ht="15.75" customHeight="1">
      <c r="A825" s="2">
        <v>2007.0</v>
      </c>
      <c r="B825" s="2" t="s">
        <v>10482</v>
      </c>
      <c r="C825" s="2" t="s">
        <v>12129</v>
      </c>
      <c r="K825" s="2" t="s">
        <v>10483</v>
      </c>
      <c r="O825" s="2" t="s">
        <v>1368</v>
      </c>
    </row>
    <row r="826" ht="15.75" customHeight="1">
      <c r="A826" s="2">
        <v>2008.0</v>
      </c>
      <c r="B826" s="2" t="s">
        <v>10289</v>
      </c>
      <c r="C826" s="2" t="s">
        <v>12129</v>
      </c>
      <c r="K826" s="2" t="s">
        <v>10290</v>
      </c>
      <c r="L826" s="2" t="s">
        <v>10291</v>
      </c>
      <c r="O826" s="2" t="s">
        <v>1368</v>
      </c>
    </row>
    <row r="827" ht="15.75" customHeight="1">
      <c r="A827" s="2">
        <v>2010.0</v>
      </c>
      <c r="B827" s="2" t="s">
        <v>1897</v>
      </c>
      <c r="C827" s="2" t="s">
        <v>15399</v>
      </c>
      <c r="E827" s="2" t="s">
        <v>15399</v>
      </c>
      <c r="K827" s="2" t="s">
        <v>841</v>
      </c>
      <c r="L827" s="2" t="s">
        <v>843</v>
      </c>
      <c r="N827" s="2" t="s">
        <v>15399</v>
      </c>
      <c r="O827" s="2" t="s">
        <v>1621</v>
      </c>
    </row>
    <row r="828" ht="15.75" customHeight="1">
      <c r="A828" s="2">
        <v>2009.0</v>
      </c>
      <c r="B828" s="2" t="s">
        <v>10477</v>
      </c>
      <c r="C828" s="2" t="s">
        <v>12129</v>
      </c>
      <c r="K828" s="2" t="s">
        <v>10478</v>
      </c>
      <c r="L828" s="2" t="s">
        <v>10479</v>
      </c>
      <c r="O828" s="2" t="s">
        <v>1368</v>
      </c>
    </row>
    <row r="829" ht="15.75" customHeight="1">
      <c r="A829" s="2">
        <v>1999.0</v>
      </c>
      <c r="B829" s="2" t="s">
        <v>10473</v>
      </c>
      <c r="C829" s="2" t="s">
        <v>12129</v>
      </c>
      <c r="K829" s="2" t="s">
        <v>10474</v>
      </c>
      <c r="O829" s="2" t="s">
        <v>1368</v>
      </c>
    </row>
    <row r="830" ht="15.75" customHeight="1">
      <c r="A830" s="2">
        <v>2009.0</v>
      </c>
      <c r="B830" s="2" t="s">
        <v>9954</v>
      </c>
      <c r="C830" s="2" t="s">
        <v>12129</v>
      </c>
      <c r="K830" s="2" t="s">
        <v>9955</v>
      </c>
      <c r="L830" s="2" t="s">
        <v>9956</v>
      </c>
      <c r="O830" s="2" t="s">
        <v>1368</v>
      </c>
    </row>
    <row r="831" ht="15.75" customHeight="1">
      <c r="A831" s="2">
        <v>2011.0</v>
      </c>
      <c r="B831" s="2" t="s">
        <v>10263</v>
      </c>
      <c r="C831" s="2" t="s">
        <v>15399</v>
      </c>
      <c r="E831" s="2" t="s">
        <v>15399</v>
      </c>
      <c r="K831" s="2" t="s">
        <v>755</v>
      </c>
      <c r="L831" s="2" t="s">
        <v>757</v>
      </c>
      <c r="N831" s="2" t="s">
        <v>15399</v>
      </c>
      <c r="O831" s="2" t="s">
        <v>2159</v>
      </c>
    </row>
    <row r="832" ht="15.75" customHeight="1">
      <c r="A832" s="2">
        <v>2015.0</v>
      </c>
      <c r="B832" s="2" t="s">
        <v>10106</v>
      </c>
      <c r="C832" s="2" t="s">
        <v>12129</v>
      </c>
      <c r="K832" s="2" t="s">
        <v>10107</v>
      </c>
      <c r="L832" s="2" t="s">
        <v>10108</v>
      </c>
      <c r="O832" s="2" t="s">
        <v>1368</v>
      </c>
    </row>
    <row r="833" ht="15.75" customHeight="1">
      <c r="A833" s="2">
        <v>2014.0</v>
      </c>
      <c r="B833" s="2" t="s">
        <v>10465</v>
      </c>
      <c r="C833" s="2" t="s">
        <v>12129</v>
      </c>
      <c r="K833" s="2" t="s">
        <v>10466</v>
      </c>
      <c r="L833" s="2" t="s">
        <v>10469</v>
      </c>
      <c r="O833" s="2" t="s">
        <v>1368</v>
      </c>
    </row>
    <row r="834" ht="15.75" customHeight="1">
      <c r="A834" s="2">
        <v>2018.0</v>
      </c>
      <c r="B834" s="2" t="s">
        <v>10308</v>
      </c>
      <c r="C834" s="2" t="s">
        <v>12129</v>
      </c>
      <c r="K834" s="2" t="s">
        <v>10309</v>
      </c>
      <c r="L834" s="2" t="s">
        <v>10310</v>
      </c>
      <c r="O834" s="2" t="s">
        <v>1368</v>
      </c>
    </row>
    <row r="835" ht="15.75" customHeight="1">
      <c r="A835" s="2">
        <v>1991.0</v>
      </c>
      <c r="B835" s="2" t="s">
        <v>10004</v>
      </c>
      <c r="C835" s="2" t="s">
        <v>12129</v>
      </c>
      <c r="K835" s="2" t="s">
        <v>10005</v>
      </c>
      <c r="L835" s="2" t="s">
        <v>10007</v>
      </c>
      <c r="O835" s="2" t="s">
        <v>1368</v>
      </c>
    </row>
    <row r="836" ht="15.75" customHeight="1">
      <c r="A836" s="2">
        <v>2014.0</v>
      </c>
      <c r="B836" s="2" t="s">
        <v>10119</v>
      </c>
      <c r="C836" s="2" t="s">
        <v>12129</v>
      </c>
      <c r="K836" s="2" t="s">
        <v>10120</v>
      </c>
      <c r="O836" s="2" t="s">
        <v>1368</v>
      </c>
    </row>
    <row r="837" ht="15.75" customHeight="1">
      <c r="A837" s="2">
        <v>2012.0</v>
      </c>
      <c r="B837" s="2" t="s">
        <v>9571</v>
      </c>
      <c r="C837" s="2" t="s">
        <v>15399</v>
      </c>
      <c r="E837" s="2" t="s">
        <v>15399</v>
      </c>
      <c r="K837" s="2" t="s">
        <v>724</v>
      </c>
      <c r="L837" s="2" t="s">
        <v>726</v>
      </c>
      <c r="N837" s="2" t="s">
        <v>15399</v>
      </c>
      <c r="O837" s="2" t="s">
        <v>1368</v>
      </c>
    </row>
    <row r="838" ht="15.75" customHeight="1">
      <c r="A838" s="2">
        <v>2006.0</v>
      </c>
      <c r="B838" s="2" t="s">
        <v>10125</v>
      </c>
      <c r="C838" s="2" t="s">
        <v>12129</v>
      </c>
      <c r="K838" s="2" t="s">
        <v>10126</v>
      </c>
      <c r="O838" s="2" t="s">
        <v>1368</v>
      </c>
    </row>
    <row r="839" ht="15.75" customHeight="1">
      <c r="A839" s="2">
        <v>2005.0</v>
      </c>
      <c r="B839" s="2" t="s">
        <v>10505</v>
      </c>
      <c r="C839" s="2" t="s">
        <v>12129</v>
      </c>
      <c r="K839" s="2" t="s">
        <v>10506</v>
      </c>
      <c r="L839" s="2" t="s">
        <v>10509</v>
      </c>
      <c r="O839" s="2" t="s">
        <v>1368</v>
      </c>
    </row>
    <row r="840" ht="15.75" customHeight="1">
      <c r="A840" s="2">
        <v>2002.0</v>
      </c>
      <c r="B840" s="2" t="s">
        <v>10112</v>
      </c>
      <c r="C840" s="2" t="s">
        <v>12129</v>
      </c>
      <c r="K840" s="2" t="s">
        <v>10113</v>
      </c>
      <c r="L840" s="2" t="s">
        <v>10114</v>
      </c>
      <c r="O840" s="2" t="s">
        <v>1368</v>
      </c>
    </row>
    <row r="841" ht="15.75" customHeight="1">
      <c r="A841" s="2">
        <v>2013.0</v>
      </c>
      <c r="B841" s="2" t="s">
        <v>10185</v>
      </c>
      <c r="C841" s="2" t="s">
        <v>15399</v>
      </c>
      <c r="D841" s="2" t="s">
        <v>15399</v>
      </c>
      <c r="K841" s="2" t="s">
        <v>587</v>
      </c>
      <c r="L841" s="2" t="s">
        <v>589</v>
      </c>
      <c r="N841" s="2" t="s">
        <v>15399</v>
      </c>
      <c r="O841" s="2" t="s">
        <v>1542</v>
      </c>
    </row>
    <row r="842" ht="15.75" customHeight="1">
      <c r="A842" s="2">
        <v>2005.0</v>
      </c>
      <c r="B842" s="2" t="s">
        <v>10521</v>
      </c>
      <c r="C842" s="2" t="s">
        <v>12129</v>
      </c>
      <c r="K842" s="2" t="s">
        <v>10522</v>
      </c>
      <c r="L842" s="2" t="s">
        <v>10525</v>
      </c>
      <c r="O842" s="2" t="s">
        <v>1368</v>
      </c>
    </row>
    <row r="843" ht="15.75" customHeight="1">
      <c r="A843" s="2">
        <v>2009.0</v>
      </c>
      <c r="B843" s="2" t="s">
        <v>10330</v>
      </c>
      <c r="C843" s="2" t="s">
        <v>12129</v>
      </c>
      <c r="K843" s="2" t="s">
        <v>10331</v>
      </c>
      <c r="O843" s="2" t="s">
        <v>1368</v>
      </c>
    </row>
    <row r="844" ht="15.75" customHeight="1">
      <c r="A844" s="2">
        <v>2011.0</v>
      </c>
      <c r="B844" s="2" t="s">
        <v>10500</v>
      </c>
      <c r="C844" s="2" t="s">
        <v>12129</v>
      </c>
      <c r="K844" s="2" t="s">
        <v>10501</v>
      </c>
      <c r="L844" s="2" t="s">
        <v>10502</v>
      </c>
      <c r="O844" s="2" t="s">
        <v>1368</v>
      </c>
    </row>
    <row r="845" ht="15.75" customHeight="1">
      <c r="A845" s="2">
        <v>2014.0</v>
      </c>
      <c r="B845" s="2" t="s">
        <v>2233</v>
      </c>
      <c r="C845" s="2" t="s">
        <v>15399</v>
      </c>
      <c r="F845" s="2" t="s">
        <v>15399</v>
      </c>
      <c r="K845" s="2" t="s">
        <v>512</v>
      </c>
      <c r="L845" s="2" t="s">
        <v>514</v>
      </c>
      <c r="N845" s="2" t="s">
        <v>15399</v>
      </c>
      <c r="O845" s="2" t="s">
        <v>2238</v>
      </c>
    </row>
    <row r="846" ht="15.75" customHeight="1">
      <c r="A846" s="2">
        <v>2013.0</v>
      </c>
      <c r="B846" s="2" t="s">
        <v>8083</v>
      </c>
      <c r="C846" s="2" t="s">
        <v>15399</v>
      </c>
      <c r="G846" s="2" t="s">
        <v>15399</v>
      </c>
      <c r="K846" s="2" t="s">
        <v>580</v>
      </c>
      <c r="L846" s="2" t="s">
        <v>582</v>
      </c>
      <c r="N846" s="2" t="s">
        <v>15399</v>
      </c>
      <c r="O846" s="2" t="s">
        <v>1885</v>
      </c>
    </row>
    <row r="847" ht="15.75" customHeight="1">
      <c r="A847" s="2">
        <v>2015.0</v>
      </c>
      <c r="B847" s="2" t="s">
        <v>10053</v>
      </c>
      <c r="C847" s="2" t="s">
        <v>12129</v>
      </c>
      <c r="K847" s="2" t="s">
        <v>10054</v>
      </c>
      <c r="O847" s="2" t="s">
        <v>1368</v>
      </c>
    </row>
    <row r="848" ht="15.75" customHeight="1">
      <c r="A848" s="2">
        <v>2014.0</v>
      </c>
      <c r="B848" s="2" t="s">
        <v>9543</v>
      </c>
      <c r="C848" s="2" t="s">
        <v>15399</v>
      </c>
      <c r="G848" s="2" t="s">
        <v>15399</v>
      </c>
      <c r="K848" s="2" t="s">
        <v>482</v>
      </c>
      <c r="L848" s="2" t="s">
        <v>484</v>
      </c>
      <c r="N848" s="2" t="s">
        <v>15399</v>
      </c>
      <c r="O848" s="2" t="s">
        <v>1368</v>
      </c>
    </row>
    <row r="849" ht="15.75" customHeight="1">
      <c r="A849" s="2">
        <v>2001.0</v>
      </c>
      <c r="B849" s="2" t="s">
        <v>9984</v>
      </c>
      <c r="C849" s="2" t="s">
        <v>12129</v>
      </c>
      <c r="K849" s="2" t="s">
        <v>9985</v>
      </c>
      <c r="O849" s="2" t="s">
        <v>1368</v>
      </c>
    </row>
    <row r="850" ht="15.75" customHeight="1">
      <c r="A850" s="2">
        <v>2015.0</v>
      </c>
      <c r="B850" s="2" t="s">
        <v>8484</v>
      </c>
      <c r="C850" s="2" t="s">
        <v>15399</v>
      </c>
      <c r="G850" s="2" t="s">
        <v>15399</v>
      </c>
      <c r="K850" s="2" t="s">
        <v>369</v>
      </c>
      <c r="L850" s="2" t="s">
        <v>371</v>
      </c>
      <c r="N850" s="2" t="s">
        <v>15399</v>
      </c>
      <c r="O850" s="2" t="s">
        <v>1885</v>
      </c>
    </row>
    <row r="851" ht="15.75" customHeight="1">
      <c r="A851" s="2">
        <v>2015.0</v>
      </c>
      <c r="B851" s="2" t="s">
        <v>1687</v>
      </c>
      <c r="C851" s="2" t="s">
        <v>15399</v>
      </c>
      <c r="F851" s="2" t="s">
        <v>15399</v>
      </c>
      <c r="K851" s="2" t="s">
        <v>376</v>
      </c>
      <c r="L851" s="2" t="s">
        <v>378</v>
      </c>
      <c r="N851" s="2" t="s">
        <v>15399</v>
      </c>
      <c r="O851" s="2" t="s">
        <v>1368</v>
      </c>
    </row>
    <row r="852" ht="15.75" customHeight="1">
      <c r="A852" s="2">
        <v>2009.0</v>
      </c>
      <c r="B852" s="2" t="s">
        <v>10542</v>
      </c>
      <c r="C852" s="2" t="s">
        <v>12129</v>
      </c>
      <c r="K852" s="2" t="s">
        <v>10543</v>
      </c>
      <c r="L852" s="2" t="s">
        <v>10544</v>
      </c>
      <c r="O852" s="2" t="s">
        <v>1368</v>
      </c>
    </row>
    <row r="853" ht="15.75" customHeight="1">
      <c r="A853" s="2">
        <v>2018.0</v>
      </c>
      <c r="B853" s="2" t="s">
        <v>10339</v>
      </c>
      <c r="C853" s="2" t="s">
        <v>12129</v>
      </c>
      <c r="K853" s="2" t="s">
        <v>10340</v>
      </c>
      <c r="O853" s="2" t="s">
        <v>1368</v>
      </c>
    </row>
    <row r="854" ht="15.75" customHeight="1">
      <c r="A854" s="2">
        <v>2018.0</v>
      </c>
      <c r="B854" s="2" t="s">
        <v>10342</v>
      </c>
      <c r="C854" s="2" t="s">
        <v>12129</v>
      </c>
      <c r="K854" s="2" t="s">
        <v>4899</v>
      </c>
      <c r="O854" s="2" t="s">
        <v>1368</v>
      </c>
    </row>
    <row r="855" ht="15.75" customHeight="1">
      <c r="A855" s="2">
        <v>2002.0</v>
      </c>
      <c r="B855" s="2" t="s">
        <v>10074</v>
      </c>
      <c r="C855" s="2" t="s">
        <v>12129</v>
      </c>
      <c r="K855" s="2" t="s">
        <v>10075</v>
      </c>
      <c r="L855" s="2" t="s">
        <v>10076</v>
      </c>
      <c r="O855" s="2" t="s">
        <v>1368</v>
      </c>
    </row>
    <row r="856" ht="15.75" customHeight="1">
      <c r="A856" s="2">
        <v>2008.0</v>
      </c>
      <c r="B856" s="2" t="s">
        <v>10251</v>
      </c>
      <c r="C856" s="2" t="s">
        <v>12129</v>
      </c>
      <c r="K856" s="2" t="s">
        <v>10252</v>
      </c>
      <c r="L856" s="2" t="s">
        <v>10254</v>
      </c>
      <c r="O856" s="2" t="s">
        <v>1872</v>
      </c>
    </row>
    <row r="857" ht="15.75" customHeight="1">
      <c r="A857" s="2">
        <v>1997.0</v>
      </c>
      <c r="B857" s="2" t="s">
        <v>10130</v>
      </c>
      <c r="C857" s="2" t="s">
        <v>12129</v>
      </c>
      <c r="K857" s="2" t="s">
        <v>10131</v>
      </c>
      <c r="L857" s="2" t="s">
        <v>10132</v>
      </c>
      <c r="O857" s="2" t="s">
        <v>1368</v>
      </c>
    </row>
    <row r="858" ht="15.75" customHeight="1">
      <c r="A858" s="2">
        <v>2012.0</v>
      </c>
      <c r="B858" s="2" t="s">
        <v>10270</v>
      </c>
      <c r="C858" s="2" t="s">
        <v>12129</v>
      </c>
      <c r="K858" s="2" t="s">
        <v>10271</v>
      </c>
      <c r="L858" s="2" t="s">
        <v>10272</v>
      </c>
      <c r="O858" s="2" t="s">
        <v>1872</v>
      </c>
    </row>
    <row r="859" ht="15.75" customHeight="1">
      <c r="A859" s="2">
        <v>2014.0</v>
      </c>
      <c r="B859" s="2" t="s">
        <v>10279</v>
      </c>
      <c r="C859" s="2" t="s">
        <v>12129</v>
      </c>
      <c r="K859" s="2" t="s">
        <v>10280</v>
      </c>
      <c r="L859" s="2" t="s">
        <v>10281</v>
      </c>
      <c r="O859" s="2" t="s">
        <v>1872</v>
      </c>
    </row>
    <row r="860" ht="15.75" customHeight="1">
      <c r="A860" s="2">
        <v>2009.0</v>
      </c>
      <c r="B860" s="2" t="s">
        <v>10211</v>
      </c>
      <c r="C860" s="2" t="s">
        <v>12129</v>
      </c>
      <c r="K860" s="2" t="s">
        <v>10212</v>
      </c>
      <c r="L860" s="2" t="s">
        <v>10213</v>
      </c>
      <c r="O860" s="2" t="s">
        <v>1872</v>
      </c>
    </row>
    <row r="861" ht="15.75" customHeight="1">
      <c r="A861" s="2">
        <v>2015.0</v>
      </c>
      <c r="B861" s="2" t="s">
        <v>10534</v>
      </c>
      <c r="C861" s="2" t="s">
        <v>12129</v>
      </c>
      <c r="K861" s="2" t="s">
        <v>10535</v>
      </c>
      <c r="L861" s="2" t="s">
        <v>10538</v>
      </c>
      <c r="O861" s="2" t="s">
        <v>1368</v>
      </c>
    </row>
    <row r="862" ht="15.75" customHeight="1">
      <c r="A862" s="2">
        <v>2017.0</v>
      </c>
      <c r="B862" s="2" t="s">
        <v>8937</v>
      </c>
      <c r="C862" s="2" t="s">
        <v>15399</v>
      </c>
      <c r="G862" s="2" t="s">
        <v>15399</v>
      </c>
      <c r="K862" s="2" t="s">
        <v>8938</v>
      </c>
      <c r="L862" s="2" t="s">
        <v>110</v>
      </c>
      <c r="N862" s="2" t="s">
        <v>15399</v>
      </c>
      <c r="O862" s="2" t="s">
        <v>1556</v>
      </c>
    </row>
    <row r="863" ht="15.75" customHeight="1">
      <c r="A863" s="2">
        <v>2017.0</v>
      </c>
      <c r="B863" s="2" t="s">
        <v>9833</v>
      </c>
      <c r="C863" s="2" t="s">
        <v>15399</v>
      </c>
      <c r="I863" s="2" t="s">
        <v>15399</v>
      </c>
      <c r="K863" s="2" t="s">
        <v>9834</v>
      </c>
      <c r="L863" s="2" t="s">
        <v>71</v>
      </c>
      <c r="N863" s="2" t="s">
        <v>15399</v>
      </c>
      <c r="O863" s="2" t="s">
        <v>1368</v>
      </c>
    </row>
    <row r="864" ht="15.75" customHeight="1">
      <c r="A864" s="2">
        <v>2018.0</v>
      </c>
      <c r="B864" s="2" t="s">
        <v>8508</v>
      </c>
      <c r="C864" s="2" t="s">
        <v>15399</v>
      </c>
      <c r="H864" s="2" t="s">
        <v>15399</v>
      </c>
      <c r="K864" s="2" t="s">
        <v>33</v>
      </c>
      <c r="L864" s="2" t="s">
        <v>37</v>
      </c>
      <c r="N864" s="2" t="s">
        <v>15399</v>
      </c>
      <c r="O864" s="2" t="s">
        <v>1368</v>
      </c>
    </row>
    <row r="865" ht="15.75" customHeight="1">
      <c r="A865" s="2">
        <v>1977.0</v>
      </c>
      <c r="B865" s="2" t="s">
        <v>10068</v>
      </c>
      <c r="C865" s="2" t="s">
        <v>12129</v>
      </c>
      <c r="K865" s="2" t="s">
        <v>10069</v>
      </c>
      <c r="L865" s="2" t="s">
        <v>10070</v>
      </c>
      <c r="O865" s="2" t="s">
        <v>1368</v>
      </c>
    </row>
    <row r="866" ht="15.75" customHeight="1">
      <c r="A866" s="2">
        <v>2013.0</v>
      </c>
      <c r="B866" s="2" t="s">
        <v>10567</v>
      </c>
      <c r="C866" s="2" t="s">
        <v>12129</v>
      </c>
      <c r="K866" s="2" t="s">
        <v>10568</v>
      </c>
      <c r="L866" s="2" t="s">
        <v>10571</v>
      </c>
      <c r="O866" s="2" t="s">
        <v>1368</v>
      </c>
    </row>
    <row r="867" ht="15.75" customHeight="1">
      <c r="A867" s="2">
        <v>2006.0</v>
      </c>
      <c r="B867" s="2" t="s">
        <v>10316</v>
      </c>
      <c r="C867" s="2" t="s">
        <v>12129</v>
      </c>
      <c r="K867" s="2" t="s">
        <v>10317</v>
      </c>
      <c r="O867" s="2" t="s">
        <v>1368</v>
      </c>
    </row>
    <row r="868" ht="15.75" customHeight="1">
      <c r="A868" s="2">
        <v>2015.0</v>
      </c>
      <c r="B868" s="2" t="s">
        <v>10552</v>
      </c>
      <c r="C868" s="2" t="s">
        <v>12129</v>
      </c>
      <c r="K868" s="2" t="s">
        <v>10553</v>
      </c>
      <c r="L868" s="2" t="s">
        <v>10556</v>
      </c>
      <c r="O868" s="2" t="s">
        <v>1368</v>
      </c>
    </row>
    <row r="869" ht="15.75" customHeight="1">
      <c r="A869" s="2">
        <v>2001.0</v>
      </c>
      <c r="B869" s="2" t="s">
        <v>10295</v>
      </c>
      <c r="C869" s="2" t="s">
        <v>12129</v>
      </c>
      <c r="K869" s="2" t="s">
        <v>10296</v>
      </c>
      <c r="L869" s="2" t="s">
        <v>10299</v>
      </c>
      <c r="O869" s="2" t="s">
        <v>1368</v>
      </c>
    </row>
    <row r="870" ht="15.75" customHeight="1">
      <c r="A870" s="2">
        <v>1999.0</v>
      </c>
      <c r="B870" s="2" t="s">
        <v>9944</v>
      </c>
      <c r="C870" s="2" t="s">
        <v>12129</v>
      </c>
      <c r="K870" s="2" t="s">
        <v>9945</v>
      </c>
      <c r="L870" s="2" t="s">
        <v>9946</v>
      </c>
      <c r="O870" s="2" t="s">
        <v>1368</v>
      </c>
    </row>
    <row r="871" ht="15.75" customHeight="1">
      <c r="A871" s="2">
        <v>1998.0</v>
      </c>
      <c r="B871" s="2" t="s">
        <v>10560</v>
      </c>
      <c r="C871" s="2" t="s">
        <v>12129</v>
      </c>
      <c r="K871" s="2" t="s">
        <v>10561</v>
      </c>
      <c r="L871" s="2" t="s">
        <v>10563</v>
      </c>
      <c r="O871" s="2" t="s">
        <v>1368</v>
      </c>
    </row>
    <row r="872" ht="15.75" customHeight="1">
      <c r="A872" s="2">
        <v>2017.0</v>
      </c>
      <c r="B872" s="2" t="s">
        <v>10168</v>
      </c>
      <c r="C872" s="2" t="s">
        <v>12129</v>
      </c>
      <c r="K872" s="2" t="s">
        <v>10169</v>
      </c>
      <c r="L872" s="2" t="s">
        <v>10170</v>
      </c>
      <c r="O872" s="2" t="s">
        <v>1368</v>
      </c>
    </row>
    <row r="873" ht="15.75" customHeight="1">
      <c r="A873" s="2">
        <v>2008.0</v>
      </c>
      <c r="B873" s="2" t="s">
        <v>3681</v>
      </c>
      <c r="C873" s="2" t="s">
        <v>15399</v>
      </c>
      <c r="F873" s="2" t="s">
        <v>15399</v>
      </c>
      <c r="K873" s="2" t="s">
        <v>3682</v>
      </c>
      <c r="L873" s="2" t="s">
        <v>15404</v>
      </c>
      <c r="M873" s="2" t="s">
        <v>15399</v>
      </c>
      <c r="O873" s="2" t="s">
        <v>1368</v>
      </c>
    </row>
    <row r="874" ht="15.75" customHeight="1">
      <c r="A874" s="2">
        <v>2010.0</v>
      </c>
      <c r="B874" s="2" t="s">
        <v>10350</v>
      </c>
      <c r="C874" s="2" t="s">
        <v>12129</v>
      </c>
      <c r="K874" s="2" t="s">
        <v>10351</v>
      </c>
      <c r="L874" s="2" t="s">
        <v>10354</v>
      </c>
      <c r="O874" s="2" t="s">
        <v>1368</v>
      </c>
    </row>
    <row r="875" ht="15.75" customHeight="1">
      <c r="A875" s="2">
        <v>1966.0</v>
      </c>
      <c r="B875" s="2" t="s">
        <v>10344</v>
      </c>
      <c r="C875" s="2" t="s">
        <v>12129</v>
      </c>
      <c r="K875" s="2" t="s">
        <v>10345</v>
      </c>
      <c r="L875" s="2" t="s">
        <v>10347</v>
      </c>
      <c r="O875" s="2" t="s">
        <v>1368</v>
      </c>
    </row>
    <row r="876" ht="15.75" customHeight="1">
      <c r="A876" s="2">
        <v>2011.0</v>
      </c>
      <c r="B876" s="2" t="s">
        <v>10175</v>
      </c>
      <c r="C876" s="2" t="s">
        <v>12129</v>
      </c>
      <c r="K876" s="2" t="s">
        <v>10176</v>
      </c>
      <c r="L876" s="2" t="s">
        <v>10178</v>
      </c>
      <c r="O876" s="2" t="s">
        <v>1885</v>
      </c>
    </row>
    <row r="877" ht="15.75" customHeight="1">
      <c r="A877" s="2">
        <v>2016.0</v>
      </c>
      <c r="B877" s="2" t="s">
        <v>5141</v>
      </c>
      <c r="C877" s="2" t="s">
        <v>15399</v>
      </c>
      <c r="G877" s="2" t="s">
        <v>15399</v>
      </c>
      <c r="K877" s="2" t="s">
        <v>239</v>
      </c>
      <c r="L877" s="2" t="s">
        <v>242</v>
      </c>
      <c r="N877" s="2" t="s">
        <v>15399</v>
      </c>
      <c r="O877" s="2" t="s">
        <v>1368</v>
      </c>
    </row>
    <row r="878" ht="15.75" customHeight="1">
      <c r="A878" s="2">
        <v>2015.0</v>
      </c>
      <c r="B878" s="2" t="s">
        <v>10427</v>
      </c>
      <c r="C878" s="2" t="s">
        <v>15399</v>
      </c>
      <c r="I878" s="2" t="s">
        <v>15399</v>
      </c>
      <c r="K878" s="2" t="s">
        <v>314</v>
      </c>
      <c r="L878" s="2" t="s">
        <v>317</v>
      </c>
      <c r="N878" s="2" t="s">
        <v>15399</v>
      </c>
      <c r="O878" s="2" t="s">
        <v>1368</v>
      </c>
    </row>
    <row r="879" ht="15.75" customHeight="1">
      <c r="A879" s="2">
        <v>2012.0</v>
      </c>
      <c r="B879" s="2" t="s">
        <v>10221</v>
      </c>
      <c r="C879" s="2" t="s">
        <v>12129</v>
      </c>
      <c r="K879" s="2" t="s">
        <v>10222</v>
      </c>
      <c r="L879" s="2" t="s">
        <v>10223</v>
      </c>
      <c r="O879" s="2" t="s">
        <v>2159</v>
      </c>
    </row>
    <row r="880" ht="15.75" customHeight="1">
      <c r="A880" s="2">
        <v>2012.0</v>
      </c>
      <c r="B880" s="2" t="s">
        <v>10085</v>
      </c>
      <c r="C880" s="2" t="s">
        <v>12129</v>
      </c>
      <c r="K880" s="2" t="s">
        <v>10086</v>
      </c>
      <c r="L880" s="2" t="s">
        <v>10087</v>
      </c>
      <c r="O880" s="2" t="s">
        <v>1368</v>
      </c>
    </row>
    <row r="881" ht="15.75" customHeight="1">
      <c r="A881" s="2">
        <v>2013.0</v>
      </c>
      <c r="B881" s="2" t="s">
        <v>10149</v>
      </c>
      <c r="C881" s="2" t="s">
        <v>12129</v>
      </c>
      <c r="K881" s="2" t="s">
        <v>10150</v>
      </c>
      <c r="L881" s="2" t="s">
        <v>10151</v>
      </c>
      <c r="O881" s="2" t="s">
        <v>1368</v>
      </c>
    </row>
    <row r="882" ht="15.75" customHeight="1">
      <c r="A882" s="2">
        <v>2018.0</v>
      </c>
      <c r="B882" s="2" t="s">
        <v>10363</v>
      </c>
      <c r="C882" s="2" t="s">
        <v>12129</v>
      </c>
      <c r="K882" s="2" t="s">
        <v>10364</v>
      </c>
      <c r="L882" s="2" t="s">
        <v>10366</v>
      </c>
      <c r="O882" s="2" t="s">
        <v>1368</v>
      </c>
    </row>
    <row r="883" ht="15.75" customHeight="1">
      <c r="A883" s="2">
        <v>2014.0</v>
      </c>
      <c r="B883" s="2" t="s">
        <v>10358</v>
      </c>
      <c r="C883" s="2" t="s">
        <v>12129</v>
      </c>
      <c r="K883" s="2" t="s">
        <v>10359</v>
      </c>
      <c r="O883" s="2" t="s">
        <v>1368</v>
      </c>
    </row>
    <row r="884" ht="15.75" customHeight="1">
      <c r="A884" s="2">
        <v>2006.0</v>
      </c>
      <c r="B884" s="2" t="s">
        <v>10335</v>
      </c>
      <c r="C884" s="2" t="s">
        <v>12129</v>
      </c>
      <c r="K884" s="2" t="s">
        <v>10336</v>
      </c>
      <c r="O884" s="2" t="s">
        <v>1368</v>
      </c>
    </row>
    <row r="885" ht="15.75" customHeight="1">
      <c r="A885" s="2">
        <v>2014.0</v>
      </c>
      <c r="B885" s="2" t="s">
        <v>9997</v>
      </c>
      <c r="C885" s="2" t="s">
        <v>12129</v>
      </c>
      <c r="K885" s="2" t="s">
        <v>9998</v>
      </c>
      <c r="L885" s="2" t="s">
        <v>9999</v>
      </c>
      <c r="O885" s="2" t="s">
        <v>1368</v>
      </c>
    </row>
    <row r="886" ht="15.75" customHeight="1">
      <c r="A886" s="2">
        <v>2018.0</v>
      </c>
      <c r="B886" s="2" t="s">
        <v>10144</v>
      </c>
      <c r="C886" s="2" t="s">
        <v>12129</v>
      </c>
      <c r="K886" s="2" t="s">
        <v>10145</v>
      </c>
      <c r="L886" s="2" t="s">
        <v>10146</v>
      </c>
      <c r="O886" s="2" t="s">
        <v>1368</v>
      </c>
    </row>
    <row r="887" ht="15.75" customHeight="1">
      <c r="A887" s="2">
        <v>1998.0</v>
      </c>
      <c r="B887" s="2" t="s">
        <v>10373</v>
      </c>
      <c r="C887" s="2" t="s">
        <v>12129</v>
      </c>
      <c r="K887" s="2" t="s">
        <v>10374</v>
      </c>
      <c r="O887" s="2" t="s">
        <v>1368</v>
      </c>
    </row>
    <row r="888" ht="15.75" customHeight="1">
      <c r="A888" s="2">
        <v>2009.0</v>
      </c>
      <c r="B888" s="2" t="s">
        <v>10041</v>
      </c>
      <c r="C888" s="2" t="s">
        <v>12129</v>
      </c>
      <c r="K888" s="2" t="s">
        <v>10042</v>
      </c>
      <c r="L888" s="2" t="s">
        <v>10043</v>
      </c>
      <c r="O888" s="2" t="s">
        <v>1368</v>
      </c>
    </row>
    <row r="889" ht="15.75" customHeight="1">
      <c r="A889" s="2">
        <v>2008.0</v>
      </c>
      <c r="B889" s="2" t="s">
        <v>9976</v>
      </c>
      <c r="C889" s="2" t="s">
        <v>12129</v>
      </c>
      <c r="K889" s="2" t="s">
        <v>9977</v>
      </c>
      <c r="L889" s="2" t="s">
        <v>9979</v>
      </c>
      <c r="O889" s="2" t="s">
        <v>1368</v>
      </c>
    </row>
    <row r="890" ht="15.75" customHeight="1">
      <c r="A890" s="2">
        <v>2007.0</v>
      </c>
      <c r="B890" s="2" t="s">
        <v>10061</v>
      </c>
      <c r="C890" s="2" t="s">
        <v>12129</v>
      </c>
      <c r="K890" s="2" t="s">
        <v>10062</v>
      </c>
      <c r="L890" s="2" t="s">
        <v>10063</v>
      </c>
      <c r="O890" s="2" t="s">
        <v>1368</v>
      </c>
    </row>
    <row r="891" ht="15.75" customHeight="1">
      <c r="A891" s="2">
        <v>2009.0</v>
      </c>
      <c r="B891" s="2" t="s">
        <v>10034</v>
      </c>
      <c r="C891" s="2" t="s">
        <v>12129</v>
      </c>
      <c r="K891" s="2" t="s">
        <v>10035</v>
      </c>
      <c r="L891" s="2" t="s">
        <v>10036</v>
      </c>
      <c r="O891" s="2" t="s">
        <v>1368</v>
      </c>
    </row>
    <row r="892" ht="15.75" customHeight="1">
      <c r="A892" s="2">
        <v>1989.0</v>
      </c>
      <c r="B892" s="2" t="s">
        <v>10392</v>
      </c>
      <c r="C892" s="2" t="s">
        <v>12129</v>
      </c>
      <c r="K892" s="2" t="s">
        <v>10393</v>
      </c>
      <c r="L892" s="2" t="s">
        <v>10395</v>
      </c>
      <c r="O892" s="2" t="s">
        <v>1368</v>
      </c>
    </row>
    <row r="893" ht="15.75" customHeight="1">
      <c r="A893" s="2">
        <v>2009.0</v>
      </c>
      <c r="B893" s="2" t="s">
        <v>10411</v>
      </c>
      <c r="C893" s="2" t="s">
        <v>12129</v>
      </c>
      <c r="K893" s="2" t="s">
        <v>10412</v>
      </c>
      <c r="O893" s="2" t="s">
        <v>1368</v>
      </c>
    </row>
    <row r="894" ht="15.75" customHeight="1">
      <c r="A894" s="2">
        <v>2017.0</v>
      </c>
      <c r="B894" s="2" t="s">
        <v>10387</v>
      </c>
      <c r="C894" s="2" t="s">
        <v>12129</v>
      </c>
      <c r="K894" s="2" t="s">
        <v>10388</v>
      </c>
      <c r="L894" s="2" t="s">
        <v>10390</v>
      </c>
      <c r="O894" s="2" t="s">
        <v>1368</v>
      </c>
    </row>
    <row r="895" ht="15.75" customHeight="1">
      <c r="A895" s="2">
        <v>1986.0</v>
      </c>
      <c r="B895" s="2" t="s">
        <v>10382</v>
      </c>
      <c r="C895" s="2" t="s">
        <v>12129</v>
      </c>
      <c r="K895" s="2" t="s">
        <v>10383</v>
      </c>
      <c r="L895" s="2" t="s">
        <v>10384</v>
      </c>
      <c r="O895" s="2" t="s">
        <v>1368</v>
      </c>
    </row>
    <row r="896" ht="15.75" customHeight="1">
      <c r="A896" s="2">
        <v>2011.0</v>
      </c>
      <c r="B896" s="2" t="s">
        <v>11477</v>
      </c>
      <c r="C896" s="2" t="s">
        <v>15399</v>
      </c>
      <c r="E896" s="2" t="s">
        <v>15399</v>
      </c>
      <c r="K896" s="2" t="s">
        <v>731</v>
      </c>
      <c r="L896" s="2" t="s">
        <v>733</v>
      </c>
      <c r="N896" s="2" t="s">
        <v>15399</v>
      </c>
      <c r="O896" s="2" t="s">
        <v>1368</v>
      </c>
    </row>
    <row r="897" ht="15.75" customHeight="1">
      <c r="A897" s="2">
        <v>2015.0</v>
      </c>
      <c r="B897" s="2" t="s">
        <v>10398</v>
      </c>
      <c r="C897" s="2" t="s">
        <v>12129</v>
      </c>
      <c r="K897" s="2" t="s">
        <v>10399</v>
      </c>
      <c r="O897" s="2" t="s">
        <v>1368</v>
      </c>
    </row>
    <row r="898" ht="15.75" customHeight="1">
      <c r="A898" s="2">
        <v>2014.0</v>
      </c>
      <c r="B898" s="2" t="s">
        <v>10377</v>
      </c>
      <c r="C898" s="2" t="s">
        <v>12129</v>
      </c>
      <c r="K898" s="2" t="s">
        <v>10378</v>
      </c>
      <c r="L898" s="2" t="s">
        <v>10379</v>
      </c>
      <c r="O898" s="2" t="s">
        <v>1368</v>
      </c>
    </row>
    <row r="899" ht="15.75" customHeight="1">
      <c r="A899" s="2">
        <v>2013.0</v>
      </c>
      <c r="B899" s="2" t="s">
        <v>10019</v>
      </c>
      <c r="C899" s="2" t="s">
        <v>12129</v>
      </c>
      <c r="K899" s="2" t="s">
        <v>10020</v>
      </c>
      <c r="L899" s="2" t="s">
        <v>10021</v>
      </c>
      <c r="O899" s="2" t="s">
        <v>1368</v>
      </c>
    </row>
    <row r="900" ht="15.75" customHeight="1">
      <c r="A900" s="2">
        <v>2006.0</v>
      </c>
      <c r="B900" s="2" t="s">
        <v>10415</v>
      </c>
      <c r="C900" s="2" t="s">
        <v>12129</v>
      </c>
      <c r="K900" s="2" t="s">
        <v>10416</v>
      </c>
      <c r="O900" s="2" t="s">
        <v>1368</v>
      </c>
    </row>
    <row r="901" ht="15.75" customHeight="1">
      <c r="A901" s="2">
        <v>2012.0</v>
      </c>
      <c r="B901" s="2" t="s">
        <v>11328</v>
      </c>
      <c r="C901" s="2" t="s">
        <v>15399</v>
      </c>
      <c r="E901" s="2" t="s">
        <v>15399</v>
      </c>
      <c r="K901" s="2" t="s">
        <v>668</v>
      </c>
      <c r="L901" s="2" t="s">
        <v>670</v>
      </c>
      <c r="N901" s="2" t="s">
        <v>15399</v>
      </c>
      <c r="O901" s="2" t="s">
        <v>1542</v>
      </c>
    </row>
    <row r="902" ht="15.75" customHeight="1">
      <c r="A902" s="2">
        <v>2016.0</v>
      </c>
      <c r="B902" s="2" t="s">
        <v>9533</v>
      </c>
      <c r="C902" s="2" t="s">
        <v>12129</v>
      </c>
      <c r="K902" s="2" t="s">
        <v>9534</v>
      </c>
      <c r="O902" s="2" t="s">
        <v>1368</v>
      </c>
    </row>
    <row r="903" ht="15.75" customHeight="1">
      <c r="A903" s="2">
        <v>2016.0</v>
      </c>
      <c r="B903" s="2" t="s">
        <v>9365</v>
      </c>
      <c r="C903" s="2" t="s">
        <v>12129</v>
      </c>
      <c r="K903" s="2" t="s">
        <v>9366</v>
      </c>
      <c r="L903" s="2" t="s">
        <v>9367</v>
      </c>
      <c r="O903" s="2" t="s">
        <v>1621</v>
      </c>
    </row>
    <row r="904" ht="15.75" customHeight="1">
      <c r="A904" s="2">
        <v>2016.0</v>
      </c>
      <c r="B904" s="2" t="s">
        <v>8992</v>
      </c>
      <c r="C904" s="2" t="s">
        <v>12129</v>
      </c>
      <c r="K904" s="2" t="s">
        <v>8993</v>
      </c>
      <c r="L904" s="2" t="s">
        <v>8994</v>
      </c>
      <c r="O904" s="2" t="s">
        <v>1368</v>
      </c>
    </row>
    <row r="905" ht="15.75" customHeight="1">
      <c r="A905" s="2">
        <v>2012.0</v>
      </c>
      <c r="B905" s="2" t="s">
        <v>9529</v>
      </c>
      <c r="C905" s="2" t="s">
        <v>12129</v>
      </c>
      <c r="K905" s="2" t="s">
        <v>9530</v>
      </c>
      <c r="L905" s="2" t="s">
        <v>9531</v>
      </c>
      <c r="O905" s="2" t="s">
        <v>1368</v>
      </c>
    </row>
    <row r="906" ht="15.75" customHeight="1">
      <c r="A906" s="2">
        <v>2013.0</v>
      </c>
      <c r="B906" s="2" t="s">
        <v>10454</v>
      </c>
      <c r="C906" s="2" t="s">
        <v>15399</v>
      </c>
      <c r="G906" s="2" t="s">
        <v>15399</v>
      </c>
      <c r="K906" s="2" t="s">
        <v>10455</v>
      </c>
      <c r="L906" s="2" t="s">
        <v>620</v>
      </c>
      <c r="N906" s="2" t="s">
        <v>15399</v>
      </c>
      <c r="O906" s="2" t="s">
        <v>1368</v>
      </c>
    </row>
    <row r="907" ht="15.75" customHeight="1">
      <c r="A907" s="2">
        <v>2015.0</v>
      </c>
      <c r="B907" s="2" t="s">
        <v>9069</v>
      </c>
      <c r="C907" s="2" t="s">
        <v>12129</v>
      </c>
      <c r="K907" s="2" t="s">
        <v>9070</v>
      </c>
      <c r="L907" s="2" t="s">
        <v>9071</v>
      </c>
      <c r="O907" s="2" t="s">
        <v>1368</v>
      </c>
    </row>
    <row r="908" ht="15.75" customHeight="1">
      <c r="A908" s="2">
        <v>2014.0</v>
      </c>
      <c r="B908" s="2" t="s">
        <v>9419</v>
      </c>
      <c r="C908" s="2" t="s">
        <v>12129</v>
      </c>
      <c r="K908" s="2" t="s">
        <v>9420</v>
      </c>
      <c r="O908" s="2" t="s">
        <v>1368</v>
      </c>
    </row>
    <row r="909" ht="15.75" customHeight="1">
      <c r="A909" s="2">
        <v>2016.0</v>
      </c>
      <c r="B909" s="2" t="s">
        <v>9524</v>
      </c>
      <c r="C909" s="2" t="s">
        <v>12129</v>
      </c>
      <c r="K909" s="2" t="s">
        <v>9525</v>
      </c>
      <c r="L909" s="2" t="s">
        <v>9526</v>
      </c>
      <c r="O909" s="2" t="s">
        <v>1368</v>
      </c>
    </row>
    <row r="910" ht="15.75" customHeight="1">
      <c r="A910" s="2">
        <v>2010.0</v>
      </c>
      <c r="B910" s="2" t="s">
        <v>9517</v>
      </c>
      <c r="C910" s="2" t="s">
        <v>12129</v>
      </c>
      <c r="K910" s="2" t="s">
        <v>9518</v>
      </c>
      <c r="L910" s="2" t="s">
        <v>9521</v>
      </c>
      <c r="O910" s="2" t="s">
        <v>1368</v>
      </c>
    </row>
    <row r="911" ht="15.75" customHeight="1">
      <c r="A911" s="2">
        <v>2007.0</v>
      </c>
      <c r="B911" s="2" t="s">
        <v>9537</v>
      </c>
      <c r="C911" s="2" t="s">
        <v>12129</v>
      </c>
      <c r="K911" s="2" t="s">
        <v>9538</v>
      </c>
      <c r="L911" s="2" t="s">
        <v>9540</v>
      </c>
      <c r="O911" s="2" t="s">
        <v>1368</v>
      </c>
    </row>
    <row r="912" ht="15.75" customHeight="1">
      <c r="A912" s="2">
        <v>2017.0</v>
      </c>
      <c r="B912" s="2" t="s">
        <v>2065</v>
      </c>
      <c r="C912" s="2" t="s">
        <v>15399</v>
      </c>
      <c r="I912" s="2" t="s">
        <v>15399</v>
      </c>
      <c r="K912" s="2" t="s">
        <v>131</v>
      </c>
      <c r="L912" s="2" t="s">
        <v>134</v>
      </c>
      <c r="N912" s="2" t="s">
        <v>15399</v>
      </c>
      <c r="O912" s="2" t="s">
        <v>1368</v>
      </c>
    </row>
    <row r="913" ht="15.75" customHeight="1">
      <c r="A913" s="2">
        <v>2006.0</v>
      </c>
      <c r="B913" s="2" t="s">
        <v>6605</v>
      </c>
      <c r="C913" s="2" t="s">
        <v>15399</v>
      </c>
      <c r="I913" s="2" t="s">
        <v>15399</v>
      </c>
      <c r="K913" s="2" t="s">
        <v>1068</v>
      </c>
      <c r="L913" s="2" t="s">
        <v>1071</v>
      </c>
      <c r="N913" s="2" t="s">
        <v>15399</v>
      </c>
      <c r="O913" s="2" t="s">
        <v>1368</v>
      </c>
    </row>
    <row r="914" ht="15.75" customHeight="1">
      <c r="A914" s="2">
        <v>2010.0</v>
      </c>
      <c r="B914" s="2" t="s">
        <v>9559</v>
      </c>
      <c r="C914" s="2" t="s">
        <v>12129</v>
      </c>
      <c r="K914" s="2" t="s">
        <v>9560</v>
      </c>
      <c r="L914" s="2" t="s">
        <v>9561</v>
      </c>
      <c r="O914" s="2" t="s">
        <v>1368</v>
      </c>
    </row>
    <row r="915" ht="15.75" customHeight="1">
      <c r="A915" s="2">
        <v>2009.0</v>
      </c>
      <c r="B915" s="2" t="s">
        <v>1362</v>
      </c>
      <c r="C915" s="2" t="s">
        <v>15399</v>
      </c>
      <c r="G915" s="2" t="s">
        <v>15399</v>
      </c>
      <c r="K915" s="2" t="s">
        <v>968</v>
      </c>
      <c r="L915" s="2" t="s">
        <v>970</v>
      </c>
      <c r="N915" s="2" t="s">
        <v>15399</v>
      </c>
      <c r="O915" s="2" t="s">
        <v>1368</v>
      </c>
    </row>
    <row r="916" ht="15.75" customHeight="1">
      <c r="A916" s="2">
        <v>2017.0</v>
      </c>
      <c r="B916" s="2" t="s">
        <v>9371</v>
      </c>
      <c r="C916" s="2" t="s">
        <v>12129</v>
      </c>
      <c r="K916" s="2" t="s">
        <v>9372</v>
      </c>
      <c r="L916" s="2" t="s">
        <v>9373</v>
      </c>
      <c r="O916" s="2" t="s">
        <v>1368</v>
      </c>
    </row>
    <row r="917" ht="15.75" customHeight="1">
      <c r="A917" s="2">
        <v>2016.0</v>
      </c>
      <c r="B917" s="2" t="s">
        <v>9358</v>
      </c>
      <c r="C917" s="2" t="s">
        <v>12129</v>
      </c>
      <c r="K917" s="2" t="s">
        <v>9359</v>
      </c>
      <c r="L917" s="2" t="s">
        <v>9362</v>
      </c>
      <c r="O917" s="2" t="s">
        <v>3748</v>
      </c>
    </row>
    <row r="918" ht="15.75" customHeight="1">
      <c r="A918" s="2">
        <v>2001.0</v>
      </c>
      <c r="B918" s="2" t="s">
        <v>9125</v>
      </c>
      <c r="C918" s="2" t="s">
        <v>12129</v>
      </c>
      <c r="K918" s="2" t="s">
        <v>9126</v>
      </c>
      <c r="L918" s="2" t="s">
        <v>9128</v>
      </c>
      <c r="O918" s="2" t="s">
        <v>1368</v>
      </c>
    </row>
    <row r="919" ht="15.75" customHeight="1">
      <c r="A919" s="2">
        <v>2011.0</v>
      </c>
      <c r="B919" s="2" t="s">
        <v>9574</v>
      </c>
      <c r="C919" s="2" t="s">
        <v>12129</v>
      </c>
      <c r="K919" s="2" t="s">
        <v>9575</v>
      </c>
      <c r="L919" s="2" t="s">
        <v>9576</v>
      </c>
      <c r="O919" s="2" t="s">
        <v>1368</v>
      </c>
    </row>
    <row r="920" ht="15.75" customHeight="1">
      <c r="A920" s="2">
        <v>2015.0</v>
      </c>
      <c r="B920" s="2" t="s">
        <v>9553</v>
      </c>
      <c r="C920" s="2" t="s">
        <v>12129</v>
      </c>
      <c r="K920" s="2" t="s">
        <v>9554</v>
      </c>
      <c r="L920" s="2" t="s">
        <v>9555</v>
      </c>
      <c r="O920" s="2" t="s">
        <v>1368</v>
      </c>
    </row>
    <row r="921" ht="15.75" customHeight="1">
      <c r="A921" s="2">
        <v>2014.0</v>
      </c>
      <c r="B921" s="2" t="s">
        <v>9349</v>
      </c>
      <c r="C921" s="2" t="s">
        <v>12129</v>
      </c>
      <c r="K921" s="2" t="s">
        <v>9350</v>
      </c>
      <c r="L921" s="2" t="s">
        <v>9351</v>
      </c>
      <c r="O921" s="2" t="s">
        <v>1542</v>
      </c>
    </row>
    <row r="922" ht="15.75" customHeight="1">
      <c r="A922" s="2">
        <v>2014.0</v>
      </c>
      <c r="B922" s="2" t="s">
        <v>3836</v>
      </c>
      <c r="C922" s="2" t="s">
        <v>15399</v>
      </c>
      <c r="G922" s="2" t="s">
        <v>15399</v>
      </c>
      <c r="K922" s="2" t="s">
        <v>3837</v>
      </c>
      <c r="L922" s="2" t="s">
        <v>459</v>
      </c>
      <c r="N922" s="2" t="s">
        <v>15399</v>
      </c>
      <c r="O922" s="2" t="s">
        <v>1368</v>
      </c>
    </row>
    <row r="923" ht="15.75" customHeight="1">
      <c r="A923" s="2">
        <v>2007.0</v>
      </c>
      <c r="B923" s="2" t="s">
        <v>9547</v>
      </c>
      <c r="C923" s="2" t="s">
        <v>12129</v>
      </c>
      <c r="K923" s="2" t="s">
        <v>9548</v>
      </c>
      <c r="L923" s="2" t="s">
        <v>9549</v>
      </c>
      <c r="O923" s="2" t="s">
        <v>1368</v>
      </c>
    </row>
    <row r="924" ht="15.75" customHeight="1">
      <c r="A924" s="2">
        <v>2005.0</v>
      </c>
      <c r="B924" s="2" t="s">
        <v>9258</v>
      </c>
      <c r="C924" s="2" t="s">
        <v>12129</v>
      </c>
      <c r="K924" s="2" t="s">
        <v>9259</v>
      </c>
      <c r="L924" s="2" t="s">
        <v>9262</v>
      </c>
      <c r="O924" s="2" t="s">
        <v>8021</v>
      </c>
    </row>
    <row r="925" ht="15.75" customHeight="1">
      <c r="A925" s="2">
        <v>2008.0</v>
      </c>
      <c r="B925" s="2" t="s">
        <v>9055</v>
      </c>
      <c r="C925" s="2" t="s">
        <v>12129</v>
      </c>
      <c r="K925" s="2" t="s">
        <v>9056</v>
      </c>
      <c r="L925" s="2" t="s">
        <v>9057</v>
      </c>
      <c r="O925" s="2" t="s">
        <v>1368</v>
      </c>
    </row>
    <row r="926" ht="15.75" customHeight="1">
      <c r="A926" s="2">
        <v>2016.0</v>
      </c>
      <c r="B926" s="2" t="s">
        <v>9566</v>
      </c>
      <c r="C926" s="2" t="s">
        <v>12129</v>
      </c>
      <c r="K926" s="2" t="s">
        <v>9567</v>
      </c>
      <c r="L926" s="2" t="s">
        <v>9568</v>
      </c>
      <c r="O926" s="2" t="s">
        <v>1368</v>
      </c>
    </row>
    <row r="927" ht="15.75" customHeight="1">
      <c r="A927" s="2">
        <v>2010.0</v>
      </c>
      <c r="B927" s="2" t="s">
        <v>10685</v>
      </c>
      <c r="C927" s="2" t="s">
        <v>15399</v>
      </c>
      <c r="E927" s="2" t="s">
        <v>15399</v>
      </c>
      <c r="K927" s="2" t="s">
        <v>10686</v>
      </c>
      <c r="L927" s="2" t="s">
        <v>15405</v>
      </c>
      <c r="M927" s="2" t="s">
        <v>15399</v>
      </c>
      <c r="O927" s="2" t="s">
        <v>1368</v>
      </c>
    </row>
    <row r="928" ht="15.75" customHeight="1">
      <c r="A928" s="2">
        <v>2009.0</v>
      </c>
      <c r="B928" s="2" t="s">
        <v>9330</v>
      </c>
      <c r="C928" s="2" t="s">
        <v>12129</v>
      </c>
      <c r="K928" s="2" t="s">
        <v>9331</v>
      </c>
      <c r="L928" s="2" t="s">
        <v>9334</v>
      </c>
      <c r="O928" s="2" t="s">
        <v>1368</v>
      </c>
    </row>
    <row r="929" ht="15.75" customHeight="1">
      <c r="A929" s="2">
        <v>2009.0</v>
      </c>
      <c r="B929" s="2" t="s">
        <v>9172</v>
      </c>
      <c r="C929" s="2" t="s">
        <v>12129</v>
      </c>
      <c r="K929" s="2" t="s">
        <v>9173</v>
      </c>
      <c r="L929" s="2" t="s">
        <v>9175</v>
      </c>
      <c r="O929" s="2" t="s">
        <v>1368</v>
      </c>
    </row>
    <row r="930" ht="15.75" customHeight="1">
      <c r="A930" s="2">
        <v>1992.0</v>
      </c>
      <c r="B930" s="2" t="s">
        <v>9595</v>
      </c>
      <c r="C930" s="2" t="s">
        <v>12129</v>
      </c>
      <c r="K930" s="2" t="s">
        <v>9596</v>
      </c>
      <c r="L930" s="2" t="s">
        <v>9597</v>
      </c>
      <c r="O930" s="2" t="s">
        <v>1368</v>
      </c>
    </row>
    <row r="931" ht="15.75" customHeight="1">
      <c r="A931" s="2">
        <v>2018.0</v>
      </c>
      <c r="B931" s="2" t="s">
        <v>9404</v>
      </c>
      <c r="C931" s="2" t="s">
        <v>12129</v>
      </c>
      <c r="K931" s="2" t="s">
        <v>9405</v>
      </c>
      <c r="L931" s="2" t="s">
        <v>9406</v>
      </c>
      <c r="O931" s="2" t="s">
        <v>1368</v>
      </c>
    </row>
    <row r="932" ht="15.75" customHeight="1">
      <c r="A932" s="2">
        <v>2015.0</v>
      </c>
      <c r="B932" s="2" t="s">
        <v>9590</v>
      </c>
      <c r="C932" s="2" t="s">
        <v>12129</v>
      </c>
      <c r="K932" s="2" t="s">
        <v>9591</v>
      </c>
      <c r="L932" s="2" t="s">
        <v>9592</v>
      </c>
      <c r="O932" s="2" t="s">
        <v>1368</v>
      </c>
    </row>
    <row r="933" ht="15.75" customHeight="1">
      <c r="A933" s="2">
        <v>2006.0</v>
      </c>
      <c r="B933" s="2" t="s">
        <v>9386</v>
      </c>
      <c r="C933" s="2" t="s">
        <v>12129</v>
      </c>
      <c r="K933" s="2" t="s">
        <v>9387</v>
      </c>
      <c r="O933" s="2" t="s">
        <v>1368</v>
      </c>
    </row>
    <row r="934" ht="15.75" customHeight="1">
      <c r="A934" s="2">
        <v>2009.0</v>
      </c>
      <c r="B934" s="2" t="s">
        <v>9587</v>
      </c>
      <c r="C934" s="2" t="s">
        <v>12129</v>
      </c>
      <c r="K934" s="2" t="s">
        <v>9588</v>
      </c>
      <c r="O934" s="2" t="s">
        <v>1368</v>
      </c>
    </row>
    <row r="935" ht="15.75" customHeight="1">
      <c r="A935" s="2">
        <v>2006.0</v>
      </c>
      <c r="B935" s="2" t="s">
        <v>9377</v>
      </c>
      <c r="C935" s="2" t="s">
        <v>12129</v>
      </c>
      <c r="K935" s="2" t="s">
        <v>9378</v>
      </c>
      <c r="O935" s="2" t="s">
        <v>1368</v>
      </c>
    </row>
    <row r="936" ht="15.75" customHeight="1">
      <c r="A936" s="2">
        <v>2002.0</v>
      </c>
      <c r="B936" s="2" t="s">
        <v>9296</v>
      </c>
      <c r="C936" s="2" t="s">
        <v>12129</v>
      </c>
      <c r="K936" s="2" t="s">
        <v>9297</v>
      </c>
      <c r="O936" s="2" t="s">
        <v>9302</v>
      </c>
    </row>
    <row r="937" ht="15.75" customHeight="1">
      <c r="A937" s="2">
        <v>2011.0</v>
      </c>
      <c r="B937" s="2" t="s">
        <v>9317</v>
      </c>
      <c r="C937" s="2" t="s">
        <v>12129</v>
      </c>
      <c r="K937" s="2" t="s">
        <v>9318</v>
      </c>
      <c r="L937" s="2" t="s">
        <v>9321</v>
      </c>
      <c r="O937" s="2" t="s">
        <v>1885</v>
      </c>
    </row>
    <row r="938" ht="15.75" customHeight="1">
      <c r="A938" s="2">
        <v>2016.0</v>
      </c>
      <c r="B938" s="2" t="s">
        <v>9272</v>
      </c>
      <c r="C938" s="2" t="s">
        <v>12129</v>
      </c>
      <c r="K938" s="2" t="s">
        <v>9273</v>
      </c>
      <c r="L938" s="2" t="s">
        <v>9275</v>
      </c>
      <c r="O938" s="2" t="s">
        <v>8021</v>
      </c>
    </row>
    <row r="939" ht="15.75" customHeight="1">
      <c r="A939" s="2">
        <v>2015.0</v>
      </c>
      <c r="B939" s="2" t="s">
        <v>9606</v>
      </c>
      <c r="C939" s="2" t="s">
        <v>12129</v>
      </c>
      <c r="K939" s="2" t="s">
        <v>9607</v>
      </c>
      <c r="L939" s="2" t="s">
        <v>9608</v>
      </c>
      <c r="O939" s="2" t="s">
        <v>1368</v>
      </c>
    </row>
    <row r="940" ht="15.75" customHeight="1">
      <c r="A940" s="2">
        <v>2000.0</v>
      </c>
      <c r="B940" s="2" t="s">
        <v>9600</v>
      </c>
      <c r="C940" s="2" t="s">
        <v>12129</v>
      </c>
      <c r="K940" s="2" t="s">
        <v>9601</v>
      </c>
      <c r="L940" s="2" t="s">
        <v>9602</v>
      </c>
      <c r="O940" s="2" t="s">
        <v>1368</v>
      </c>
    </row>
    <row r="941" ht="15.75" customHeight="1">
      <c r="A941" s="2">
        <v>2003.0</v>
      </c>
      <c r="B941" s="2" t="s">
        <v>9213</v>
      </c>
      <c r="C941" s="2" t="s">
        <v>12129</v>
      </c>
      <c r="K941" s="2" t="s">
        <v>9214</v>
      </c>
      <c r="L941" s="2" t="s">
        <v>9216</v>
      </c>
      <c r="O941" s="2" t="s">
        <v>1368</v>
      </c>
    </row>
    <row r="942" ht="15.75" customHeight="1">
      <c r="A942" s="2">
        <v>2016.0</v>
      </c>
      <c r="B942" s="2" t="s">
        <v>9582</v>
      </c>
      <c r="C942" s="2" t="s">
        <v>12129</v>
      </c>
      <c r="K942" s="2" t="s">
        <v>9583</v>
      </c>
      <c r="L942" s="2" t="s">
        <v>9584</v>
      </c>
      <c r="O942" s="2" t="s">
        <v>1368</v>
      </c>
    </row>
    <row r="943" ht="15.75" customHeight="1">
      <c r="A943" s="2">
        <v>1992.0</v>
      </c>
      <c r="B943" s="2" t="s">
        <v>9304</v>
      </c>
      <c r="C943" s="2" t="s">
        <v>12129</v>
      </c>
      <c r="K943" s="2" t="s">
        <v>9305</v>
      </c>
      <c r="O943" s="2" t="s">
        <v>1609</v>
      </c>
    </row>
    <row r="944" ht="15.75" customHeight="1">
      <c r="A944" s="2">
        <v>2007.0</v>
      </c>
      <c r="B944" s="2" t="s">
        <v>9022</v>
      </c>
      <c r="C944" s="2" t="s">
        <v>12129</v>
      </c>
      <c r="K944" s="2" t="s">
        <v>9023</v>
      </c>
      <c r="L944" s="2" t="s">
        <v>9024</v>
      </c>
      <c r="O944" s="2" t="s">
        <v>1368</v>
      </c>
    </row>
    <row r="945" ht="15.75" customHeight="1">
      <c r="A945" s="2">
        <v>1999.0</v>
      </c>
      <c r="B945" s="2" t="s">
        <v>9098</v>
      </c>
      <c r="C945" s="2" t="s">
        <v>12129</v>
      </c>
      <c r="K945" s="2" t="s">
        <v>9099</v>
      </c>
      <c r="L945" s="2" t="s">
        <v>9100</v>
      </c>
      <c r="O945" s="2" t="s">
        <v>1368</v>
      </c>
    </row>
    <row r="946" ht="15.75" customHeight="1">
      <c r="A946" s="2">
        <v>1998.0</v>
      </c>
      <c r="B946" s="2" t="s">
        <v>9622</v>
      </c>
      <c r="C946" s="2" t="s">
        <v>12129</v>
      </c>
      <c r="K946" s="2" t="s">
        <v>9623</v>
      </c>
      <c r="L946" s="2" t="s">
        <v>9626</v>
      </c>
      <c r="O946" s="2" t="s">
        <v>1368</v>
      </c>
    </row>
    <row r="947" ht="15.75" customHeight="1">
      <c r="A947" s="2">
        <v>1999.0</v>
      </c>
      <c r="B947" s="2" t="s">
        <v>9221</v>
      </c>
      <c r="C947" s="2" t="s">
        <v>12129</v>
      </c>
      <c r="K947" s="2" t="s">
        <v>9222</v>
      </c>
      <c r="O947" s="2" t="s">
        <v>1368</v>
      </c>
    </row>
    <row r="948" ht="15.75" customHeight="1">
      <c r="A948" s="2">
        <v>2004.0</v>
      </c>
      <c r="B948" s="2" t="s">
        <v>9164</v>
      </c>
      <c r="C948" s="2" t="s">
        <v>12129</v>
      </c>
      <c r="K948" s="2" t="s">
        <v>9165</v>
      </c>
      <c r="L948" s="2" t="s">
        <v>9167</v>
      </c>
      <c r="O948" s="2" t="s">
        <v>1368</v>
      </c>
    </row>
    <row r="949" ht="15.75" customHeight="1">
      <c r="A949" s="2">
        <v>2000.0</v>
      </c>
      <c r="B949" s="2" t="s">
        <v>9156</v>
      </c>
      <c r="C949" s="2" t="s">
        <v>12129</v>
      </c>
      <c r="K949" s="2" t="s">
        <v>9157</v>
      </c>
      <c r="L949" s="2" t="s">
        <v>9159</v>
      </c>
      <c r="O949" s="2" t="s">
        <v>1368</v>
      </c>
    </row>
    <row r="950" ht="15.75" customHeight="1">
      <c r="A950" s="2">
        <v>2001.0</v>
      </c>
      <c r="B950" s="2" t="s">
        <v>9133</v>
      </c>
      <c r="C950" s="2" t="s">
        <v>12129</v>
      </c>
      <c r="K950" s="2" t="s">
        <v>9134</v>
      </c>
      <c r="L950" s="2" t="s">
        <v>9135</v>
      </c>
      <c r="O950" s="2" t="s">
        <v>1368</v>
      </c>
    </row>
    <row r="951" ht="15.75" customHeight="1">
      <c r="A951" s="2">
        <v>2015.0</v>
      </c>
      <c r="B951" s="2" t="s">
        <v>9618</v>
      </c>
      <c r="C951" s="2" t="s">
        <v>15399</v>
      </c>
      <c r="G951" s="2" t="s">
        <v>15399</v>
      </c>
      <c r="J951" s="2" t="s">
        <v>15399</v>
      </c>
      <c r="K951" s="2" t="s">
        <v>9619</v>
      </c>
      <c r="O951" s="2" t="s">
        <v>1368</v>
      </c>
    </row>
    <row r="952" ht="15.75" customHeight="1">
      <c r="A952" s="2">
        <v>2006.0</v>
      </c>
      <c r="B952" s="2" t="s">
        <v>9612</v>
      </c>
      <c r="C952" s="2" t="s">
        <v>12129</v>
      </c>
      <c r="K952" s="2" t="s">
        <v>9613</v>
      </c>
      <c r="L952" s="2" t="s">
        <v>9614</v>
      </c>
      <c r="O952" s="2" t="s">
        <v>1368</v>
      </c>
    </row>
    <row r="953" ht="15.75" customHeight="1">
      <c r="A953" s="2">
        <v>2009.0</v>
      </c>
      <c r="B953" s="2" t="s">
        <v>9441</v>
      </c>
      <c r="C953" s="2" t="s">
        <v>12129</v>
      </c>
      <c r="K953" s="2" t="s">
        <v>9442</v>
      </c>
      <c r="O953" s="2" t="s">
        <v>1368</v>
      </c>
    </row>
    <row r="954" ht="15.75" customHeight="1">
      <c r="A954" s="2">
        <v>2010.0</v>
      </c>
      <c r="B954" s="2" t="s">
        <v>9113</v>
      </c>
      <c r="C954" s="2" t="s">
        <v>12129</v>
      </c>
      <c r="K954" s="2" t="s">
        <v>9114</v>
      </c>
      <c r="L954" s="2" t="s">
        <v>9116</v>
      </c>
      <c r="O954" s="2" t="s">
        <v>1368</v>
      </c>
    </row>
    <row r="955" ht="15.75" customHeight="1">
      <c r="A955" s="2">
        <v>2018.0</v>
      </c>
      <c r="B955" s="2" t="s">
        <v>9250</v>
      </c>
      <c r="C955" s="2" t="s">
        <v>12129</v>
      </c>
      <c r="K955" s="2" t="s">
        <v>9251</v>
      </c>
      <c r="L955" s="2" t="s">
        <v>9252</v>
      </c>
      <c r="O955" s="2" t="s">
        <v>1885</v>
      </c>
    </row>
    <row r="956" ht="15.75" customHeight="1">
      <c r="A956" s="2">
        <v>2016.0</v>
      </c>
      <c r="B956" s="2" t="s">
        <v>9422</v>
      </c>
      <c r="C956" s="2" t="s">
        <v>12129</v>
      </c>
      <c r="K956" s="2" t="s">
        <v>9423</v>
      </c>
      <c r="O956" s="2" t="s">
        <v>1368</v>
      </c>
    </row>
    <row r="957" ht="15.75" customHeight="1">
      <c r="A957" s="2">
        <v>2016.0</v>
      </c>
      <c r="B957" s="2" t="s">
        <v>8683</v>
      </c>
      <c r="C957" s="2" t="s">
        <v>15399</v>
      </c>
      <c r="G957" s="2" t="s">
        <v>15399</v>
      </c>
      <c r="K957" s="2" t="s">
        <v>180</v>
      </c>
      <c r="L957" s="2" t="s">
        <v>183</v>
      </c>
      <c r="N957" s="2" t="s">
        <v>15399</v>
      </c>
      <c r="O957" s="2" t="s">
        <v>1368</v>
      </c>
    </row>
    <row r="958" ht="15.75" customHeight="1">
      <c r="A958" s="2">
        <v>2011.0</v>
      </c>
      <c r="B958" s="2" t="s">
        <v>9282</v>
      </c>
      <c r="C958" s="2" t="s">
        <v>12129</v>
      </c>
      <c r="K958" s="2" t="s">
        <v>9283</v>
      </c>
      <c r="L958" s="2" t="s">
        <v>9286</v>
      </c>
      <c r="O958" s="2" t="s">
        <v>8021</v>
      </c>
    </row>
    <row r="959" ht="15.75" customHeight="1">
      <c r="A959" s="2">
        <v>2016.0</v>
      </c>
      <c r="B959" s="2" t="s">
        <v>9412</v>
      </c>
      <c r="C959" s="2" t="s">
        <v>12129</v>
      </c>
      <c r="K959" s="2" t="s">
        <v>9413</v>
      </c>
      <c r="L959" s="2" t="s">
        <v>9414</v>
      </c>
      <c r="O959" s="2" t="s">
        <v>1368</v>
      </c>
    </row>
    <row r="960" ht="15.75" customHeight="1">
      <c r="A960" s="2">
        <v>2009.0</v>
      </c>
      <c r="B960" s="2" t="s">
        <v>9227</v>
      </c>
      <c r="C960" s="2" t="s">
        <v>12129</v>
      </c>
      <c r="K960" s="2" t="s">
        <v>9228</v>
      </c>
      <c r="L960" s="2" t="s">
        <v>9229</v>
      </c>
      <c r="O960" s="2" t="s">
        <v>1368</v>
      </c>
    </row>
    <row r="961" ht="15.75" customHeight="1">
      <c r="A961" s="2">
        <v>2012.0</v>
      </c>
      <c r="B961" s="2" t="s">
        <v>9076</v>
      </c>
      <c r="C961" s="2" t="s">
        <v>12129</v>
      </c>
      <c r="K961" s="2" t="s">
        <v>9077</v>
      </c>
      <c r="L961" s="2" t="s">
        <v>9078</v>
      </c>
      <c r="O961" s="2" t="s">
        <v>1368</v>
      </c>
    </row>
    <row r="962" ht="15.75" customHeight="1">
      <c r="A962" s="2">
        <v>1991.0</v>
      </c>
      <c r="B962" s="2" t="s">
        <v>9397</v>
      </c>
      <c r="C962" s="2" t="s">
        <v>12129</v>
      </c>
      <c r="K962" s="2" t="s">
        <v>9398</v>
      </c>
      <c r="L962" s="2" t="s">
        <v>9399</v>
      </c>
      <c r="O962" s="2" t="s">
        <v>1368</v>
      </c>
    </row>
    <row r="963" ht="15.75" customHeight="1">
      <c r="A963" s="2">
        <v>1996.0</v>
      </c>
      <c r="B963" s="2" t="s">
        <v>9433</v>
      </c>
      <c r="C963" s="2" t="s">
        <v>12129</v>
      </c>
      <c r="K963" s="2" t="s">
        <v>9434</v>
      </c>
      <c r="L963" s="2" t="s">
        <v>9437</v>
      </c>
      <c r="O963" s="2" t="s">
        <v>1368</v>
      </c>
    </row>
    <row r="964" ht="15.75" customHeight="1">
      <c r="A964" s="2">
        <v>2005.0</v>
      </c>
      <c r="B964" s="2" t="s">
        <v>9390</v>
      </c>
      <c r="C964" s="2" t="s">
        <v>12129</v>
      </c>
      <c r="K964" s="2" t="s">
        <v>9391</v>
      </c>
      <c r="O964" s="2" t="s">
        <v>1368</v>
      </c>
    </row>
    <row r="965" ht="15.75" customHeight="1">
      <c r="A965" s="2">
        <v>2007.0</v>
      </c>
      <c r="B965" s="2" t="s">
        <v>9090</v>
      </c>
      <c r="C965" s="2" t="s">
        <v>12129</v>
      </c>
      <c r="K965" s="2" t="s">
        <v>9091</v>
      </c>
      <c r="L965" s="2" t="s">
        <v>9093</v>
      </c>
      <c r="O965" s="2" t="s">
        <v>1368</v>
      </c>
    </row>
    <row r="966" ht="15.75" customHeight="1">
      <c r="A966" s="2">
        <v>2015.0</v>
      </c>
      <c r="B966" s="2" t="s">
        <v>9150</v>
      </c>
      <c r="C966" s="2" t="s">
        <v>12129</v>
      </c>
      <c r="K966" s="2" t="s">
        <v>9151</v>
      </c>
      <c r="O966" s="2" t="s">
        <v>1368</v>
      </c>
    </row>
    <row r="967" ht="15.75" customHeight="1">
      <c r="A967" s="2">
        <v>1996.0</v>
      </c>
      <c r="B967" s="2" t="s">
        <v>9027</v>
      </c>
      <c r="C967" s="2" t="s">
        <v>12129</v>
      </c>
      <c r="K967" s="2" t="s">
        <v>9028</v>
      </c>
      <c r="O967" s="2" t="s">
        <v>1368</v>
      </c>
    </row>
    <row r="968" ht="15.75" customHeight="1">
      <c r="A968" s="2">
        <v>2014.0</v>
      </c>
      <c r="B968" s="2" t="s">
        <v>9007</v>
      </c>
      <c r="C968" s="2" t="s">
        <v>12129</v>
      </c>
      <c r="K968" s="2" t="s">
        <v>9008</v>
      </c>
      <c r="L968" s="2" t="s">
        <v>9010</v>
      </c>
      <c r="O968" s="2" t="s">
        <v>1368</v>
      </c>
    </row>
    <row r="969" ht="15.75" customHeight="1">
      <c r="A969" s="2">
        <v>1986.0</v>
      </c>
      <c r="B969" s="2" t="s">
        <v>9382</v>
      </c>
      <c r="C969" s="2" t="s">
        <v>12129</v>
      </c>
      <c r="K969" s="2" t="s">
        <v>9383</v>
      </c>
      <c r="O969" s="2" t="s">
        <v>1368</v>
      </c>
    </row>
    <row r="970" ht="15.75" customHeight="1">
      <c r="A970" s="2">
        <v>1999.0</v>
      </c>
      <c r="B970" s="2" t="s">
        <v>8999</v>
      </c>
      <c r="C970" s="2" t="s">
        <v>12129</v>
      </c>
      <c r="K970" s="2" t="s">
        <v>9000</v>
      </c>
      <c r="O970" s="2" t="s">
        <v>1368</v>
      </c>
    </row>
    <row r="971" ht="15.75" customHeight="1">
      <c r="A971" s="2">
        <v>1982.0</v>
      </c>
      <c r="B971" s="2" t="s">
        <v>9034</v>
      </c>
      <c r="C971" s="2" t="s">
        <v>12129</v>
      </c>
      <c r="K971" s="2" t="s">
        <v>9035</v>
      </c>
      <c r="L971" s="2" t="s">
        <v>9037</v>
      </c>
      <c r="O971" s="2" t="s">
        <v>1368</v>
      </c>
    </row>
    <row r="972" ht="15.75" customHeight="1">
      <c r="A972" s="2">
        <v>2007.0</v>
      </c>
      <c r="B972" s="2" t="s">
        <v>9449</v>
      </c>
      <c r="C972" s="2" t="s">
        <v>12129</v>
      </c>
      <c r="K972" s="2" t="s">
        <v>9450</v>
      </c>
      <c r="O972" s="2" t="s">
        <v>1368</v>
      </c>
    </row>
    <row r="973" ht="15.75" customHeight="1">
      <c r="A973" s="2">
        <v>2009.0</v>
      </c>
      <c r="B973" s="2" t="s">
        <v>9049</v>
      </c>
      <c r="C973" s="2" t="s">
        <v>12129</v>
      </c>
      <c r="K973" s="2" t="s">
        <v>9050</v>
      </c>
      <c r="O973" s="2" t="s">
        <v>1368</v>
      </c>
    </row>
    <row r="974" ht="15.75" customHeight="1">
      <c r="A974" s="2">
        <v>2002.0</v>
      </c>
      <c r="B974" s="2" t="s">
        <v>9461</v>
      </c>
      <c r="C974" s="2" t="s">
        <v>12129</v>
      </c>
      <c r="K974" s="2" t="s">
        <v>9462</v>
      </c>
      <c r="L974" s="2" t="s">
        <v>9465</v>
      </c>
      <c r="O974" s="2" t="s">
        <v>1368</v>
      </c>
    </row>
    <row r="975" ht="15.75" customHeight="1">
      <c r="A975" s="2">
        <v>2000.0</v>
      </c>
      <c r="B975" s="2" t="s">
        <v>9083</v>
      </c>
      <c r="C975" s="2" t="s">
        <v>12129</v>
      </c>
      <c r="K975" s="2" t="s">
        <v>9084</v>
      </c>
      <c r="O975" s="2" t="s">
        <v>1368</v>
      </c>
    </row>
    <row r="976" ht="15.75" customHeight="1">
      <c r="A976" s="2">
        <v>2002.0</v>
      </c>
      <c r="B976" s="2" t="s">
        <v>9246</v>
      </c>
      <c r="C976" s="2" t="s">
        <v>12129</v>
      </c>
      <c r="K976" s="2" t="s">
        <v>9247</v>
      </c>
      <c r="O976" s="2" t="s">
        <v>1368</v>
      </c>
    </row>
    <row r="977" ht="15.75" customHeight="1">
      <c r="A977" s="2">
        <v>2009.0</v>
      </c>
      <c r="B977" s="2" t="s">
        <v>9455</v>
      </c>
      <c r="C977" s="2" t="s">
        <v>12129</v>
      </c>
      <c r="K977" s="2" t="s">
        <v>9456</v>
      </c>
      <c r="L977" s="2" t="s">
        <v>9457</v>
      </c>
      <c r="O977" s="2" t="s">
        <v>1368</v>
      </c>
    </row>
    <row r="978" ht="15.75" customHeight="1">
      <c r="A978" s="2">
        <v>1972.0</v>
      </c>
      <c r="B978" s="2" t="s">
        <v>9043</v>
      </c>
      <c r="C978" s="2" t="s">
        <v>12129</v>
      </c>
      <c r="K978" s="2" t="s">
        <v>9044</v>
      </c>
      <c r="O978" s="2" t="s">
        <v>1368</v>
      </c>
    </row>
    <row r="979" ht="15.75" customHeight="1">
      <c r="A979" s="2">
        <v>1998.0</v>
      </c>
      <c r="B979" s="2" t="s">
        <v>9105</v>
      </c>
      <c r="C979" s="2" t="s">
        <v>12129</v>
      </c>
      <c r="K979" s="2" t="s">
        <v>9106</v>
      </c>
      <c r="L979" s="2" t="s">
        <v>9108</v>
      </c>
      <c r="O979" s="2" t="s">
        <v>1368</v>
      </c>
    </row>
    <row r="980" ht="15.75" customHeight="1">
      <c r="A980" s="2">
        <v>2010.0</v>
      </c>
      <c r="B980" s="2" t="s">
        <v>9445</v>
      </c>
      <c r="C980" s="2" t="s">
        <v>12129</v>
      </c>
      <c r="K980" s="2" t="s">
        <v>9446</v>
      </c>
      <c r="O980" s="2" t="s">
        <v>1368</v>
      </c>
    </row>
    <row r="981" ht="15.75" customHeight="1">
      <c r="A981" s="2">
        <v>2006.0</v>
      </c>
      <c r="B981" s="2" t="s">
        <v>9445</v>
      </c>
      <c r="C981" s="2" t="s">
        <v>12129</v>
      </c>
      <c r="K981" s="2" t="s">
        <v>9453</v>
      </c>
      <c r="O981" s="2" t="s">
        <v>1368</v>
      </c>
    </row>
    <row r="982" ht="15.75" customHeight="1">
      <c r="A982" s="2">
        <v>2014.0</v>
      </c>
      <c r="B982" s="2" t="s">
        <v>9234</v>
      </c>
      <c r="C982" s="2" t="s">
        <v>12129</v>
      </c>
      <c r="K982" s="2" t="s">
        <v>9235</v>
      </c>
      <c r="L982" s="2" t="s">
        <v>9236</v>
      </c>
      <c r="O982" s="2" t="s">
        <v>1368</v>
      </c>
    </row>
    <row r="983" ht="15.75" customHeight="1">
      <c r="A983" s="2">
        <v>2017.0</v>
      </c>
      <c r="B983" s="2" t="s">
        <v>3908</v>
      </c>
      <c r="C983" s="2" t="s">
        <v>15399</v>
      </c>
      <c r="F983" s="2" t="s">
        <v>15399</v>
      </c>
      <c r="K983" s="2" t="s">
        <v>122</v>
      </c>
      <c r="L983" s="2" t="s">
        <v>125</v>
      </c>
      <c r="N983" s="2" t="s">
        <v>15399</v>
      </c>
      <c r="O983" s="2" t="s">
        <v>1368</v>
      </c>
    </row>
    <row r="984" ht="15.75" customHeight="1">
      <c r="A984" s="2">
        <v>2011.0</v>
      </c>
      <c r="B984" s="2" t="s">
        <v>5901</v>
      </c>
      <c r="C984" s="2" t="s">
        <v>15399</v>
      </c>
      <c r="E984" s="2" t="s">
        <v>15399</v>
      </c>
      <c r="K984" s="2" t="s">
        <v>770</v>
      </c>
      <c r="L984" s="2" t="s">
        <v>773</v>
      </c>
      <c r="N984" s="2" t="s">
        <v>15399</v>
      </c>
      <c r="O984" s="2" t="s">
        <v>2169</v>
      </c>
    </row>
    <row r="985" ht="15.75" customHeight="1">
      <c r="A985" s="2">
        <v>2012.0</v>
      </c>
      <c r="B985" s="2" t="s">
        <v>9474</v>
      </c>
      <c r="C985" s="2" t="s">
        <v>12129</v>
      </c>
      <c r="K985" s="2" t="s">
        <v>9475</v>
      </c>
      <c r="L985" s="2" t="s">
        <v>9478</v>
      </c>
      <c r="O985" s="2" t="s">
        <v>1368</v>
      </c>
    </row>
    <row r="986" ht="15.75" customHeight="1">
      <c r="A986" s="2">
        <v>2000.0</v>
      </c>
      <c r="B986" s="2" t="s">
        <v>9498</v>
      </c>
      <c r="C986" s="2" t="s">
        <v>12129</v>
      </c>
      <c r="K986" s="2" t="s">
        <v>9499</v>
      </c>
      <c r="L986" s="2" t="s">
        <v>9502</v>
      </c>
      <c r="O986" s="2" t="s">
        <v>1368</v>
      </c>
    </row>
    <row r="987" ht="15.75" customHeight="1">
      <c r="A987" s="2">
        <v>2011.0</v>
      </c>
      <c r="B987" s="2" t="s">
        <v>9492</v>
      </c>
      <c r="C987" s="2" t="s">
        <v>12129</v>
      </c>
      <c r="K987" s="2" t="s">
        <v>9493</v>
      </c>
      <c r="O987" s="2" t="s">
        <v>1368</v>
      </c>
    </row>
    <row r="988" ht="15.75" customHeight="1">
      <c r="A988" s="2">
        <v>2017.0</v>
      </c>
      <c r="B988" s="2" t="s">
        <v>9119</v>
      </c>
      <c r="C988" s="2" t="s">
        <v>12129</v>
      </c>
      <c r="K988" s="2" t="s">
        <v>9120</v>
      </c>
      <c r="O988" s="2" t="s">
        <v>1368</v>
      </c>
    </row>
    <row r="989" ht="15.75" customHeight="1">
      <c r="A989" s="2">
        <v>1980.0</v>
      </c>
      <c r="B989" s="2" t="s">
        <v>9468</v>
      </c>
      <c r="C989" s="2" t="s">
        <v>12129</v>
      </c>
      <c r="K989" s="2" t="s">
        <v>9469</v>
      </c>
      <c r="O989" s="2" t="s">
        <v>1368</v>
      </c>
    </row>
    <row r="990" ht="15.75" customHeight="1">
      <c r="A990" s="2">
        <v>2004.0</v>
      </c>
      <c r="B990" s="2" t="s">
        <v>9488</v>
      </c>
      <c r="C990" s="2" t="s">
        <v>12129</v>
      </c>
      <c r="K990" s="2" t="s">
        <v>9489</v>
      </c>
      <c r="O990" s="2" t="s">
        <v>1368</v>
      </c>
    </row>
    <row r="991" ht="15.75" customHeight="1">
      <c r="A991" s="2">
        <v>2014.0</v>
      </c>
      <c r="B991" s="2" t="s">
        <v>9427</v>
      </c>
      <c r="C991" s="2" t="s">
        <v>12129</v>
      </c>
      <c r="K991" s="2" t="s">
        <v>9428</v>
      </c>
      <c r="O991" s="2" t="s">
        <v>1368</v>
      </c>
    </row>
    <row r="992" ht="15.75" customHeight="1">
      <c r="A992" s="2">
        <v>2012.0</v>
      </c>
      <c r="B992" s="2" t="s">
        <v>9240</v>
      </c>
      <c r="C992" s="2" t="s">
        <v>12129</v>
      </c>
      <c r="K992" s="2" t="s">
        <v>9241</v>
      </c>
      <c r="O992" s="2" t="s">
        <v>1368</v>
      </c>
    </row>
    <row r="993" ht="15.75" customHeight="1">
      <c r="A993" s="2">
        <v>2017.0</v>
      </c>
      <c r="B993" s="2" t="s">
        <v>9140</v>
      </c>
      <c r="C993" s="2" t="s">
        <v>12129</v>
      </c>
      <c r="K993" s="2" t="s">
        <v>9141</v>
      </c>
      <c r="L993" s="2" t="s">
        <v>9143</v>
      </c>
      <c r="O993" s="2" t="s">
        <v>1368</v>
      </c>
    </row>
    <row r="994" ht="15.75" customHeight="1">
      <c r="A994" s="2">
        <v>2014.0</v>
      </c>
      <c r="B994" s="2" t="s">
        <v>9344</v>
      </c>
      <c r="C994" s="2" t="s">
        <v>12129</v>
      </c>
      <c r="K994" s="2" t="s">
        <v>9345</v>
      </c>
      <c r="L994" s="2" t="s">
        <v>9346</v>
      </c>
      <c r="O994" s="2" t="s">
        <v>1368</v>
      </c>
    </row>
    <row r="995" ht="15.75" customHeight="1">
      <c r="A995" s="2">
        <v>2002.0</v>
      </c>
      <c r="B995" s="2" t="s">
        <v>9506</v>
      </c>
      <c r="C995" s="2" t="s">
        <v>12129</v>
      </c>
      <c r="K995" s="2" t="s">
        <v>9507</v>
      </c>
      <c r="L995" s="2" t="s">
        <v>9510</v>
      </c>
      <c r="O995" s="2" t="s">
        <v>1368</v>
      </c>
    </row>
    <row r="996" ht="15.75" customHeight="1">
      <c r="A996" s="2">
        <v>2010.0</v>
      </c>
      <c r="B996" s="2" t="s">
        <v>9015</v>
      </c>
      <c r="C996" s="2" t="s">
        <v>12129</v>
      </c>
      <c r="K996" s="2" t="s">
        <v>9016</v>
      </c>
      <c r="L996" s="2" t="s">
        <v>9017</v>
      </c>
      <c r="O996" s="2" t="s">
        <v>1368</v>
      </c>
    </row>
    <row r="997" ht="15.75" customHeight="1">
      <c r="A997" s="2">
        <v>1999.0</v>
      </c>
      <c r="B997" s="2" t="s">
        <v>9198</v>
      </c>
      <c r="C997" s="2" t="s">
        <v>12129</v>
      </c>
      <c r="K997" s="2" t="s">
        <v>9199</v>
      </c>
      <c r="L997" s="2" t="s">
        <v>9202</v>
      </c>
      <c r="O997" s="2" t="s">
        <v>1368</v>
      </c>
    </row>
    <row r="998" ht="15.75" customHeight="1">
      <c r="A998" s="2">
        <v>2008.0</v>
      </c>
      <c r="B998" s="2" t="s">
        <v>9198</v>
      </c>
      <c r="C998" s="2" t="s">
        <v>12129</v>
      </c>
      <c r="K998" s="2" t="s">
        <v>9208</v>
      </c>
      <c r="O998" s="2" t="s">
        <v>1368</v>
      </c>
    </row>
    <row r="999" ht="15.75" customHeight="1">
      <c r="A999" s="2">
        <v>2003.0</v>
      </c>
      <c r="B999" s="2" t="s">
        <v>9062</v>
      </c>
      <c r="C999" s="2" t="s">
        <v>12129</v>
      </c>
      <c r="K999" s="2" t="s">
        <v>9063</v>
      </c>
      <c r="O999" s="2" t="s">
        <v>1368</v>
      </c>
    </row>
    <row r="1000" ht="15.75" customHeight="1">
      <c r="A1000" s="2">
        <v>2007.0</v>
      </c>
      <c r="B1000" s="2" t="s">
        <v>9513</v>
      </c>
      <c r="C1000" s="2" t="s">
        <v>12129</v>
      </c>
      <c r="K1000" s="2" t="s">
        <v>9514</v>
      </c>
      <c r="O1000" s="2" t="s">
        <v>1368</v>
      </c>
    </row>
    <row r="1001" ht="15.75" customHeight="1">
      <c r="A1001" s="2">
        <v>2018.0</v>
      </c>
      <c r="B1001" s="2" t="s">
        <v>7026</v>
      </c>
      <c r="C1001" s="2" t="s">
        <v>12129</v>
      </c>
      <c r="K1001" s="2" t="s">
        <v>7027</v>
      </c>
      <c r="L1001" s="2" t="s">
        <v>7030</v>
      </c>
      <c r="O1001" s="2" t="s">
        <v>1368</v>
      </c>
    </row>
    <row r="1002" ht="15.75" customHeight="1">
      <c r="A1002" s="2">
        <v>2011.0</v>
      </c>
      <c r="B1002" s="2" t="s">
        <v>6754</v>
      </c>
      <c r="C1002" s="2" t="s">
        <v>12129</v>
      </c>
      <c r="K1002" s="2" t="s">
        <v>6755</v>
      </c>
      <c r="L1002" s="2" t="s">
        <v>6756</v>
      </c>
      <c r="O1002" s="2" t="s">
        <v>2244</v>
      </c>
    </row>
    <row r="1003" ht="15.75" customHeight="1">
      <c r="A1003" s="2">
        <v>2009.0</v>
      </c>
      <c r="B1003" s="2" t="s">
        <v>6754</v>
      </c>
      <c r="C1003" s="2" t="s">
        <v>12129</v>
      </c>
      <c r="K1003" s="2" t="s">
        <v>6810</v>
      </c>
      <c r="L1003" s="2" t="s">
        <v>6811</v>
      </c>
      <c r="O1003" s="2" t="s">
        <v>1368</v>
      </c>
    </row>
    <row r="1004" ht="15.75" customHeight="1">
      <c r="A1004" s="2">
        <v>2004.0</v>
      </c>
      <c r="B1004" s="2" t="s">
        <v>7824</v>
      </c>
      <c r="C1004" s="2" t="s">
        <v>15399</v>
      </c>
      <c r="F1004" s="2" t="s">
        <v>15399</v>
      </c>
      <c r="K1004" s="2" t="s">
        <v>1147</v>
      </c>
      <c r="L1004" s="2" t="s">
        <v>1150</v>
      </c>
      <c r="N1004" s="2" t="s">
        <v>15399</v>
      </c>
      <c r="O1004" s="2" t="s">
        <v>1368</v>
      </c>
    </row>
    <row r="1005" ht="15.75" customHeight="1">
      <c r="A1005" s="2">
        <v>2010.0</v>
      </c>
      <c r="B1005" s="2" t="s">
        <v>6799</v>
      </c>
      <c r="C1005" s="2" t="s">
        <v>12129</v>
      </c>
      <c r="K1005" s="2" t="s">
        <v>6800</v>
      </c>
      <c r="L1005" s="2" t="s">
        <v>6801</v>
      </c>
      <c r="O1005" s="2" t="s">
        <v>1368</v>
      </c>
    </row>
    <row r="1006" ht="15.75" customHeight="1">
      <c r="A1006" s="2">
        <v>2008.0</v>
      </c>
      <c r="B1006" s="2" t="s">
        <v>7042</v>
      </c>
      <c r="C1006" s="2" t="s">
        <v>12129</v>
      </c>
      <c r="K1006" s="2" t="s">
        <v>7043</v>
      </c>
      <c r="L1006" s="2" t="s">
        <v>7045</v>
      </c>
      <c r="O1006" s="2" t="s">
        <v>1368</v>
      </c>
    </row>
    <row r="1007" ht="15.75" customHeight="1">
      <c r="A1007" s="2">
        <v>2002.0</v>
      </c>
      <c r="B1007" s="2" t="s">
        <v>6527</v>
      </c>
      <c r="C1007" s="2" t="s">
        <v>12129</v>
      </c>
      <c r="K1007" s="2" t="s">
        <v>6528</v>
      </c>
      <c r="O1007" s="2" t="s">
        <v>1368</v>
      </c>
    </row>
    <row r="1008" ht="15.75" customHeight="1">
      <c r="A1008" s="2">
        <v>1998.0</v>
      </c>
      <c r="B1008" s="2" t="s">
        <v>6479</v>
      </c>
      <c r="C1008" s="2" t="s">
        <v>12129</v>
      </c>
      <c r="K1008" s="2" t="s">
        <v>6480</v>
      </c>
      <c r="L1008" s="2" t="s">
        <v>6481</v>
      </c>
      <c r="O1008" s="2" t="s">
        <v>1368</v>
      </c>
    </row>
    <row r="1009" ht="15.75" customHeight="1">
      <c r="A1009" s="2">
        <v>2010.0</v>
      </c>
      <c r="B1009" s="2" t="s">
        <v>10194</v>
      </c>
      <c r="C1009" s="2" t="s">
        <v>15399</v>
      </c>
      <c r="I1009" s="2" t="s">
        <v>15399</v>
      </c>
      <c r="K1009" s="2" t="s">
        <v>10195</v>
      </c>
      <c r="L1009" s="2" t="s">
        <v>812</v>
      </c>
      <c r="N1009" s="2" t="s">
        <v>15399</v>
      </c>
      <c r="O1009" s="2" t="s">
        <v>10201</v>
      </c>
    </row>
    <row r="1010" ht="15.75" customHeight="1">
      <c r="A1010" s="2">
        <v>2007.0</v>
      </c>
      <c r="B1010" s="2" t="s">
        <v>6668</v>
      </c>
      <c r="C1010" s="2" t="s">
        <v>12129</v>
      </c>
      <c r="K1010" s="2" t="s">
        <v>6669</v>
      </c>
      <c r="L1010" s="2" t="s">
        <v>6670</v>
      </c>
      <c r="O1010" s="2" t="s">
        <v>2159</v>
      </c>
    </row>
    <row r="1011" ht="15.75" customHeight="1">
      <c r="A1011" s="2">
        <v>2004.0</v>
      </c>
      <c r="B1011" s="2" t="s">
        <v>7033</v>
      </c>
      <c r="C1011" s="2" t="s">
        <v>12129</v>
      </c>
      <c r="K1011" s="2" t="s">
        <v>7034</v>
      </c>
      <c r="L1011" s="2" t="s">
        <v>7037</v>
      </c>
      <c r="O1011" s="2" t="s">
        <v>1368</v>
      </c>
    </row>
    <row r="1012" ht="15.75" customHeight="1">
      <c r="A1012" s="2">
        <v>1999.0</v>
      </c>
      <c r="B1012" s="2" t="s">
        <v>6567</v>
      </c>
      <c r="C1012" s="2" t="s">
        <v>12129</v>
      </c>
      <c r="K1012" s="2" t="s">
        <v>6568</v>
      </c>
      <c r="L1012" s="2" t="s">
        <v>6569</v>
      </c>
      <c r="O1012" s="2" t="s">
        <v>1368</v>
      </c>
    </row>
    <row r="1013" ht="15.75" customHeight="1">
      <c r="A1013" s="2">
        <v>1997.0</v>
      </c>
      <c r="B1013" s="2" t="s">
        <v>7054</v>
      </c>
      <c r="C1013" s="2" t="s">
        <v>12129</v>
      </c>
      <c r="K1013" s="2" t="s">
        <v>7055</v>
      </c>
      <c r="O1013" s="2" t="s">
        <v>1368</v>
      </c>
    </row>
    <row r="1014" ht="15.75" customHeight="1">
      <c r="A1014" s="2">
        <v>1992.0</v>
      </c>
      <c r="B1014" s="2" t="s">
        <v>6639</v>
      </c>
      <c r="C1014" s="2" t="s">
        <v>12129</v>
      </c>
      <c r="K1014" s="2" t="s">
        <v>6640</v>
      </c>
      <c r="L1014" s="2" t="s">
        <v>6642</v>
      </c>
      <c r="O1014" s="2" t="s">
        <v>1368</v>
      </c>
    </row>
    <row r="1015" ht="15.75" customHeight="1">
      <c r="A1015" s="2">
        <v>2018.0</v>
      </c>
      <c r="B1015" s="2" t="s">
        <v>7049</v>
      </c>
      <c r="C1015" s="2" t="s">
        <v>12129</v>
      </c>
      <c r="K1015" s="2" t="s">
        <v>7050</v>
      </c>
      <c r="O1015" s="2" t="s">
        <v>1368</v>
      </c>
    </row>
    <row r="1016" ht="15.75" customHeight="1">
      <c r="A1016" s="2">
        <v>2003.0</v>
      </c>
      <c r="B1016" s="2" t="s">
        <v>6632</v>
      </c>
      <c r="C1016" s="2" t="s">
        <v>12129</v>
      </c>
      <c r="K1016" s="2" t="s">
        <v>6633</v>
      </c>
      <c r="O1016" s="2" t="s">
        <v>1368</v>
      </c>
    </row>
    <row r="1017" ht="15.75" customHeight="1">
      <c r="A1017" s="2">
        <v>2016.0</v>
      </c>
      <c r="B1017" s="2" t="s">
        <v>6745</v>
      </c>
      <c r="C1017" s="2" t="s">
        <v>12129</v>
      </c>
      <c r="K1017" s="2" t="s">
        <v>6746</v>
      </c>
      <c r="L1017" s="2" t="s">
        <v>6747</v>
      </c>
      <c r="O1017" s="2" t="s">
        <v>1368</v>
      </c>
    </row>
    <row r="1018" ht="15.75" customHeight="1">
      <c r="A1018" s="2">
        <v>2013.0</v>
      </c>
      <c r="B1018" s="2" t="s">
        <v>8181</v>
      </c>
      <c r="C1018" s="2" t="s">
        <v>15399</v>
      </c>
      <c r="E1018" s="2" t="s">
        <v>15399</v>
      </c>
      <c r="K1018" s="2" t="s">
        <v>610</v>
      </c>
      <c r="L1018" s="2" t="s">
        <v>612</v>
      </c>
      <c r="N1018" s="2" t="s">
        <v>15399</v>
      </c>
      <c r="O1018" s="2" t="s">
        <v>1368</v>
      </c>
    </row>
    <row r="1019" ht="15.75" customHeight="1">
      <c r="A1019" s="2">
        <v>2017.0</v>
      </c>
      <c r="B1019" s="2" t="s">
        <v>6789</v>
      </c>
      <c r="C1019" s="2" t="s">
        <v>12129</v>
      </c>
      <c r="K1019" s="2" t="s">
        <v>6790</v>
      </c>
      <c r="L1019" s="2" t="s">
        <v>6792</v>
      </c>
      <c r="O1019" s="2" t="s">
        <v>1368</v>
      </c>
    </row>
    <row r="1020" ht="15.75" customHeight="1">
      <c r="A1020" s="2">
        <v>2005.0</v>
      </c>
      <c r="B1020" s="2" t="s">
        <v>7073</v>
      </c>
      <c r="C1020" s="2" t="s">
        <v>12129</v>
      </c>
      <c r="K1020" s="2" t="s">
        <v>7074</v>
      </c>
      <c r="L1020" s="2" t="s">
        <v>7077</v>
      </c>
      <c r="O1020" s="2" t="s">
        <v>1368</v>
      </c>
    </row>
    <row r="1021" ht="15.75" customHeight="1">
      <c r="A1021" s="2">
        <v>2009.0</v>
      </c>
      <c r="B1021" s="2" t="s">
        <v>7084</v>
      </c>
      <c r="C1021" s="2" t="s">
        <v>12129</v>
      </c>
      <c r="K1021" s="2" t="s">
        <v>7085</v>
      </c>
      <c r="L1021" s="2" t="s">
        <v>7088</v>
      </c>
      <c r="O1021" s="2" t="s">
        <v>1368</v>
      </c>
    </row>
    <row r="1022" ht="15.75" customHeight="1">
      <c r="A1022" s="2">
        <v>2006.0</v>
      </c>
      <c r="B1022" s="2" t="s">
        <v>7066</v>
      </c>
      <c r="C1022" s="2" t="s">
        <v>12129</v>
      </c>
      <c r="K1022" s="2" t="s">
        <v>7067</v>
      </c>
      <c r="L1022" s="2" t="s">
        <v>7070</v>
      </c>
      <c r="O1022" s="2" t="s">
        <v>1368</v>
      </c>
    </row>
    <row r="1023" ht="15.75" customHeight="1">
      <c r="A1023" s="2">
        <v>2015.0</v>
      </c>
      <c r="B1023" s="2" t="s">
        <v>6587</v>
      </c>
      <c r="C1023" s="2" t="s">
        <v>12129</v>
      </c>
      <c r="K1023" s="2" t="s">
        <v>6588</v>
      </c>
      <c r="L1023" s="2" t="s">
        <v>6590</v>
      </c>
      <c r="O1023" s="2" t="s">
        <v>1368</v>
      </c>
    </row>
    <row r="1024" ht="15.75" customHeight="1">
      <c r="A1024" s="2">
        <v>2013.0</v>
      </c>
      <c r="B1024" s="2" t="s">
        <v>6560</v>
      </c>
      <c r="C1024" s="2" t="s">
        <v>12129</v>
      </c>
      <c r="K1024" s="2" t="s">
        <v>6561</v>
      </c>
      <c r="L1024" s="2" t="s">
        <v>6562</v>
      </c>
      <c r="O1024" s="2" t="s">
        <v>1368</v>
      </c>
    </row>
    <row r="1025" ht="15.75" customHeight="1">
      <c r="A1025" s="2">
        <v>2011.0</v>
      </c>
      <c r="B1025" s="2" t="s">
        <v>7081</v>
      </c>
      <c r="C1025" s="2" t="s">
        <v>12129</v>
      </c>
      <c r="K1025" s="2" t="s">
        <v>7082</v>
      </c>
      <c r="O1025" s="2" t="s">
        <v>1368</v>
      </c>
    </row>
    <row r="1026" ht="15.75" customHeight="1">
      <c r="A1026" s="2">
        <v>2008.0</v>
      </c>
      <c r="B1026" s="2" t="s">
        <v>6777</v>
      </c>
      <c r="C1026" s="2" t="s">
        <v>12129</v>
      </c>
      <c r="K1026" s="2" t="s">
        <v>6778</v>
      </c>
      <c r="L1026" s="2" t="s">
        <v>6779</v>
      </c>
      <c r="O1026" s="2" t="s">
        <v>1621</v>
      </c>
    </row>
    <row r="1027" ht="15.75" customHeight="1">
      <c r="A1027" s="2">
        <v>2003.0</v>
      </c>
      <c r="B1027" s="2" t="s">
        <v>6535</v>
      </c>
      <c r="C1027" s="2" t="s">
        <v>12129</v>
      </c>
      <c r="K1027" s="2" t="s">
        <v>6536</v>
      </c>
      <c r="O1027" s="2" t="s">
        <v>1368</v>
      </c>
    </row>
    <row r="1028" ht="15.75" customHeight="1">
      <c r="A1028" s="2">
        <v>2011.0</v>
      </c>
      <c r="B1028" s="2" t="s">
        <v>7059</v>
      </c>
      <c r="C1028" s="2" t="s">
        <v>12129</v>
      </c>
      <c r="K1028" s="2" t="s">
        <v>7060</v>
      </c>
      <c r="L1028" s="2" t="s">
        <v>7063</v>
      </c>
      <c r="O1028" s="2" t="s">
        <v>1368</v>
      </c>
    </row>
    <row r="1029" ht="15.75" customHeight="1">
      <c r="A1029" s="2">
        <v>2013.0</v>
      </c>
      <c r="B1029" s="2" t="s">
        <v>6647</v>
      </c>
      <c r="C1029" s="2" t="s">
        <v>12129</v>
      </c>
      <c r="K1029" s="2" t="s">
        <v>6648</v>
      </c>
      <c r="L1029" s="2" t="s">
        <v>6649</v>
      </c>
      <c r="O1029" s="2" t="s">
        <v>1621</v>
      </c>
    </row>
    <row r="1030" ht="15.75" customHeight="1">
      <c r="A1030" s="2">
        <v>2006.0</v>
      </c>
      <c r="B1030" s="2" t="s">
        <v>7108</v>
      </c>
      <c r="C1030" s="2" t="s">
        <v>12129</v>
      </c>
      <c r="K1030" s="2" t="s">
        <v>7109</v>
      </c>
      <c r="O1030" s="2" t="s">
        <v>1368</v>
      </c>
    </row>
    <row r="1031" ht="15.75" customHeight="1">
      <c r="A1031" s="2">
        <v>2011.0</v>
      </c>
      <c r="B1031" s="2" t="s">
        <v>7095</v>
      </c>
      <c r="C1031" s="2" t="s">
        <v>12129</v>
      </c>
      <c r="K1031" s="2" t="s">
        <v>7096</v>
      </c>
      <c r="L1031" s="2" t="s">
        <v>7098</v>
      </c>
      <c r="O1031" s="2" t="s">
        <v>1368</v>
      </c>
    </row>
    <row r="1032" ht="15.75" customHeight="1">
      <c r="A1032" s="2">
        <v>2001.0</v>
      </c>
      <c r="B1032" s="2" t="s">
        <v>6494</v>
      </c>
      <c r="C1032" s="2" t="s">
        <v>12129</v>
      </c>
      <c r="K1032" s="2" t="s">
        <v>6495</v>
      </c>
      <c r="L1032" s="2" t="s">
        <v>6496</v>
      </c>
      <c r="O1032" s="2" t="s">
        <v>1368</v>
      </c>
    </row>
    <row r="1033" ht="15.75" customHeight="1">
      <c r="A1033" s="2">
        <v>2015.0</v>
      </c>
      <c r="B1033" s="2" t="s">
        <v>7091</v>
      </c>
      <c r="C1033" s="2" t="s">
        <v>12129</v>
      </c>
      <c r="K1033" s="2" t="s">
        <v>7092</v>
      </c>
      <c r="O1033" s="2" t="s">
        <v>1368</v>
      </c>
    </row>
    <row r="1034" ht="15.75" customHeight="1">
      <c r="A1034" s="2">
        <v>2013.0</v>
      </c>
      <c r="B1034" s="2" t="s">
        <v>7101</v>
      </c>
      <c r="C1034" s="2" t="s">
        <v>12129</v>
      </c>
      <c r="K1034" s="2" t="s">
        <v>7102</v>
      </c>
      <c r="L1034" s="2" t="s">
        <v>7104</v>
      </c>
      <c r="O1034" s="2" t="s">
        <v>1368</v>
      </c>
    </row>
    <row r="1035" ht="15.75" customHeight="1">
      <c r="A1035" s="2">
        <v>2002.0</v>
      </c>
      <c r="B1035" s="2" t="s">
        <v>6596</v>
      </c>
      <c r="C1035" s="2" t="s">
        <v>12129</v>
      </c>
      <c r="K1035" s="2" t="s">
        <v>6597</v>
      </c>
      <c r="L1035" s="2" t="s">
        <v>6599</v>
      </c>
      <c r="O1035" s="2" t="s">
        <v>1368</v>
      </c>
    </row>
    <row r="1036" ht="15.75" customHeight="1">
      <c r="A1036" s="2">
        <v>2014.0</v>
      </c>
      <c r="B1036" s="2" t="s">
        <v>6620</v>
      </c>
      <c r="C1036" s="2" t="s">
        <v>12129</v>
      </c>
      <c r="K1036" s="2" t="s">
        <v>6621</v>
      </c>
      <c r="O1036" s="2" t="s">
        <v>1368</v>
      </c>
    </row>
    <row r="1037" ht="15.75" customHeight="1">
      <c r="A1037" s="2">
        <v>1997.0</v>
      </c>
      <c r="B1037" s="2" t="s">
        <v>6832</v>
      </c>
      <c r="C1037" s="2" t="s">
        <v>12129</v>
      </c>
      <c r="K1037" s="2" t="s">
        <v>6833</v>
      </c>
      <c r="O1037" s="2" t="s">
        <v>1368</v>
      </c>
    </row>
    <row r="1038" ht="15.75" customHeight="1">
      <c r="A1038" s="2">
        <v>2007.0</v>
      </c>
      <c r="B1038" s="2" t="s">
        <v>11040</v>
      </c>
      <c r="C1038" s="2" t="s">
        <v>15399</v>
      </c>
      <c r="E1038" s="2" t="s">
        <v>15399</v>
      </c>
      <c r="K1038" s="2" t="s">
        <v>11041</v>
      </c>
      <c r="L1038" s="2" t="s">
        <v>11043</v>
      </c>
      <c r="O1038" s="2" t="s">
        <v>1368</v>
      </c>
    </row>
    <row r="1039" ht="15.75" customHeight="1">
      <c r="A1039" s="2">
        <v>1999.0</v>
      </c>
      <c r="B1039" s="2" t="s">
        <v>6553</v>
      </c>
      <c r="C1039" s="2" t="s">
        <v>12129</v>
      </c>
      <c r="K1039" s="2" t="s">
        <v>6554</v>
      </c>
      <c r="O1039" s="2" t="s">
        <v>1368</v>
      </c>
    </row>
    <row r="1040" ht="15.75" customHeight="1">
      <c r="A1040" s="2">
        <v>2012.0</v>
      </c>
      <c r="B1040" s="2" t="s">
        <v>6738</v>
      </c>
      <c r="C1040" s="2" t="s">
        <v>12129</v>
      </c>
      <c r="K1040" s="2" t="s">
        <v>6739</v>
      </c>
      <c r="O1040" s="2" t="s">
        <v>6743</v>
      </c>
    </row>
    <row r="1041" ht="15.75" customHeight="1">
      <c r="A1041" s="2">
        <v>1999.0</v>
      </c>
      <c r="B1041" s="2" t="s">
        <v>6888</v>
      </c>
      <c r="C1041" s="2" t="s">
        <v>12129</v>
      </c>
      <c r="K1041" s="2" t="s">
        <v>6889</v>
      </c>
      <c r="L1041" s="2" t="s">
        <v>6890</v>
      </c>
      <c r="O1041" s="2" t="s">
        <v>1368</v>
      </c>
    </row>
    <row r="1042" ht="15.75" customHeight="1">
      <c r="A1042" s="2">
        <v>2012.0</v>
      </c>
      <c r="B1042" s="2" t="s">
        <v>6655</v>
      </c>
      <c r="C1042" s="2" t="s">
        <v>15399</v>
      </c>
      <c r="E1042" s="2" t="s">
        <v>15399</v>
      </c>
      <c r="K1042" s="2" t="s">
        <v>659</v>
      </c>
      <c r="L1042" s="2" t="s">
        <v>662</v>
      </c>
      <c r="N1042" s="2" t="s">
        <v>15399</v>
      </c>
      <c r="O1042" s="2" t="s">
        <v>1368</v>
      </c>
    </row>
    <row r="1043" ht="15.75" customHeight="1">
      <c r="A1043" s="2">
        <v>2013.0</v>
      </c>
      <c r="B1043" s="2" t="s">
        <v>6878</v>
      </c>
      <c r="C1043" s="2" t="s">
        <v>12129</v>
      </c>
      <c r="K1043" s="2" t="s">
        <v>6879</v>
      </c>
      <c r="L1043" s="2" t="s">
        <v>6880</v>
      </c>
      <c r="O1043" s="2" t="s">
        <v>1368</v>
      </c>
    </row>
    <row r="1044" ht="15.75" customHeight="1">
      <c r="A1044" s="2">
        <v>2010.0</v>
      </c>
      <c r="B1044" s="2" t="s">
        <v>6872</v>
      </c>
      <c r="C1044" s="2" t="s">
        <v>12129</v>
      </c>
      <c r="K1044" s="2" t="s">
        <v>6873</v>
      </c>
      <c r="L1044" s="2" t="s">
        <v>6874</v>
      </c>
      <c r="O1044" s="2" t="s">
        <v>1368</v>
      </c>
    </row>
    <row r="1045" ht="15.75" customHeight="1">
      <c r="A1045" s="2">
        <v>2012.0</v>
      </c>
      <c r="B1045" s="2" t="s">
        <v>6925</v>
      </c>
      <c r="C1045" s="2" t="s">
        <v>12129</v>
      </c>
      <c r="K1045" s="2" t="s">
        <v>6926</v>
      </c>
      <c r="L1045" s="2" t="s">
        <v>6927</v>
      </c>
      <c r="O1045" s="2" t="s">
        <v>1368</v>
      </c>
    </row>
    <row r="1046" ht="15.75" customHeight="1">
      <c r="A1046" s="2">
        <v>2016.0</v>
      </c>
      <c r="B1046" s="2" t="s">
        <v>6510</v>
      </c>
      <c r="C1046" s="2" t="s">
        <v>12129</v>
      </c>
      <c r="K1046" s="2" t="s">
        <v>6511</v>
      </c>
      <c r="L1046" s="2" t="s">
        <v>6513</v>
      </c>
      <c r="O1046" s="2" t="s">
        <v>1368</v>
      </c>
    </row>
    <row r="1047" ht="15.75" customHeight="1">
      <c r="A1047" s="2">
        <v>2001.0</v>
      </c>
      <c r="B1047" s="2" t="s">
        <v>6918</v>
      </c>
      <c r="C1047" s="2" t="s">
        <v>12129</v>
      </c>
      <c r="K1047" s="2" t="s">
        <v>6919</v>
      </c>
      <c r="L1047" s="2" t="s">
        <v>6922</v>
      </c>
      <c r="O1047" s="2" t="s">
        <v>1368</v>
      </c>
    </row>
    <row r="1048" ht="15.75" customHeight="1">
      <c r="A1048" s="2">
        <v>2005.0</v>
      </c>
      <c r="B1048" s="2" t="s">
        <v>6661</v>
      </c>
      <c r="C1048" s="2" t="s">
        <v>12129</v>
      </c>
      <c r="K1048" s="2" t="s">
        <v>6662</v>
      </c>
      <c r="L1048" s="2" t="s">
        <v>6663</v>
      </c>
      <c r="O1048" s="2" t="s">
        <v>1368</v>
      </c>
    </row>
    <row r="1049" ht="15.75" customHeight="1">
      <c r="A1049" s="2">
        <v>2008.0</v>
      </c>
      <c r="B1049" s="2" t="s">
        <v>6911</v>
      </c>
      <c r="C1049" s="2" t="s">
        <v>12129</v>
      </c>
      <c r="K1049" s="2" t="s">
        <v>6912</v>
      </c>
      <c r="L1049" s="2" t="s">
        <v>6915</v>
      </c>
      <c r="O1049" s="2" t="s">
        <v>1368</v>
      </c>
    </row>
    <row r="1050" ht="15.75" customHeight="1">
      <c r="A1050" s="2">
        <v>2014.0</v>
      </c>
      <c r="B1050" s="2" t="s">
        <v>6902</v>
      </c>
      <c r="C1050" s="2" t="s">
        <v>12129</v>
      </c>
      <c r="K1050" s="2" t="s">
        <v>6903</v>
      </c>
      <c r="L1050" s="2" t="s">
        <v>6904</v>
      </c>
      <c r="O1050" s="2" t="s">
        <v>1368</v>
      </c>
    </row>
    <row r="1051" ht="15.75" customHeight="1">
      <c r="A1051" s="2">
        <v>2012.0</v>
      </c>
      <c r="B1051" s="2" t="s">
        <v>6471</v>
      </c>
      <c r="C1051" s="2" t="s">
        <v>12129</v>
      </c>
      <c r="K1051" s="2" t="s">
        <v>6472</v>
      </c>
      <c r="L1051" s="2" t="s">
        <v>6474</v>
      </c>
      <c r="O1051" s="2" t="s">
        <v>1368</v>
      </c>
    </row>
    <row r="1052" ht="15.75" customHeight="1">
      <c r="A1052" s="2">
        <v>1973.0</v>
      </c>
      <c r="B1052" s="2" t="s">
        <v>6544</v>
      </c>
      <c r="C1052" s="2" t="s">
        <v>12129</v>
      </c>
      <c r="K1052" s="2" t="s">
        <v>6545</v>
      </c>
      <c r="L1052" s="2" t="s">
        <v>6547</v>
      </c>
      <c r="O1052" s="2" t="s">
        <v>2244</v>
      </c>
    </row>
    <row r="1053" ht="15.75" customHeight="1">
      <c r="A1053" s="2">
        <v>2007.0</v>
      </c>
      <c r="B1053" s="2" t="s">
        <v>6726</v>
      </c>
      <c r="C1053" s="2" t="s">
        <v>12129</v>
      </c>
      <c r="K1053" s="2" t="s">
        <v>6727</v>
      </c>
      <c r="L1053" s="2" t="s">
        <v>6728</v>
      </c>
      <c r="O1053" s="2" t="s">
        <v>1885</v>
      </c>
    </row>
    <row r="1054" ht="15.75" customHeight="1">
      <c r="A1054" s="2">
        <v>2018.0</v>
      </c>
      <c r="B1054" s="2" t="s">
        <v>6726</v>
      </c>
      <c r="C1054" s="2" t="s">
        <v>12129</v>
      </c>
      <c r="K1054" s="2" t="s">
        <v>6768</v>
      </c>
      <c r="L1054" s="2" t="s">
        <v>6769</v>
      </c>
      <c r="O1054" s="2" t="s">
        <v>1621</v>
      </c>
    </row>
    <row r="1055" ht="15.75" customHeight="1">
      <c r="A1055" s="2">
        <v>2018.0</v>
      </c>
      <c r="B1055" s="2" t="s">
        <v>6761</v>
      </c>
      <c r="C1055" s="2" t="s">
        <v>12129</v>
      </c>
      <c r="K1055" s="2" t="s">
        <v>6762</v>
      </c>
      <c r="L1055" s="2" t="s">
        <v>6763</v>
      </c>
      <c r="O1055" s="2" t="s">
        <v>1621</v>
      </c>
    </row>
    <row r="1056" ht="15.75" customHeight="1">
      <c r="A1056" s="2">
        <v>2006.0</v>
      </c>
      <c r="B1056" s="2" t="s">
        <v>6862</v>
      </c>
      <c r="C1056" s="2" t="s">
        <v>12129</v>
      </c>
      <c r="K1056" s="2" t="s">
        <v>6863</v>
      </c>
      <c r="L1056" s="2" t="s">
        <v>6865</v>
      </c>
      <c r="O1056" s="2" t="s">
        <v>1368</v>
      </c>
    </row>
    <row r="1057" ht="15.75" customHeight="1">
      <c r="A1057" s="2">
        <v>2012.0</v>
      </c>
      <c r="B1057" s="2" t="s">
        <v>6719</v>
      </c>
      <c r="C1057" s="2" t="s">
        <v>12129</v>
      </c>
      <c r="K1057" s="2" t="s">
        <v>6720</v>
      </c>
      <c r="O1057" s="2" t="s">
        <v>3501</v>
      </c>
    </row>
    <row r="1058" ht="15.75" customHeight="1">
      <c r="A1058" s="2">
        <v>1989.0</v>
      </c>
      <c r="B1058" s="2" t="s">
        <v>6898</v>
      </c>
      <c r="C1058" s="2" t="s">
        <v>12129</v>
      </c>
      <c r="K1058" s="2" t="s">
        <v>6899</v>
      </c>
      <c r="O1058" s="2" t="s">
        <v>1368</v>
      </c>
    </row>
    <row r="1059" ht="15.75" customHeight="1">
      <c r="A1059" s="2">
        <v>2011.0</v>
      </c>
      <c r="B1059" s="2" t="s">
        <v>6486</v>
      </c>
      <c r="C1059" s="2" t="s">
        <v>12129</v>
      </c>
      <c r="K1059" s="2" t="s">
        <v>6487</v>
      </c>
      <c r="L1059" s="2" t="s">
        <v>6489</v>
      </c>
      <c r="O1059" s="2" t="s">
        <v>1368</v>
      </c>
    </row>
    <row r="1060" ht="15.75" customHeight="1">
      <c r="A1060" s="2">
        <v>2010.0</v>
      </c>
      <c r="B1060" s="2" t="s">
        <v>6840</v>
      </c>
      <c r="C1060" s="2" t="s">
        <v>12129</v>
      </c>
      <c r="K1060" s="2" t="s">
        <v>6841</v>
      </c>
      <c r="O1060" s="2" t="s">
        <v>1368</v>
      </c>
    </row>
    <row r="1061" ht="15.75" customHeight="1">
      <c r="A1061" s="2">
        <v>2016.0</v>
      </c>
      <c r="B1061" s="2" t="s">
        <v>6840</v>
      </c>
      <c r="C1061" s="2" t="s">
        <v>12129</v>
      </c>
      <c r="K1061" s="2" t="s">
        <v>6848</v>
      </c>
      <c r="O1061" s="2" t="s">
        <v>1368</v>
      </c>
    </row>
    <row r="1062" ht="15.75" customHeight="1">
      <c r="A1062" s="2">
        <v>2000.0</v>
      </c>
      <c r="B1062" s="2" t="s">
        <v>6840</v>
      </c>
      <c r="C1062" s="2" t="s">
        <v>12129</v>
      </c>
      <c r="K1062" s="2" t="s">
        <v>6852</v>
      </c>
      <c r="O1062" s="2" t="s">
        <v>1368</v>
      </c>
    </row>
    <row r="1063" ht="15.75" customHeight="1">
      <c r="A1063" s="2">
        <v>2000.0</v>
      </c>
      <c r="B1063" s="2" t="s">
        <v>6840</v>
      </c>
      <c r="C1063" s="2" t="s">
        <v>12129</v>
      </c>
      <c r="K1063" s="2" t="s">
        <v>6855</v>
      </c>
      <c r="O1063" s="2" t="s">
        <v>1368</v>
      </c>
    </row>
    <row r="1064" ht="15.75" customHeight="1">
      <c r="A1064" s="2">
        <v>2015.0</v>
      </c>
      <c r="B1064" s="2" t="s">
        <v>2363</v>
      </c>
      <c r="C1064" s="2" t="s">
        <v>15399</v>
      </c>
      <c r="E1064" s="2" t="s">
        <v>15399</v>
      </c>
      <c r="K1064" s="2" t="s">
        <v>2364</v>
      </c>
      <c r="L1064" s="2" t="s">
        <v>403</v>
      </c>
      <c r="N1064" s="2" t="s">
        <v>15399</v>
      </c>
      <c r="O1064" s="2" t="s">
        <v>1368</v>
      </c>
    </row>
    <row r="1065" ht="15.75" customHeight="1">
      <c r="A1065" s="2">
        <v>2017.0</v>
      </c>
      <c r="B1065" s="2" t="s">
        <v>6580</v>
      </c>
      <c r="C1065" s="2" t="s">
        <v>12129</v>
      </c>
      <c r="K1065" s="2" t="s">
        <v>6581</v>
      </c>
      <c r="L1065" s="2" t="s">
        <v>6582</v>
      </c>
      <c r="O1065" s="2" t="s">
        <v>1368</v>
      </c>
    </row>
    <row r="1066" ht="15.75" customHeight="1">
      <c r="A1066" s="2">
        <v>1998.0</v>
      </c>
      <c r="B1066" s="2" t="s">
        <v>6823</v>
      </c>
      <c r="C1066" s="2" t="s">
        <v>12129</v>
      </c>
      <c r="K1066" s="2" t="s">
        <v>6824</v>
      </c>
      <c r="L1066" s="2" t="s">
        <v>6825</v>
      </c>
      <c r="O1066" s="2" t="s">
        <v>1368</v>
      </c>
    </row>
    <row r="1067" ht="15.75" customHeight="1">
      <c r="A1067" s="2">
        <v>2000.0</v>
      </c>
      <c r="B1067" s="2" t="s">
        <v>6814</v>
      </c>
      <c r="C1067" s="2" t="s">
        <v>12129</v>
      </c>
      <c r="K1067" s="2" t="s">
        <v>6815</v>
      </c>
      <c r="L1067" s="2" t="s">
        <v>6816</v>
      </c>
      <c r="O1067" s="2" t="s">
        <v>1368</v>
      </c>
    </row>
    <row r="1068" ht="15.75" customHeight="1">
      <c r="A1068" s="2">
        <v>2018.0</v>
      </c>
      <c r="B1068" s="2" t="s">
        <v>6858</v>
      </c>
      <c r="C1068" s="2" t="s">
        <v>12129</v>
      </c>
      <c r="K1068" s="2" t="s">
        <v>6859</v>
      </c>
      <c r="O1068" s="2" t="s">
        <v>1368</v>
      </c>
    </row>
    <row r="1069" ht="15.75" customHeight="1">
      <c r="A1069" s="2">
        <v>2007.0</v>
      </c>
      <c r="B1069" s="2" t="s">
        <v>6950</v>
      </c>
      <c r="C1069" s="2" t="s">
        <v>12129</v>
      </c>
      <c r="K1069" s="2" t="s">
        <v>6951</v>
      </c>
      <c r="L1069" s="2" t="s">
        <v>6952</v>
      </c>
      <c r="O1069" s="2" t="s">
        <v>1368</v>
      </c>
    </row>
    <row r="1070" ht="15.75" customHeight="1">
      <c r="A1070" s="2">
        <v>2011.0</v>
      </c>
      <c r="B1070" s="2" t="s">
        <v>6707</v>
      </c>
      <c r="C1070" s="2" t="s">
        <v>12129</v>
      </c>
      <c r="K1070" s="2" t="s">
        <v>6708</v>
      </c>
      <c r="L1070" s="2" t="s">
        <v>6709</v>
      </c>
      <c r="O1070" s="2" t="s">
        <v>1885</v>
      </c>
    </row>
    <row r="1071" ht="15.75" customHeight="1">
      <c r="A1071" s="2">
        <v>2016.0</v>
      </c>
      <c r="B1071" s="2" t="s">
        <v>5009</v>
      </c>
      <c r="C1071" s="2" t="s">
        <v>15399</v>
      </c>
      <c r="E1071" s="2" t="s">
        <v>15399</v>
      </c>
      <c r="K1071" s="2" t="s">
        <v>232</v>
      </c>
      <c r="L1071" s="2" t="s">
        <v>234</v>
      </c>
      <c r="N1071" s="2" t="s">
        <v>15399</v>
      </c>
      <c r="O1071" s="2" t="s">
        <v>1368</v>
      </c>
    </row>
    <row r="1072" ht="15.75" customHeight="1">
      <c r="A1072" s="2">
        <v>2008.0</v>
      </c>
      <c r="B1072" s="2" t="s">
        <v>6613</v>
      </c>
      <c r="C1072" s="2" t="s">
        <v>12129</v>
      </c>
      <c r="K1072" s="2" t="s">
        <v>6614</v>
      </c>
      <c r="L1072" s="2" t="s">
        <v>6615</v>
      </c>
      <c r="O1072" s="2" t="s">
        <v>1368</v>
      </c>
    </row>
    <row r="1073" ht="15.75" customHeight="1">
      <c r="A1073" s="2">
        <v>1997.0</v>
      </c>
      <c r="B1073" s="2" t="s">
        <v>6625</v>
      </c>
      <c r="C1073" s="2" t="s">
        <v>12129</v>
      </c>
      <c r="K1073" s="2" t="s">
        <v>6626</v>
      </c>
      <c r="L1073" s="2" t="s">
        <v>6627</v>
      </c>
      <c r="O1073" s="2" t="s">
        <v>1368</v>
      </c>
    </row>
    <row r="1074" ht="15.75" customHeight="1">
      <c r="A1074" s="2">
        <v>1996.0</v>
      </c>
      <c r="B1074" s="2" t="s">
        <v>6574</v>
      </c>
      <c r="C1074" s="2" t="s">
        <v>12129</v>
      </c>
      <c r="K1074" s="2" t="s">
        <v>6575</v>
      </c>
      <c r="O1074" s="2" t="s">
        <v>1368</v>
      </c>
    </row>
    <row r="1075" ht="15.75" customHeight="1">
      <c r="A1075" s="2">
        <v>2016.0</v>
      </c>
      <c r="B1075" s="2" t="s">
        <v>3320</v>
      </c>
      <c r="C1075" s="2" t="s">
        <v>15399</v>
      </c>
      <c r="I1075" s="2" t="s">
        <v>15399</v>
      </c>
      <c r="K1075" s="2" t="s">
        <v>173</v>
      </c>
      <c r="L1075" s="2" t="s">
        <v>175</v>
      </c>
      <c r="N1075" s="2" t="s">
        <v>15399</v>
      </c>
      <c r="O1075" s="2" t="s">
        <v>1368</v>
      </c>
    </row>
    <row r="1076" ht="15.75" customHeight="1">
      <c r="A1076" s="2">
        <v>2016.0</v>
      </c>
      <c r="B1076" s="2" t="s">
        <v>6946</v>
      </c>
      <c r="C1076" s="2" t="s">
        <v>12129</v>
      </c>
      <c r="K1076" s="2" t="s">
        <v>6947</v>
      </c>
      <c r="O1076" s="2" t="s">
        <v>1368</v>
      </c>
    </row>
    <row r="1077" ht="15.75" customHeight="1">
      <c r="A1077" s="2">
        <v>2017.0</v>
      </c>
      <c r="B1077" s="2" t="s">
        <v>5957</v>
      </c>
      <c r="C1077" s="2" t="s">
        <v>15399</v>
      </c>
      <c r="E1077" s="2" t="s">
        <v>15399</v>
      </c>
      <c r="K1077" s="2" t="s">
        <v>149</v>
      </c>
      <c r="L1077" s="2" t="s">
        <v>151</v>
      </c>
      <c r="N1077" s="2" t="s">
        <v>15399</v>
      </c>
      <c r="O1077" s="2" t="s">
        <v>5966</v>
      </c>
    </row>
    <row r="1078" ht="15.75" customHeight="1">
      <c r="A1078" s="2">
        <v>2014.0</v>
      </c>
      <c r="B1078" s="2" t="s">
        <v>6939</v>
      </c>
      <c r="C1078" s="2" t="s">
        <v>12129</v>
      </c>
      <c r="K1078" s="2" t="s">
        <v>6940</v>
      </c>
      <c r="L1078" s="2" t="s">
        <v>6943</v>
      </c>
      <c r="O1078" s="2" t="s">
        <v>1368</v>
      </c>
    </row>
    <row r="1079" ht="15.75" customHeight="1">
      <c r="A1079" s="2">
        <v>2017.0</v>
      </c>
      <c r="B1079" s="2" t="s">
        <v>2955</v>
      </c>
      <c r="C1079" s="2" t="s">
        <v>15399</v>
      </c>
      <c r="G1079" s="2" t="s">
        <v>15399</v>
      </c>
      <c r="K1079" s="2" t="s">
        <v>85</v>
      </c>
      <c r="L1079" s="2" t="s">
        <v>88</v>
      </c>
      <c r="N1079" s="2" t="s">
        <v>15399</v>
      </c>
      <c r="O1079" s="2" t="s">
        <v>2169</v>
      </c>
    </row>
    <row r="1080" ht="15.75" customHeight="1">
      <c r="A1080" s="2">
        <v>1972.0</v>
      </c>
      <c r="B1080" s="2" t="s">
        <v>6519</v>
      </c>
      <c r="C1080" s="2" t="s">
        <v>12129</v>
      </c>
      <c r="K1080" s="2" t="s">
        <v>6520</v>
      </c>
      <c r="L1080" s="2" t="s">
        <v>6521</v>
      </c>
      <c r="O1080" s="2" t="s">
        <v>1368</v>
      </c>
    </row>
    <row r="1081" ht="15.75" customHeight="1">
      <c r="A1081" s="2">
        <v>2006.0</v>
      </c>
      <c r="B1081" s="2" t="s">
        <v>6985</v>
      </c>
      <c r="C1081" s="2" t="s">
        <v>12129</v>
      </c>
      <c r="K1081" s="2" t="s">
        <v>6986</v>
      </c>
      <c r="L1081" s="2" t="s">
        <v>6988</v>
      </c>
      <c r="O1081" s="2" t="s">
        <v>1368</v>
      </c>
    </row>
    <row r="1082" ht="15.75" customHeight="1">
      <c r="A1082" s="2">
        <v>2013.0</v>
      </c>
      <c r="B1082" s="2" t="s">
        <v>6679</v>
      </c>
      <c r="C1082" s="2" t="s">
        <v>12129</v>
      </c>
      <c r="K1082" s="2" t="s">
        <v>6680</v>
      </c>
      <c r="L1082" s="2" t="s">
        <v>6681</v>
      </c>
      <c r="O1082" s="2" t="s">
        <v>1885</v>
      </c>
    </row>
    <row r="1083" ht="15.75" customHeight="1">
      <c r="A1083" s="2">
        <v>2014.0</v>
      </c>
      <c r="B1083" s="2" t="s">
        <v>6996</v>
      </c>
      <c r="C1083" s="2" t="s">
        <v>12129</v>
      </c>
      <c r="K1083" s="2" t="s">
        <v>6997</v>
      </c>
      <c r="L1083" s="2" t="s">
        <v>6998</v>
      </c>
      <c r="O1083" s="2" t="s">
        <v>1368</v>
      </c>
    </row>
    <row r="1084" ht="15.75" customHeight="1">
      <c r="A1084" s="2">
        <v>2016.0</v>
      </c>
      <c r="B1084" s="2" t="s">
        <v>6981</v>
      </c>
      <c r="C1084" s="2" t="s">
        <v>12129</v>
      </c>
      <c r="K1084" s="2" t="s">
        <v>6982</v>
      </c>
      <c r="O1084" s="2" t="s">
        <v>1368</v>
      </c>
    </row>
    <row r="1085" ht="15.75" customHeight="1">
      <c r="A1085" s="2">
        <v>2015.0</v>
      </c>
      <c r="B1085" s="2" t="s">
        <v>6974</v>
      </c>
      <c r="C1085" s="2" t="s">
        <v>12129</v>
      </c>
      <c r="K1085" s="2" t="s">
        <v>6975</v>
      </c>
      <c r="L1085" s="2" t="s">
        <v>6978</v>
      </c>
      <c r="O1085" s="2" t="s">
        <v>1368</v>
      </c>
    </row>
    <row r="1086" ht="15.75" customHeight="1">
      <c r="A1086" s="2">
        <v>2000.0</v>
      </c>
      <c r="B1086" s="2" t="s">
        <v>6970</v>
      </c>
      <c r="C1086" s="2" t="s">
        <v>12129</v>
      </c>
      <c r="K1086" s="2" t="s">
        <v>6971</v>
      </c>
      <c r="O1086" s="2" t="s">
        <v>1368</v>
      </c>
    </row>
    <row r="1087" ht="15.75" customHeight="1">
      <c r="A1087" s="2">
        <v>2005.0</v>
      </c>
      <c r="B1087" s="2" t="s">
        <v>6963</v>
      </c>
      <c r="C1087" s="2" t="s">
        <v>12129</v>
      </c>
      <c r="K1087" s="2" t="s">
        <v>6964</v>
      </c>
      <c r="O1087" s="2" t="s">
        <v>1368</v>
      </c>
    </row>
    <row r="1088" ht="15.75" customHeight="1">
      <c r="A1088" s="2">
        <v>2015.0</v>
      </c>
      <c r="B1088" s="2" t="s">
        <v>6501</v>
      </c>
      <c r="C1088" s="2" t="s">
        <v>12129</v>
      </c>
      <c r="K1088" s="2" t="s">
        <v>6502</v>
      </c>
      <c r="L1088" s="2" t="s">
        <v>6504</v>
      </c>
      <c r="O1088" s="2" t="s">
        <v>1368</v>
      </c>
    </row>
    <row r="1089" ht="15.75" customHeight="1">
      <c r="A1089" s="2">
        <v>2004.0</v>
      </c>
      <c r="B1089" s="2" t="s">
        <v>7023</v>
      </c>
      <c r="C1089" s="2" t="s">
        <v>12129</v>
      </c>
      <c r="K1089" s="2" t="s">
        <v>7024</v>
      </c>
      <c r="O1089" s="2" t="s">
        <v>1368</v>
      </c>
    </row>
    <row r="1090" ht="15.75" customHeight="1">
      <c r="A1090" s="2">
        <v>2003.0</v>
      </c>
      <c r="B1090" s="2" t="s">
        <v>6991</v>
      </c>
      <c r="C1090" s="2" t="s">
        <v>12129</v>
      </c>
      <c r="K1090" s="2" t="s">
        <v>6992</v>
      </c>
      <c r="O1090" s="2" t="s">
        <v>1368</v>
      </c>
    </row>
    <row r="1091" ht="15.75" customHeight="1">
      <c r="A1091" s="2">
        <v>2006.0</v>
      </c>
      <c r="B1091" s="2" t="s">
        <v>6957</v>
      </c>
      <c r="C1091" s="2" t="s">
        <v>12129</v>
      </c>
      <c r="K1091" s="2" t="s">
        <v>6958</v>
      </c>
      <c r="L1091" s="2" t="s">
        <v>6959</v>
      </c>
      <c r="O1091" s="2" t="s">
        <v>1368</v>
      </c>
    </row>
    <row r="1092" ht="15.75" customHeight="1">
      <c r="A1092" s="2">
        <v>2015.0</v>
      </c>
      <c r="B1092" s="2" t="s">
        <v>6869</v>
      </c>
      <c r="C1092" s="2" t="s">
        <v>12129</v>
      </c>
      <c r="K1092" s="2" t="s">
        <v>6870</v>
      </c>
      <c r="O1092" s="2" t="s">
        <v>1368</v>
      </c>
    </row>
    <row r="1093" ht="15.75" customHeight="1">
      <c r="A1093" s="2">
        <v>2016.0</v>
      </c>
      <c r="B1093" s="2" t="s">
        <v>6869</v>
      </c>
      <c r="C1093" s="2" t="s">
        <v>12129</v>
      </c>
      <c r="K1093" s="2" t="s">
        <v>7113</v>
      </c>
      <c r="O1093" s="2" t="s">
        <v>1368</v>
      </c>
    </row>
    <row r="1094" ht="15.75" customHeight="1">
      <c r="A1094" s="2">
        <v>2006.0</v>
      </c>
      <c r="B1094" s="2" t="s">
        <v>6869</v>
      </c>
      <c r="C1094" s="2" t="s">
        <v>12129</v>
      </c>
      <c r="K1094" s="2" t="s">
        <v>7119</v>
      </c>
      <c r="O1094" s="2" t="s">
        <v>1368</v>
      </c>
    </row>
    <row r="1095" ht="15.75" customHeight="1">
      <c r="A1095" s="2">
        <v>2018.0</v>
      </c>
      <c r="B1095" s="2" t="s">
        <v>6869</v>
      </c>
      <c r="C1095" s="2" t="s">
        <v>12129</v>
      </c>
      <c r="K1095" s="2" t="s">
        <v>7125</v>
      </c>
      <c r="O1095" s="2" t="s">
        <v>1368</v>
      </c>
    </row>
    <row r="1096" ht="15.75" customHeight="1">
      <c r="A1096" s="2">
        <v>2018.0</v>
      </c>
      <c r="B1096" s="2" t="s">
        <v>6869</v>
      </c>
      <c r="C1096" s="2" t="s">
        <v>15399</v>
      </c>
      <c r="G1096" s="2" t="s">
        <v>15399</v>
      </c>
      <c r="J1096" s="2" t="s">
        <v>15399</v>
      </c>
      <c r="K1096" s="2" t="s">
        <v>7128</v>
      </c>
      <c r="O1096" s="2" t="s">
        <v>1368</v>
      </c>
    </row>
    <row r="1097" ht="15.75" customHeight="1">
      <c r="A1097" s="2">
        <v>1992.0</v>
      </c>
      <c r="B1097" s="2" t="s">
        <v>7019</v>
      </c>
      <c r="C1097" s="2" t="s">
        <v>12129</v>
      </c>
      <c r="K1097" s="2" t="s">
        <v>7020</v>
      </c>
      <c r="O1097" s="2" t="s">
        <v>1368</v>
      </c>
    </row>
    <row r="1098" ht="15.75" customHeight="1">
      <c r="A1098" s="2">
        <v>2008.0</v>
      </c>
      <c r="B1098" s="2" t="s">
        <v>7006</v>
      </c>
      <c r="C1098" s="2" t="s">
        <v>12129</v>
      </c>
      <c r="K1098" s="2" t="s">
        <v>7007</v>
      </c>
      <c r="L1098" s="2" t="s">
        <v>7010</v>
      </c>
      <c r="O1098" s="2" t="s">
        <v>1368</v>
      </c>
    </row>
    <row r="1099" ht="15.75" customHeight="1">
      <c r="A1099" s="2">
        <v>2006.0</v>
      </c>
      <c r="B1099" s="2" t="s">
        <v>7006</v>
      </c>
      <c r="C1099" s="2" t="s">
        <v>12129</v>
      </c>
      <c r="K1099" s="2" t="s">
        <v>7013</v>
      </c>
      <c r="L1099" s="2" t="s">
        <v>7016</v>
      </c>
      <c r="O1099" s="2" t="s">
        <v>1368</v>
      </c>
    </row>
    <row r="1100" ht="15.75" customHeight="1">
      <c r="A1100" s="2">
        <v>1997.0</v>
      </c>
      <c r="B1100" s="2" t="s">
        <v>7001</v>
      </c>
      <c r="C1100" s="2" t="s">
        <v>12129</v>
      </c>
      <c r="K1100" s="2" t="s">
        <v>7002</v>
      </c>
      <c r="L1100" s="2" t="s">
        <v>7003</v>
      </c>
      <c r="O1100" s="2" t="s">
        <v>1368</v>
      </c>
    </row>
    <row r="1101" ht="15.75" customHeight="1">
      <c r="A1101" s="2">
        <v>2007.0</v>
      </c>
      <c r="B1101" s="2" t="s">
        <v>5753</v>
      </c>
      <c r="C1101" s="2" t="s">
        <v>12129</v>
      </c>
      <c r="K1101" s="2" t="s">
        <v>5754</v>
      </c>
      <c r="O1101" s="2" t="s">
        <v>1368</v>
      </c>
    </row>
    <row r="1102" ht="15.75" customHeight="1">
      <c r="A1102" s="2">
        <v>1998.0</v>
      </c>
      <c r="B1102" s="2" t="s">
        <v>5694</v>
      </c>
      <c r="C1102" s="2" t="s">
        <v>12129</v>
      </c>
      <c r="K1102" s="2" t="s">
        <v>5695</v>
      </c>
      <c r="O1102" s="2" t="s">
        <v>1368</v>
      </c>
    </row>
    <row r="1103" ht="15.75" customHeight="1">
      <c r="A1103" s="2">
        <v>2017.0</v>
      </c>
      <c r="B1103" s="2" t="s">
        <v>6115</v>
      </c>
      <c r="C1103" s="2" t="s">
        <v>12129</v>
      </c>
      <c r="K1103" s="2" t="s">
        <v>6116</v>
      </c>
      <c r="O1103" s="2" t="s">
        <v>1368</v>
      </c>
    </row>
    <row r="1104" ht="15.75" customHeight="1">
      <c r="A1104" s="2">
        <v>2006.0</v>
      </c>
      <c r="B1104" s="2" t="s">
        <v>6287</v>
      </c>
      <c r="C1104" s="2" t="s">
        <v>12129</v>
      </c>
      <c r="K1104" s="2" t="s">
        <v>6288</v>
      </c>
      <c r="O1104" s="2" t="s">
        <v>1368</v>
      </c>
    </row>
    <row r="1105" ht="15.75" customHeight="1">
      <c r="A1105" s="2">
        <v>2015.0</v>
      </c>
      <c r="B1105" s="2" t="s">
        <v>6284</v>
      </c>
      <c r="C1105" s="2" t="s">
        <v>15399</v>
      </c>
      <c r="G1105" s="2" t="s">
        <v>15399</v>
      </c>
      <c r="J1105" s="2" t="s">
        <v>15399</v>
      </c>
      <c r="K1105" s="2" t="s">
        <v>6285</v>
      </c>
      <c r="O1105" s="2" t="s">
        <v>1368</v>
      </c>
    </row>
    <row r="1106" ht="15.75" customHeight="1">
      <c r="A1106" s="2">
        <v>1993.0</v>
      </c>
      <c r="B1106" s="2" t="s">
        <v>5835</v>
      </c>
      <c r="C1106" s="2" t="s">
        <v>12129</v>
      </c>
      <c r="K1106" s="2" t="s">
        <v>5836</v>
      </c>
      <c r="L1106" s="2" t="s">
        <v>5838</v>
      </c>
      <c r="O1106" s="2" t="s">
        <v>1368</v>
      </c>
    </row>
    <row r="1107" ht="15.75" customHeight="1">
      <c r="A1107" s="2">
        <v>2011.0</v>
      </c>
      <c r="B1107" s="2" t="s">
        <v>6276</v>
      </c>
      <c r="C1107" s="2" t="s">
        <v>12129</v>
      </c>
      <c r="K1107" s="2" t="s">
        <v>6277</v>
      </c>
      <c r="L1107" s="2" t="s">
        <v>6279</v>
      </c>
      <c r="O1107" s="2" t="s">
        <v>1368</v>
      </c>
    </row>
    <row r="1108" ht="15.75" customHeight="1">
      <c r="A1108" s="2">
        <v>1965.0</v>
      </c>
      <c r="B1108" s="2" t="s">
        <v>6318</v>
      </c>
      <c r="C1108" s="2" t="s">
        <v>12129</v>
      </c>
      <c r="K1108" s="2" t="s">
        <v>6319</v>
      </c>
      <c r="O1108" s="2" t="s">
        <v>1368</v>
      </c>
    </row>
    <row r="1109" ht="15.75" customHeight="1">
      <c r="A1109" s="2">
        <v>2002.0</v>
      </c>
      <c r="B1109" s="2" t="s">
        <v>9180</v>
      </c>
      <c r="C1109" s="2" t="s">
        <v>15399</v>
      </c>
      <c r="I1109" s="2" t="s">
        <v>15399</v>
      </c>
      <c r="K1109" s="2" t="s">
        <v>9181</v>
      </c>
      <c r="L1109" s="2" t="s">
        <v>1195</v>
      </c>
      <c r="N1109" s="2" t="s">
        <v>15399</v>
      </c>
      <c r="O1109" s="2" t="s">
        <v>1368</v>
      </c>
    </row>
    <row r="1110" ht="15.75" customHeight="1">
      <c r="A1110" s="2">
        <v>2014.0</v>
      </c>
      <c r="B1110" s="2" t="s">
        <v>5777</v>
      </c>
      <c r="C1110" s="2" t="s">
        <v>12129</v>
      </c>
      <c r="K1110" s="2" t="s">
        <v>5778</v>
      </c>
      <c r="L1110" s="2" t="s">
        <v>5779</v>
      </c>
      <c r="O1110" s="2" t="s">
        <v>1368</v>
      </c>
    </row>
    <row r="1111" ht="15.75" customHeight="1">
      <c r="A1111" s="2">
        <v>2013.0</v>
      </c>
      <c r="B1111" s="2" t="s">
        <v>6327</v>
      </c>
      <c r="C1111" s="2" t="s">
        <v>12129</v>
      </c>
      <c r="K1111" s="2" t="s">
        <v>6328</v>
      </c>
      <c r="L1111" s="2" t="s">
        <v>6331</v>
      </c>
      <c r="O1111" s="2" t="s">
        <v>1368</v>
      </c>
    </row>
    <row r="1112" ht="15.75" customHeight="1">
      <c r="A1112" s="2">
        <v>2018.0</v>
      </c>
      <c r="B1112" s="2" t="s">
        <v>6312</v>
      </c>
      <c r="C1112" s="2" t="s">
        <v>12129</v>
      </c>
      <c r="K1112" s="2" t="s">
        <v>6313</v>
      </c>
      <c r="L1112" s="2" t="s">
        <v>6314</v>
      </c>
      <c r="O1112" s="2" t="s">
        <v>1368</v>
      </c>
    </row>
    <row r="1113" ht="15.75" customHeight="1">
      <c r="A1113" s="2">
        <v>2004.0</v>
      </c>
      <c r="B1113" s="2" t="s">
        <v>3242</v>
      </c>
      <c r="C1113" s="2" t="s">
        <v>15399</v>
      </c>
      <c r="I1113" s="2" t="s">
        <v>15399</v>
      </c>
      <c r="K1113" s="2" t="s">
        <v>1140</v>
      </c>
      <c r="L1113" s="2" t="s">
        <v>1142</v>
      </c>
      <c r="N1113" s="2" t="s">
        <v>15399</v>
      </c>
      <c r="O1113" s="2" t="s">
        <v>1368</v>
      </c>
    </row>
    <row r="1114" ht="15.75" customHeight="1">
      <c r="A1114" s="2">
        <v>1991.0</v>
      </c>
      <c r="B1114" s="2" t="s">
        <v>5659</v>
      </c>
      <c r="C1114" s="2" t="s">
        <v>12129</v>
      </c>
      <c r="K1114" s="2" t="s">
        <v>5660</v>
      </c>
      <c r="O1114" s="2" t="s">
        <v>1368</v>
      </c>
    </row>
    <row r="1115" ht="15.75" customHeight="1">
      <c r="A1115" s="2">
        <v>1990.0</v>
      </c>
      <c r="B1115" s="2" t="s">
        <v>5659</v>
      </c>
      <c r="C1115" s="2" t="s">
        <v>12129</v>
      </c>
      <c r="K1115" s="2" t="s">
        <v>6005</v>
      </c>
      <c r="O1115" s="2" t="s">
        <v>6007</v>
      </c>
    </row>
    <row r="1116" ht="15.75" customHeight="1">
      <c r="A1116" s="2">
        <v>2000.0</v>
      </c>
      <c r="B1116" s="2" t="s">
        <v>5659</v>
      </c>
      <c r="C1116" s="2" t="s">
        <v>12129</v>
      </c>
      <c r="K1116" s="2" t="s">
        <v>6305</v>
      </c>
      <c r="L1116" s="2" t="s">
        <v>6308</v>
      </c>
      <c r="O1116" s="2" t="s">
        <v>1368</v>
      </c>
    </row>
    <row r="1117" ht="15.75" customHeight="1">
      <c r="A1117" s="2">
        <v>2015.0</v>
      </c>
      <c r="B1117" s="2" t="s">
        <v>5659</v>
      </c>
      <c r="C1117" s="2" t="s">
        <v>12129</v>
      </c>
      <c r="K1117" s="2" t="s">
        <v>6323</v>
      </c>
      <c r="O1117" s="2" t="s">
        <v>1368</v>
      </c>
    </row>
    <row r="1118" ht="15.75" customHeight="1">
      <c r="A1118" s="2">
        <v>1999.0</v>
      </c>
      <c r="B1118" s="2" t="s">
        <v>5920</v>
      </c>
      <c r="C1118" s="2" t="s">
        <v>12129</v>
      </c>
      <c r="K1118" s="2" t="s">
        <v>5921</v>
      </c>
      <c r="L1118" s="2" t="s">
        <v>5922</v>
      </c>
      <c r="O1118" s="2" t="s">
        <v>1885</v>
      </c>
    </row>
    <row r="1119" ht="15.75" customHeight="1">
      <c r="A1119" s="2">
        <v>2016.0</v>
      </c>
      <c r="B1119" s="2" t="s">
        <v>6040</v>
      </c>
      <c r="C1119" s="2" t="s">
        <v>12129</v>
      </c>
      <c r="K1119" s="2" t="s">
        <v>6041</v>
      </c>
      <c r="O1119" s="2" t="s">
        <v>2244</v>
      </c>
    </row>
    <row r="1120" ht="15.75" customHeight="1">
      <c r="A1120" s="2">
        <v>2012.0</v>
      </c>
      <c r="B1120" s="2" t="s">
        <v>6069</v>
      </c>
      <c r="C1120" s="2" t="s">
        <v>12129</v>
      </c>
      <c r="K1120" s="2" t="s">
        <v>6070</v>
      </c>
      <c r="O1120" s="2" t="s">
        <v>1368</v>
      </c>
    </row>
    <row r="1121" ht="15.75" customHeight="1">
      <c r="A1121" s="2">
        <v>2002.0</v>
      </c>
      <c r="B1121" s="2" t="s">
        <v>6299</v>
      </c>
      <c r="C1121" s="2" t="s">
        <v>12129</v>
      </c>
      <c r="K1121" s="2" t="s">
        <v>6300</v>
      </c>
      <c r="L1121" s="2" t="s">
        <v>6301</v>
      </c>
      <c r="O1121" s="2" t="s">
        <v>1368</v>
      </c>
    </row>
    <row r="1122" ht="15.75" customHeight="1">
      <c r="A1122" s="2">
        <v>2006.0</v>
      </c>
      <c r="B1122" s="2" t="s">
        <v>5907</v>
      </c>
      <c r="C1122" s="2" t="s">
        <v>12129</v>
      </c>
      <c r="K1122" s="2" t="s">
        <v>5908</v>
      </c>
      <c r="L1122" s="2" t="s">
        <v>5911</v>
      </c>
      <c r="O1122" s="2" t="s">
        <v>1872</v>
      </c>
    </row>
    <row r="1123" ht="15.75" customHeight="1">
      <c r="A1123" s="2">
        <v>2005.0</v>
      </c>
      <c r="B1123" s="2" t="s">
        <v>2842</v>
      </c>
      <c r="C1123" s="2" t="s">
        <v>15399</v>
      </c>
      <c r="E1123" s="2" t="s">
        <v>15399</v>
      </c>
      <c r="K1123" s="2" t="s">
        <v>2843</v>
      </c>
      <c r="L1123" s="2" t="s">
        <v>1094</v>
      </c>
      <c r="N1123" s="2" t="s">
        <v>15399</v>
      </c>
      <c r="O1123" s="2" t="s">
        <v>2852</v>
      </c>
    </row>
    <row r="1124" ht="15.75" customHeight="1">
      <c r="A1124" s="2">
        <v>2016.0</v>
      </c>
      <c r="B1124" s="2" t="s">
        <v>6151</v>
      </c>
      <c r="C1124" s="2" t="s">
        <v>12129</v>
      </c>
      <c r="K1124" s="2" t="s">
        <v>6152</v>
      </c>
      <c r="L1124" s="2" t="s">
        <v>6153</v>
      </c>
      <c r="O1124" s="2" t="s">
        <v>1368</v>
      </c>
    </row>
    <row r="1125" ht="15.75" customHeight="1">
      <c r="A1125" s="2">
        <v>2008.0</v>
      </c>
      <c r="B1125" s="2" t="s">
        <v>2224</v>
      </c>
      <c r="C1125" s="2" t="s">
        <v>15399</v>
      </c>
      <c r="D1125" s="2" t="s">
        <v>15399</v>
      </c>
      <c r="K1125" s="2" t="s">
        <v>2225</v>
      </c>
      <c r="L1125" s="2" t="s">
        <v>1023</v>
      </c>
      <c r="N1125" s="2" t="s">
        <v>15399</v>
      </c>
      <c r="O1125" s="2" t="s">
        <v>2159</v>
      </c>
    </row>
    <row r="1126" ht="15.75" customHeight="1">
      <c r="A1126" s="2">
        <v>2006.0</v>
      </c>
      <c r="B1126" s="2" t="s">
        <v>6136</v>
      </c>
      <c r="C1126" s="2" t="s">
        <v>12129</v>
      </c>
      <c r="K1126" s="2" t="s">
        <v>6137</v>
      </c>
      <c r="O1126" s="2" t="s">
        <v>1368</v>
      </c>
    </row>
    <row r="1127" ht="15.75" customHeight="1">
      <c r="A1127" s="2">
        <v>2010.0</v>
      </c>
      <c r="B1127" s="2" t="s">
        <v>6128</v>
      </c>
      <c r="C1127" s="2" t="s">
        <v>12129</v>
      </c>
      <c r="K1127" s="2" t="s">
        <v>6129</v>
      </c>
      <c r="L1127" s="2" t="s">
        <v>6130</v>
      </c>
      <c r="O1127" s="2" t="s">
        <v>1368</v>
      </c>
    </row>
    <row r="1128" ht="15.75" customHeight="1">
      <c r="A1128" s="2">
        <v>1989.0</v>
      </c>
      <c r="B1128" s="2" t="s">
        <v>5717</v>
      </c>
      <c r="C1128" s="2" t="s">
        <v>12129</v>
      </c>
      <c r="K1128" s="2" t="s">
        <v>5718</v>
      </c>
      <c r="O1128" s="2" t="s">
        <v>1368</v>
      </c>
    </row>
    <row r="1129" ht="15.75" customHeight="1">
      <c r="A1129" s="2">
        <v>1980.0</v>
      </c>
      <c r="B1129" s="2" t="s">
        <v>5812</v>
      </c>
      <c r="C1129" s="2" t="s">
        <v>12129</v>
      </c>
      <c r="K1129" s="2" t="s">
        <v>5813</v>
      </c>
      <c r="L1129" s="2" t="s">
        <v>5814</v>
      </c>
      <c r="O1129" s="2" t="s">
        <v>1368</v>
      </c>
    </row>
    <row r="1130" ht="15.75" customHeight="1">
      <c r="A1130" s="2">
        <v>2018.0</v>
      </c>
      <c r="B1130" s="2" t="s">
        <v>6120</v>
      </c>
      <c r="C1130" s="2" t="s">
        <v>12129</v>
      </c>
      <c r="K1130" s="2" t="s">
        <v>6121</v>
      </c>
      <c r="L1130" s="2" t="s">
        <v>6123</v>
      </c>
      <c r="O1130" s="2" t="s">
        <v>1368</v>
      </c>
    </row>
    <row r="1131" ht="15.75" customHeight="1">
      <c r="A1131" s="2">
        <v>1996.0</v>
      </c>
      <c r="B1131" s="2" t="s">
        <v>5820</v>
      </c>
      <c r="C1131" s="2" t="s">
        <v>12129</v>
      </c>
      <c r="K1131" s="2" t="s">
        <v>5821</v>
      </c>
      <c r="O1131" s="2" t="s">
        <v>1368</v>
      </c>
    </row>
    <row r="1132" ht="15.75" customHeight="1">
      <c r="A1132" s="2">
        <v>1995.0</v>
      </c>
      <c r="B1132" s="2" t="s">
        <v>5739</v>
      </c>
      <c r="C1132" s="2" t="s">
        <v>12129</v>
      </c>
      <c r="K1132" s="2" t="s">
        <v>5740</v>
      </c>
      <c r="L1132" s="2" t="s">
        <v>5742</v>
      </c>
      <c r="O1132" s="2" t="s">
        <v>1368</v>
      </c>
    </row>
    <row r="1133" ht="15.75" customHeight="1">
      <c r="A1133" s="2">
        <v>2006.0</v>
      </c>
      <c r="B1133" s="2" t="s">
        <v>5682</v>
      </c>
      <c r="C1133" s="2" t="s">
        <v>12129</v>
      </c>
      <c r="K1133" s="2" t="s">
        <v>5683</v>
      </c>
      <c r="O1133" s="2" t="s">
        <v>1368</v>
      </c>
    </row>
    <row r="1134" ht="15.75" customHeight="1">
      <c r="A1134" s="2">
        <v>2017.0</v>
      </c>
      <c r="B1134" s="2" t="s">
        <v>5888</v>
      </c>
      <c r="C1134" s="2" t="s">
        <v>12129</v>
      </c>
      <c r="K1134" s="2" t="s">
        <v>5889</v>
      </c>
      <c r="L1134" s="2" t="s">
        <v>5890</v>
      </c>
      <c r="O1134" s="2" t="s">
        <v>5899</v>
      </c>
    </row>
    <row r="1135" ht="15.75" customHeight="1">
      <c r="A1135" s="2">
        <v>2017.0</v>
      </c>
      <c r="B1135" s="2" t="s">
        <v>5874</v>
      </c>
      <c r="C1135" s="2" t="s">
        <v>12129</v>
      </c>
      <c r="K1135" s="2" t="s">
        <v>5875</v>
      </c>
      <c r="L1135" s="2" t="s">
        <v>5877</v>
      </c>
      <c r="O1135" s="2" t="s">
        <v>5886</v>
      </c>
    </row>
    <row r="1136" ht="15.75" customHeight="1">
      <c r="A1136" s="2">
        <v>2002.0</v>
      </c>
      <c r="B1136" s="2" t="s">
        <v>6077</v>
      </c>
      <c r="C1136" s="2" t="s">
        <v>12129</v>
      </c>
      <c r="K1136" s="2" t="s">
        <v>6078</v>
      </c>
      <c r="L1136" s="2" t="s">
        <v>6081</v>
      </c>
      <c r="O1136" s="2" t="s">
        <v>1368</v>
      </c>
    </row>
    <row r="1137" ht="15.75" customHeight="1">
      <c r="A1137" s="2">
        <v>2009.0</v>
      </c>
      <c r="B1137" s="2" t="s">
        <v>6145</v>
      </c>
      <c r="C1137" s="2" t="s">
        <v>12129</v>
      </c>
      <c r="K1137" s="2" t="s">
        <v>6146</v>
      </c>
      <c r="L1137" s="2" t="s">
        <v>6147</v>
      </c>
      <c r="O1137" s="2" t="s">
        <v>1368</v>
      </c>
    </row>
    <row r="1138" ht="15.75" customHeight="1">
      <c r="A1138" s="2">
        <v>1989.0</v>
      </c>
      <c r="B1138" s="2" t="s">
        <v>5664</v>
      </c>
      <c r="C1138" s="2" t="s">
        <v>12129</v>
      </c>
      <c r="K1138" s="2" t="s">
        <v>5665</v>
      </c>
      <c r="L1138" s="2" t="s">
        <v>5668</v>
      </c>
      <c r="O1138" s="2" t="s">
        <v>1368</v>
      </c>
    </row>
    <row r="1139" ht="15.75" customHeight="1">
      <c r="A1139" s="2">
        <v>2008.0</v>
      </c>
      <c r="B1139" s="2" t="s">
        <v>5790</v>
      </c>
      <c r="C1139" s="2" t="s">
        <v>12129</v>
      </c>
      <c r="K1139" s="2" t="s">
        <v>5791</v>
      </c>
      <c r="O1139" s="2" t="s">
        <v>1368</v>
      </c>
    </row>
    <row r="1140" ht="15.75" customHeight="1">
      <c r="A1140" s="2">
        <v>1997.0</v>
      </c>
      <c r="B1140" s="2" t="s">
        <v>5790</v>
      </c>
      <c r="C1140" s="2" t="s">
        <v>12129</v>
      </c>
      <c r="K1140" s="2" t="s">
        <v>5868</v>
      </c>
      <c r="O1140" s="2" t="s">
        <v>1368</v>
      </c>
    </row>
    <row r="1141" ht="15.75" customHeight="1">
      <c r="A1141" s="2">
        <v>2009.0</v>
      </c>
      <c r="B1141" s="2" t="s">
        <v>5477</v>
      </c>
      <c r="C1141" s="2" t="s">
        <v>15399</v>
      </c>
      <c r="D1141" s="2" t="s">
        <v>15399</v>
      </c>
      <c r="K1141" s="2" t="s">
        <v>961</v>
      </c>
      <c r="L1141" s="2" t="s">
        <v>963</v>
      </c>
      <c r="N1141" s="2" t="s">
        <v>15399</v>
      </c>
      <c r="O1141" s="2" t="s">
        <v>3548</v>
      </c>
    </row>
    <row r="1142" ht="15.75" customHeight="1">
      <c r="A1142" s="2">
        <v>2002.0</v>
      </c>
      <c r="B1142" s="2" t="s">
        <v>6164</v>
      </c>
      <c r="C1142" s="2" t="s">
        <v>12129</v>
      </c>
      <c r="K1142" s="2" t="s">
        <v>6165</v>
      </c>
      <c r="L1142" s="2" t="s">
        <v>6167</v>
      </c>
      <c r="O1142" s="2" t="s">
        <v>1368</v>
      </c>
    </row>
    <row r="1143" ht="15.75" customHeight="1">
      <c r="A1143" s="2">
        <v>2004.0</v>
      </c>
      <c r="B1143" s="2" t="s">
        <v>5804</v>
      </c>
      <c r="C1143" s="2" t="s">
        <v>12129</v>
      </c>
      <c r="K1143" s="2" t="s">
        <v>5805</v>
      </c>
      <c r="L1143" s="2" t="s">
        <v>5807</v>
      </c>
      <c r="O1143" s="2" t="s">
        <v>1368</v>
      </c>
    </row>
    <row r="1144" ht="15.75" customHeight="1">
      <c r="A1144" s="2">
        <v>2015.0</v>
      </c>
      <c r="B1144" s="2" t="s">
        <v>6009</v>
      </c>
      <c r="C1144" s="2" t="s">
        <v>12129</v>
      </c>
      <c r="K1144" s="2" t="s">
        <v>6010</v>
      </c>
      <c r="L1144" s="2" t="s">
        <v>6012</v>
      </c>
      <c r="O1144" s="2" t="s">
        <v>1368</v>
      </c>
    </row>
    <row r="1145" ht="15.75" customHeight="1">
      <c r="A1145" s="2">
        <v>1995.0</v>
      </c>
      <c r="B1145" s="2" t="s">
        <v>5797</v>
      </c>
      <c r="C1145" s="2" t="s">
        <v>12129</v>
      </c>
      <c r="K1145" s="2" t="s">
        <v>5798</v>
      </c>
      <c r="L1145" s="2" t="s">
        <v>5800</v>
      </c>
      <c r="O1145" s="2" t="s">
        <v>1368</v>
      </c>
    </row>
    <row r="1146" ht="15.75" customHeight="1">
      <c r="A1146" s="2">
        <v>2011.0</v>
      </c>
      <c r="B1146" s="2" t="s">
        <v>6158</v>
      </c>
      <c r="C1146" s="2" t="s">
        <v>12129</v>
      </c>
      <c r="K1146" s="2" t="s">
        <v>6159</v>
      </c>
      <c r="L1146" s="2" t="s">
        <v>6161</v>
      </c>
      <c r="O1146" s="2" t="s">
        <v>1368</v>
      </c>
    </row>
    <row r="1147" ht="15.75" customHeight="1">
      <c r="A1147" s="2">
        <v>2018.0</v>
      </c>
      <c r="B1147" s="2" t="s">
        <v>6096</v>
      </c>
      <c r="C1147" s="2" t="s">
        <v>12129</v>
      </c>
      <c r="K1147" s="2" t="s">
        <v>6097</v>
      </c>
      <c r="O1147" s="2" t="s">
        <v>1368</v>
      </c>
    </row>
    <row r="1148" ht="15.75" customHeight="1">
      <c r="A1148" s="2">
        <v>2011.0</v>
      </c>
      <c r="B1148" s="2" t="s">
        <v>6174</v>
      </c>
      <c r="C1148" s="2" t="s">
        <v>12129</v>
      </c>
      <c r="K1148" s="2" t="s">
        <v>6175</v>
      </c>
      <c r="O1148" s="2" t="s">
        <v>1368</v>
      </c>
    </row>
    <row r="1149" ht="15.75" customHeight="1">
      <c r="A1149" s="2">
        <v>2006.0</v>
      </c>
      <c r="B1149" s="2" t="s">
        <v>5827</v>
      </c>
      <c r="C1149" s="2" t="s">
        <v>12129</v>
      </c>
      <c r="K1149" s="2" t="s">
        <v>5828</v>
      </c>
      <c r="L1149" s="2" t="s">
        <v>5830</v>
      </c>
      <c r="O1149" s="2" t="s">
        <v>1368</v>
      </c>
    </row>
    <row r="1150" ht="15.75" customHeight="1">
      <c r="A1150" s="2">
        <v>2004.0</v>
      </c>
      <c r="B1150" s="2" t="s">
        <v>6170</v>
      </c>
      <c r="C1150" s="2" t="s">
        <v>12129</v>
      </c>
      <c r="K1150" s="2" t="s">
        <v>6171</v>
      </c>
      <c r="O1150" s="2" t="s">
        <v>1368</v>
      </c>
    </row>
    <row r="1151" ht="15.75" customHeight="1">
      <c r="A1151" s="2">
        <v>2016.0</v>
      </c>
      <c r="B1151" s="2" t="s">
        <v>6170</v>
      </c>
      <c r="C1151" s="2" t="s">
        <v>12129</v>
      </c>
      <c r="K1151" s="2" t="s">
        <v>6187</v>
      </c>
      <c r="O1151" s="2" t="s">
        <v>1368</v>
      </c>
    </row>
    <row r="1152" ht="15.75" customHeight="1">
      <c r="A1152" s="2">
        <v>2005.0</v>
      </c>
      <c r="B1152" s="2" t="s">
        <v>5700</v>
      </c>
      <c r="C1152" s="2" t="s">
        <v>12129</v>
      </c>
      <c r="K1152" s="2" t="s">
        <v>5701</v>
      </c>
      <c r="L1152" s="2" t="s">
        <v>5703</v>
      </c>
      <c r="O1152" s="2" t="s">
        <v>1368</v>
      </c>
    </row>
    <row r="1153" ht="15.75" customHeight="1">
      <c r="A1153" s="2">
        <v>1996.0</v>
      </c>
      <c r="B1153" s="2" t="s">
        <v>6183</v>
      </c>
      <c r="C1153" s="2" t="s">
        <v>12129</v>
      </c>
      <c r="K1153" s="2" t="s">
        <v>6184</v>
      </c>
      <c r="O1153" s="2" t="s">
        <v>1368</v>
      </c>
    </row>
    <row r="1154" ht="15.75" customHeight="1">
      <c r="A1154" s="2">
        <v>2018.0</v>
      </c>
      <c r="B1154" s="2" t="s">
        <v>6177</v>
      </c>
      <c r="C1154" s="2" t="s">
        <v>12129</v>
      </c>
      <c r="K1154" s="2" t="s">
        <v>6178</v>
      </c>
      <c r="L1154" s="2" t="s">
        <v>6179</v>
      </c>
      <c r="O1154" s="2" t="s">
        <v>1368</v>
      </c>
    </row>
    <row r="1155" ht="15.75" customHeight="1">
      <c r="A1155" s="2">
        <v>2012.0</v>
      </c>
      <c r="B1155" s="2" t="s">
        <v>5708</v>
      </c>
      <c r="C1155" s="2" t="s">
        <v>12129</v>
      </c>
      <c r="K1155" s="2" t="s">
        <v>5709</v>
      </c>
      <c r="L1155" s="2" t="s">
        <v>5711</v>
      </c>
      <c r="O1155" s="2" t="s">
        <v>1368</v>
      </c>
    </row>
    <row r="1156" ht="15.75" customHeight="1">
      <c r="A1156" s="2">
        <v>2010.0</v>
      </c>
      <c r="B1156" s="2" t="s">
        <v>5991</v>
      </c>
      <c r="C1156" s="2" t="s">
        <v>12129</v>
      </c>
      <c r="K1156" s="2" t="s">
        <v>5992</v>
      </c>
      <c r="L1156" s="2" t="s">
        <v>5993</v>
      </c>
      <c r="O1156" s="2" t="s">
        <v>2852</v>
      </c>
    </row>
    <row r="1157" ht="15.75" customHeight="1">
      <c r="A1157" s="2">
        <v>2006.0</v>
      </c>
      <c r="B1157" s="2" t="s">
        <v>6105</v>
      </c>
      <c r="C1157" s="2" t="s">
        <v>12129</v>
      </c>
      <c r="K1157" s="2" t="s">
        <v>6106</v>
      </c>
      <c r="O1157" s="2" t="s">
        <v>1368</v>
      </c>
    </row>
    <row r="1158" ht="15.75" customHeight="1">
      <c r="A1158" s="2">
        <v>2015.0</v>
      </c>
      <c r="B1158" s="2" t="s">
        <v>6211</v>
      </c>
      <c r="C1158" s="2" t="s">
        <v>12129</v>
      </c>
      <c r="K1158" s="2" t="s">
        <v>6212</v>
      </c>
      <c r="L1158" s="2" t="s">
        <v>6213</v>
      </c>
      <c r="O1158" s="2" t="s">
        <v>1368</v>
      </c>
    </row>
    <row r="1159" ht="15.75" customHeight="1">
      <c r="A1159" s="2">
        <v>2011.0</v>
      </c>
      <c r="B1159" s="2" t="s">
        <v>6030</v>
      </c>
      <c r="C1159" s="2" t="s">
        <v>12129</v>
      </c>
      <c r="K1159" s="2" t="s">
        <v>6031</v>
      </c>
      <c r="L1159" s="2" t="s">
        <v>6032</v>
      </c>
      <c r="O1159" s="2" t="s">
        <v>2238</v>
      </c>
    </row>
    <row r="1160" ht="15.75" customHeight="1">
      <c r="A1160" s="2">
        <v>2016.0</v>
      </c>
      <c r="B1160" s="2" t="s">
        <v>6202</v>
      </c>
      <c r="C1160" s="2" t="s">
        <v>12129</v>
      </c>
      <c r="K1160" s="2" t="s">
        <v>6203</v>
      </c>
      <c r="L1160" s="2" t="s">
        <v>6206</v>
      </c>
      <c r="O1160" s="2" t="s">
        <v>1368</v>
      </c>
    </row>
    <row r="1161" ht="15.75" customHeight="1">
      <c r="A1161" s="2">
        <v>2016.0</v>
      </c>
      <c r="B1161" s="2" t="s">
        <v>6195</v>
      </c>
      <c r="C1161" s="2" t="s">
        <v>12129</v>
      </c>
      <c r="K1161" s="2" t="s">
        <v>6196</v>
      </c>
      <c r="O1161" s="2" t="s">
        <v>1368</v>
      </c>
    </row>
    <row r="1162" ht="15.75" customHeight="1">
      <c r="A1162" s="2">
        <v>2010.0</v>
      </c>
      <c r="B1162" s="2" t="s">
        <v>8077</v>
      </c>
      <c r="C1162" s="2" t="s">
        <v>15399</v>
      </c>
      <c r="I1162" s="2" t="s">
        <v>15399</v>
      </c>
      <c r="K1162" s="2" t="s">
        <v>8078</v>
      </c>
      <c r="L1162" s="2" t="s">
        <v>917</v>
      </c>
      <c r="N1162" s="2" t="s">
        <v>15399</v>
      </c>
      <c r="O1162" s="2" t="s">
        <v>1368</v>
      </c>
    </row>
    <row r="1163" ht="15.75" customHeight="1">
      <c r="A1163" s="2">
        <v>1999.0</v>
      </c>
      <c r="B1163" s="2" t="s">
        <v>5689</v>
      </c>
      <c r="C1163" s="2" t="s">
        <v>12129</v>
      </c>
      <c r="K1163" s="2" t="s">
        <v>5690</v>
      </c>
      <c r="L1163" s="2" t="s">
        <v>5691</v>
      </c>
      <c r="O1163" s="2" t="s">
        <v>1368</v>
      </c>
    </row>
    <row r="1164" ht="15.75" customHeight="1">
      <c r="A1164" s="2">
        <v>2018.0</v>
      </c>
      <c r="B1164" s="2" t="s">
        <v>6222</v>
      </c>
      <c r="C1164" s="2" t="s">
        <v>12129</v>
      </c>
      <c r="K1164" s="2" t="s">
        <v>6223</v>
      </c>
      <c r="L1164" s="2" t="s">
        <v>6226</v>
      </c>
      <c r="O1164" s="2" t="s">
        <v>1368</v>
      </c>
    </row>
    <row r="1165" ht="15.75" customHeight="1">
      <c r="A1165" s="2">
        <v>2004.0</v>
      </c>
      <c r="B1165" s="2" t="s">
        <v>5844</v>
      </c>
      <c r="C1165" s="2" t="s">
        <v>12129</v>
      </c>
      <c r="K1165" s="2" t="s">
        <v>5845</v>
      </c>
      <c r="L1165" s="2" t="s">
        <v>5847</v>
      </c>
      <c r="O1165" s="2" t="s">
        <v>1368</v>
      </c>
    </row>
    <row r="1166" ht="15.75" customHeight="1">
      <c r="A1166" s="2">
        <v>2004.0</v>
      </c>
      <c r="B1166" s="2" t="s">
        <v>5853</v>
      </c>
      <c r="C1166" s="2" t="s">
        <v>12129</v>
      </c>
      <c r="K1166" s="2" t="s">
        <v>5854</v>
      </c>
      <c r="L1166" s="2" t="s">
        <v>5856</v>
      </c>
      <c r="O1166" s="2" t="s">
        <v>1368</v>
      </c>
    </row>
    <row r="1167" ht="15.75" customHeight="1">
      <c r="A1167" s="2">
        <v>2017.0</v>
      </c>
      <c r="B1167" s="2" t="s">
        <v>5723</v>
      </c>
      <c r="C1167" s="2" t="s">
        <v>12129</v>
      </c>
      <c r="K1167" s="2" t="s">
        <v>5724</v>
      </c>
      <c r="L1167" s="2" t="s">
        <v>5725</v>
      </c>
      <c r="O1167" s="2" t="s">
        <v>1368</v>
      </c>
    </row>
    <row r="1168" ht="15.75" customHeight="1">
      <c r="A1168" s="2">
        <v>2015.0</v>
      </c>
      <c r="B1168" s="2" t="s">
        <v>6336</v>
      </c>
      <c r="C1168" s="2" t="s">
        <v>12129</v>
      </c>
      <c r="K1168" s="2" t="s">
        <v>6337</v>
      </c>
      <c r="L1168" s="2" t="s">
        <v>6338</v>
      </c>
      <c r="O1168" s="2" t="s">
        <v>1368</v>
      </c>
    </row>
    <row r="1169" ht="15.75" customHeight="1">
      <c r="A1169" s="2">
        <v>2014.0</v>
      </c>
      <c r="B1169" s="2" t="s">
        <v>6018</v>
      </c>
      <c r="C1169" s="2" t="s">
        <v>12129</v>
      </c>
      <c r="K1169" s="2" t="s">
        <v>6019</v>
      </c>
      <c r="L1169" s="2" t="s">
        <v>6020</v>
      </c>
      <c r="O1169" s="2" t="s">
        <v>1368</v>
      </c>
    </row>
    <row r="1170" ht="15.75" customHeight="1">
      <c r="A1170" s="2">
        <v>2016.0</v>
      </c>
      <c r="B1170" s="2" t="s">
        <v>6344</v>
      </c>
      <c r="C1170" s="2" t="s">
        <v>12129</v>
      </c>
      <c r="K1170" s="2" t="s">
        <v>6345</v>
      </c>
      <c r="O1170" s="2" t="s">
        <v>1368</v>
      </c>
    </row>
    <row r="1171" ht="15.75" customHeight="1">
      <c r="A1171" s="2">
        <v>2009.0</v>
      </c>
      <c r="B1171" s="2" t="s">
        <v>5747</v>
      </c>
      <c r="C1171" s="2" t="s">
        <v>12129</v>
      </c>
      <c r="K1171" s="2" t="s">
        <v>5748</v>
      </c>
      <c r="O1171" s="2" t="s">
        <v>1368</v>
      </c>
    </row>
    <row r="1172" ht="15.75" customHeight="1">
      <c r="A1172" s="2">
        <v>2015.0</v>
      </c>
      <c r="B1172" s="2" t="s">
        <v>6063</v>
      </c>
      <c r="C1172" s="2" t="s">
        <v>12129</v>
      </c>
      <c r="K1172" s="2" t="s">
        <v>6064</v>
      </c>
      <c r="L1172" s="2" t="s">
        <v>6065</v>
      </c>
      <c r="O1172" s="2" t="s">
        <v>1621</v>
      </c>
    </row>
    <row r="1173" ht="15.75" customHeight="1">
      <c r="A1173" s="2">
        <v>2007.0</v>
      </c>
      <c r="B1173" s="2" t="s">
        <v>5730</v>
      </c>
      <c r="C1173" s="2" t="s">
        <v>12129</v>
      </c>
      <c r="K1173" s="2" t="s">
        <v>5731</v>
      </c>
      <c r="L1173" s="2" t="s">
        <v>5733</v>
      </c>
      <c r="O1173" s="2" t="s">
        <v>1368</v>
      </c>
    </row>
    <row r="1174" ht="15.75" customHeight="1">
      <c r="A1174" s="2">
        <v>2010.0</v>
      </c>
      <c r="B1174" s="2" t="s">
        <v>6230</v>
      </c>
      <c r="C1174" s="2" t="s">
        <v>12129</v>
      </c>
      <c r="K1174" s="2" t="s">
        <v>6231</v>
      </c>
      <c r="L1174" s="2" t="s">
        <v>6233</v>
      </c>
      <c r="O1174" s="2" t="s">
        <v>1368</v>
      </c>
    </row>
    <row r="1175" ht="15.75" customHeight="1">
      <c r="A1175" s="2">
        <v>2016.0</v>
      </c>
      <c r="B1175" s="2" t="s">
        <v>6216</v>
      </c>
      <c r="C1175" s="2" t="s">
        <v>12129</v>
      </c>
      <c r="K1175" s="2" t="s">
        <v>6217</v>
      </c>
      <c r="L1175" s="2" t="s">
        <v>6218</v>
      </c>
      <c r="O1175" s="2" t="s">
        <v>1368</v>
      </c>
    </row>
    <row r="1176" ht="15.75" customHeight="1">
      <c r="A1176" s="2">
        <v>1992.0</v>
      </c>
      <c r="B1176" s="2" t="s">
        <v>6088</v>
      </c>
      <c r="C1176" s="2" t="s">
        <v>12129</v>
      </c>
      <c r="K1176" s="2" t="s">
        <v>6089</v>
      </c>
      <c r="L1176" s="2" t="s">
        <v>6092</v>
      </c>
      <c r="O1176" s="2" t="s">
        <v>1368</v>
      </c>
    </row>
    <row r="1177" ht="15.75" customHeight="1">
      <c r="A1177" s="2">
        <v>2017.0</v>
      </c>
      <c r="B1177" s="2" t="s">
        <v>6236</v>
      </c>
      <c r="C1177" s="2" t="s">
        <v>12129</v>
      </c>
      <c r="K1177" s="2" t="s">
        <v>6237</v>
      </c>
      <c r="O1177" s="2" t="s">
        <v>1368</v>
      </c>
    </row>
    <row r="1178" ht="15.75" customHeight="1">
      <c r="A1178" s="2">
        <v>2000.0</v>
      </c>
      <c r="B1178" s="2" t="s">
        <v>5651</v>
      </c>
      <c r="C1178" s="2" t="s">
        <v>12129</v>
      </c>
      <c r="K1178" s="2" t="s">
        <v>5652</v>
      </c>
      <c r="O1178" s="2" t="s">
        <v>1368</v>
      </c>
    </row>
    <row r="1179" ht="15.75" customHeight="1">
      <c r="A1179" s="2">
        <v>1991.0</v>
      </c>
      <c r="B1179" s="2" t="s">
        <v>5759</v>
      </c>
      <c r="C1179" s="2" t="s">
        <v>12129</v>
      </c>
      <c r="K1179" s="2" t="s">
        <v>5760</v>
      </c>
      <c r="L1179" s="2" t="s">
        <v>5762</v>
      </c>
      <c r="O1179" s="2" t="s">
        <v>1368</v>
      </c>
    </row>
    <row r="1180" ht="15.75" customHeight="1">
      <c r="A1180" s="2">
        <v>2004.0</v>
      </c>
      <c r="B1180" s="2" t="s">
        <v>5673</v>
      </c>
      <c r="C1180" s="2" t="s">
        <v>12129</v>
      </c>
      <c r="K1180" s="2" t="s">
        <v>5674</v>
      </c>
      <c r="L1180" s="2" t="s">
        <v>5675</v>
      </c>
      <c r="O1180" s="2" t="s">
        <v>1368</v>
      </c>
    </row>
    <row r="1181" ht="15.75" customHeight="1">
      <c r="A1181" s="2">
        <v>2013.0</v>
      </c>
      <c r="B1181" s="2" t="s">
        <v>6271</v>
      </c>
      <c r="C1181" s="2" t="s">
        <v>12129</v>
      </c>
      <c r="K1181" s="2" t="s">
        <v>6272</v>
      </c>
      <c r="O1181" s="2" t="s">
        <v>1368</v>
      </c>
    </row>
    <row r="1182" ht="15.75" customHeight="1">
      <c r="A1182" s="2">
        <v>2014.0</v>
      </c>
      <c r="B1182" s="2" t="s">
        <v>6247</v>
      </c>
      <c r="C1182" s="2" t="s">
        <v>12129</v>
      </c>
      <c r="K1182" s="2" t="s">
        <v>6248</v>
      </c>
      <c r="L1182" s="2" t="s">
        <v>6249</v>
      </c>
      <c r="O1182" s="2" t="s">
        <v>1368</v>
      </c>
    </row>
    <row r="1183" ht="15.75" customHeight="1">
      <c r="A1183" s="2">
        <v>2016.0</v>
      </c>
      <c r="B1183" s="2" t="s">
        <v>6101</v>
      </c>
      <c r="C1183" s="2" t="s">
        <v>12129</v>
      </c>
      <c r="K1183" s="2" t="s">
        <v>6102</v>
      </c>
      <c r="O1183" s="2" t="s">
        <v>1368</v>
      </c>
    </row>
    <row r="1184" ht="15.75" customHeight="1">
      <c r="A1184" s="2">
        <v>2014.0</v>
      </c>
      <c r="B1184" s="2" t="s">
        <v>6239</v>
      </c>
      <c r="C1184" s="2" t="s">
        <v>12129</v>
      </c>
      <c r="K1184" s="2" t="s">
        <v>6240</v>
      </c>
      <c r="L1184" s="2" t="s">
        <v>6241</v>
      </c>
      <c r="O1184" s="2" t="s">
        <v>1368</v>
      </c>
    </row>
    <row r="1185" ht="15.75" customHeight="1">
      <c r="A1185" s="2">
        <v>2015.0</v>
      </c>
      <c r="B1185" s="2" t="s">
        <v>5861</v>
      </c>
      <c r="C1185" s="2" t="s">
        <v>12129</v>
      </c>
      <c r="K1185" s="2" t="s">
        <v>5862</v>
      </c>
      <c r="L1185" s="2" t="s">
        <v>5863</v>
      </c>
      <c r="O1185" s="2" t="s">
        <v>1368</v>
      </c>
    </row>
    <row r="1186" ht="15.75" customHeight="1">
      <c r="A1186" s="2">
        <v>2018.0</v>
      </c>
      <c r="B1186" s="2" t="s">
        <v>5861</v>
      </c>
      <c r="C1186" s="2" t="s">
        <v>12129</v>
      </c>
      <c r="K1186" s="2" t="s">
        <v>6054</v>
      </c>
      <c r="L1186" s="2" t="s">
        <v>6055</v>
      </c>
      <c r="O1186" s="2" t="s">
        <v>1621</v>
      </c>
    </row>
    <row r="1187" ht="15.75" customHeight="1">
      <c r="A1187" s="2">
        <v>2015.0</v>
      </c>
      <c r="B1187" s="2" t="s">
        <v>6111</v>
      </c>
      <c r="C1187" s="2" t="s">
        <v>12129</v>
      </c>
      <c r="K1187" s="2" t="s">
        <v>6112</v>
      </c>
      <c r="O1187" s="2" t="s">
        <v>1368</v>
      </c>
    </row>
    <row r="1188" ht="15.75" customHeight="1">
      <c r="A1188" s="2">
        <v>2012.0</v>
      </c>
      <c r="B1188" s="2" t="s">
        <v>6264</v>
      </c>
      <c r="C1188" s="2" t="s">
        <v>12129</v>
      </c>
      <c r="K1188" s="2" t="s">
        <v>6265</v>
      </c>
      <c r="L1188" s="2" t="s">
        <v>6268</v>
      </c>
      <c r="O1188" s="2" t="s">
        <v>1368</v>
      </c>
    </row>
    <row r="1189" ht="15.75" customHeight="1">
      <c r="A1189" s="2">
        <v>2010.0</v>
      </c>
      <c r="B1189" s="2" t="s">
        <v>6257</v>
      </c>
      <c r="C1189" s="2" t="s">
        <v>12129</v>
      </c>
      <c r="K1189" s="2" t="s">
        <v>6258</v>
      </c>
      <c r="L1189" s="2" t="s">
        <v>6261</v>
      </c>
      <c r="O1189" s="2" t="s">
        <v>1368</v>
      </c>
    </row>
    <row r="1190" ht="15.75" customHeight="1">
      <c r="A1190" s="2">
        <v>2008.0</v>
      </c>
      <c r="B1190" s="2" t="s">
        <v>6254</v>
      </c>
      <c r="C1190" s="2" t="s">
        <v>12129</v>
      </c>
      <c r="K1190" s="2" t="s">
        <v>6255</v>
      </c>
      <c r="O1190" s="2" t="s">
        <v>1368</v>
      </c>
    </row>
    <row r="1191" ht="15.75" customHeight="1">
      <c r="A1191" s="2">
        <v>2012.0</v>
      </c>
      <c r="B1191" s="2" t="s">
        <v>5979</v>
      </c>
      <c r="C1191" s="2" t="s">
        <v>12129</v>
      </c>
      <c r="K1191" s="2" t="s">
        <v>5980</v>
      </c>
      <c r="L1191" s="2" t="s">
        <v>5981</v>
      </c>
      <c r="O1191" s="2" t="s">
        <v>5989</v>
      </c>
    </row>
    <row r="1192" ht="15.75" customHeight="1">
      <c r="A1192" s="2">
        <v>2006.0</v>
      </c>
      <c r="B1192" s="2" t="s">
        <v>5784</v>
      </c>
      <c r="C1192" s="2" t="s">
        <v>12129</v>
      </c>
      <c r="K1192" s="2" t="s">
        <v>5785</v>
      </c>
      <c r="O1192" s="2" t="s">
        <v>1368</v>
      </c>
    </row>
    <row r="1193" ht="15.75" customHeight="1">
      <c r="A1193" s="2">
        <v>2014.0</v>
      </c>
      <c r="B1193" s="2" t="s">
        <v>6025</v>
      </c>
      <c r="C1193" s="2" t="s">
        <v>15399</v>
      </c>
      <c r="I1193" s="2" t="s">
        <v>15399</v>
      </c>
      <c r="J1193" s="2" t="s">
        <v>15399</v>
      </c>
      <c r="K1193" s="2" t="s">
        <v>6026</v>
      </c>
      <c r="O1193" s="2" t="s">
        <v>2169</v>
      </c>
    </row>
    <row r="1194" ht="15.75" customHeight="1">
      <c r="A1194" s="2">
        <v>1999.0</v>
      </c>
      <c r="B1194" s="2" t="s">
        <v>6046</v>
      </c>
      <c r="C1194" s="2" t="s">
        <v>12129</v>
      </c>
      <c r="K1194" s="2" t="s">
        <v>6047</v>
      </c>
      <c r="O1194" s="2" t="s">
        <v>2244</v>
      </c>
    </row>
    <row r="1195" ht="15.75" customHeight="1">
      <c r="A1195" s="2">
        <v>2015.0</v>
      </c>
      <c r="B1195" s="2" t="s">
        <v>5968</v>
      </c>
      <c r="C1195" s="2" t="s">
        <v>12129</v>
      </c>
      <c r="K1195" s="2" t="s">
        <v>5969</v>
      </c>
      <c r="L1195" s="2" t="s">
        <v>5971</v>
      </c>
      <c r="O1195" s="2" t="s">
        <v>1621</v>
      </c>
    </row>
    <row r="1196" ht="15.75" customHeight="1">
      <c r="A1196" s="2">
        <v>2010.0</v>
      </c>
      <c r="B1196" s="2" t="s">
        <v>6784</v>
      </c>
      <c r="C1196" s="2" t="s">
        <v>15399</v>
      </c>
      <c r="I1196" s="2" t="s">
        <v>15399</v>
      </c>
      <c r="K1196" s="2" t="s">
        <v>863</v>
      </c>
      <c r="L1196" s="2" t="s">
        <v>865</v>
      </c>
      <c r="N1196" s="2" t="s">
        <v>15399</v>
      </c>
      <c r="O1196" s="2" t="s">
        <v>1368</v>
      </c>
    </row>
    <row r="1197" ht="15.75" customHeight="1">
      <c r="A1197" s="2">
        <v>2004.0</v>
      </c>
      <c r="B1197" s="2" t="s">
        <v>5943</v>
      </c>
      <c r="C1197" s="2" t="s">
        <v>12129</v>
      </c>
      <c r="K1197" s="2" t="s">
        <v>5944</v>
      </c>
      <c r="L1197" s="2" t="s">
        <v>5946</v>
      </c>
      <c r="O1197" s="2" t="s">
        <v>1885</v>
      </c>
    </row>
    <row r="1198" ht="15.75" customHeight="1">
      <c r="A1198" s="2">
        <v>1991.0</v>
      </c>
      <c r="B1198" s="2" t="s">
        <v>5767</v>
      </c>
      <c r="C1198" s="2" t="s">
        <v>12129</v>
      </c>
      <c r="K1198" s="2" t="s">
        <v>5768</v>
      </c>
      <c r="L1198" s="2" t="s">
        <v>5771</v>
      </c>
      <c r="O1198" s="2" t="s">
        <v>1368</v>
      </c>
    </row>
    <row r="1199" ht="15.75" customHeight="1">
      <c r="A1199" s="2">
        <v>1991.0</v>
      </c>
      <c r="B1199" s="2" t="s">
        <v>5767</v>
      </c>
      <c r="C1199" s="2" t="s">
        <v>12129</v>
      </c>
      <c r="K1199" s="2" t="s">
        <v>6274</v>
      </c>
      <c r="O1199" s="2" t="s">
        <v>1368</v>
      </c>
    </row>
    <row r="1200" ht="15.75" customHeight="1">
      <c r="A1200" s="2">
        <v>2007.0</v>
      </c>
      <c r="B1200" s="2" t="s">
        <v>5643</v>
      </c>
      <c r="C1200" s="2" t="s">
        <v>12129</v>
      </c>
      <c r="K1200" s="2" t="s">
        <v>5644</v>
      </c>
      <c r="L1200" s="2" t="s">
        <v>5646</v>
      </c>
      <c r="O1200" s="2" t="s">
        <v>1368</v>
      </c>
    </row>
    <row r="1201" ht="15.75" customHeight="1">
      <c r="A1201" s="2">
        <v>2005.0</v>
      </c>
      <c r="B1201" s="2" t="s">
        <v>4027</v>
      </c>
      <c r="C1201" s="2" t="s">
        <v>12129</v>
      </c>
      <c r="K1201" s="2" t="s">
        <v>4028</v>
      </c>
      <c r="L1201" s="2" t="s">
        <v>4030</v>
      </c>
      <c r="O1201" s="2" t="s">
        <v>1368</v>
      </c>
    </row>
    <row r="1202" ht="15.75" customHeight="1">
      <c r="A1202" s="2">
        <v>2014.0</v>
      </c>
      <c r="B1202" s="2" t="s">
        <v>4548</v>
      </c>
      <c r="C1202" s="2" t="s">
        <v>12129</v>
      </c>
      <c r="K1202" s="2" t="s">
        <v>4549</v>
      </c>
      <c r="L1202" s="2" t="s">
        <v>4550</v>
      </c>
      <c r="O1202" s="2" t="s">
        <v>1368</v>
      </c>
    </row>
    <row r="1203" ht="15.75" customHeight="1">
      <c r="A1203" s="2">
        <v>2002.0</v>
      </c>
      <c r="B1203" s="2" t="s">
        <v>4537</v>
      </c>
      <c r="C1203" s="2" t="s">
        <v>12129</v>
      </c>
      <c r="K1203" s="2" t="s">
        <v>4538</v>
      </c>
      <c r="O1203" s="2" t="s">
        <v>1368</v>
      </c>
    </row>
    <row r="1204" ht="15.75" customHeight="1">
      <c r="A1204" s="2">
        <v>1996.0</v>
      </c>
      <c r="B1204" s="2" t="s">
        <v>3948</v>
      </c>
      <c r="C1204" s="2" t="s">
        <v>12129</v>
      </c>
      <c r="K1204" s="2" t="s">
        <v>3949</v>
      </c>
      <c r="L1204" s="2" t="s">
        <v>3951</v>
      </c>
      <c r="O1204" s="2" t="s">
        <v>1368</v>
      </c>
    </row>
    <row r="1205" ht="15.75" customHeight="1">
      <c r="A1205" s="2">
        <v>2014.0</v>
      </c>
      <c r="B1205" s="2" t="s">
        <v>4316</v>
      </c>
      <c r="C1205" s="2" t="s">
        <v>12129</v>
      </c>
      <c r="K1205" s="2" t="s">
        <v>4317</v>
      </c>
      <c r="O1205" s="2" t="s">
        <v>1368</v>
      </c>
    </row>
    <row r="1206" ht="15.75" customHeight="1">
      <c r="A1206" s="2">
        <v>2010.0</v>
      </c>
      <c r="B1206" s="2" t="s">
        <v>10978</v>
      </c>
      <c r="C1206" s="2" t="s">
        <v>15399</v>
      </c>
      <c r="F1206" s="2" t="s">
        <v>15399</v>
      </c>
      <c r="K1206" s="2" t="s">
        <v>879</v>
      </c>
      <c r="L1206" s="2" t="s">
        <v>881</v>
      </c>
      <c r="N1206" s="2" t="s">
        <v>15399</v>
      </c>
      <c r="O1206" s="2" t="s">
        <v>10987</v>
      </c>
    </row>
    <row r="1207" ht="15.75" customHeight="1">
      <c r="A1207" s="2">
        <v>2006.0</v>
      </c>
      <c r="B1207" s="2" t="s">
        <v>4561</v>
      </c>
      <c r="C1207" s="2" t="s">
        <v>12129</v>
      </c>
      <c r="K1207" s="2" t="s">
        <v>4562</v>
      </c>
      <c r="O1207" s="2" t="s">
        <v>1368</v>
      </c>
    </row>
    <row r="1208" ht="15.75" customHeight="1">
      <c r="A1208" s="2">
        <v>2003.0</v>
      </c>
      <c r="B1208" s="2" t="s">
        <v>4541</v>
      </c>
      <c r="C1208" s="2" t="s">
        <v>12129</v>
      </c>
      <c r="K1208" s="2" t="s">
        <v>4542</v>
      </c>
      <c r="L1208" s="2" t="s">
        <v>4543</v>
      </c>
      <c r="O1208" s="2" t="s">
        <v>1368</v>
      </c>
    </row>
    <row r="1209" ht="15.75" customHeight="1">
      <c r="A1209" s="2">
        <v>2004.0</v>
      </c>
      <c r="B1209" s="2" t="s">
        <v>3929</v>
      </c>
      <c r="C1209" s="2" t="s">
        <v>12129</v>
      </c>
      <c r="K1209" s="2" t="s">
        <v>3930</v>
      </c>
      <c r="L1209" s="2" t="s">
        <v>3932</v>
      </c>
      <c r="O1209" s="2" t="s">
        <v>1368</v>
      </c>
    </row>
    <row r="1210" ht="15.75" customHeight="1">
      <c r="A1210" s="2">
        <v>1973.0</v>
      </c>
      <c r="B1210" s="2" t="s">
        <v>4005</v>
      </c>
      <c r="C1210" s="2" t="s">
        <v>12129</v>
      </c>
      <c r="K1210" s="2" t="s">
        <v>4006</v>
      </c>
      <c r="L1210" s="2" t="s">
        <v>4008</v>
      </c>
      <c r="O1210" s="2" t="s">
        <v>1368</v>
      </c>
    </row>
    <row r="1211" ht="15.75" customHeight="1">
      <c r="A1211" s="2">
        <v>2013.0</v>
      </c>
      <c r="B1211" s="2" t="s">
        <v>4035</v>
      </c>
      <c r="C1211" s="2" t="s">
        <v>12129</v>
      </c>
      <c r="K1211" s="2" t="s">
        <v>4036</v>
      </c>
      <c r="O1211" s="2" t="s">
        <v>1368</v>
      </c>
    </row>
    <row r="1212" ht="15.75" customHeight="1">
      <c r="A1212" s="2">
        <v>1995.0</v>
      </c>
      <c r="B1212" s="2" t="s">
        <v>4554</v>
      </c>
      <c r="C1212" s="2" t="s">
        <v>12129</v>
      </c>
      <c r="K1212" s="2" t="s">
        <v>4555</v>
      </c>
      <c r="L1212" s="2" t="s">
        <v>4558</v>
      </c>
      <c r="O1212" s="2" t="s">
        <v>1368</v>
      </c>
    </row>
    <row r="1213" ht="15.75" customHeight="1">
      <c r="A1213" s="2">
        <v>2010.0</v>
      </c>
      <c r="B1213" s="2" t="s">
        <v>2240</v>
      </c>
      <c r="C1213" s="2" t="s">
        <v>15399</v>
      </c>
      <c r="I1213" s="2" t="s">
        <v>15399</v>
      </c>
      <c r="K1213" s="2" t="s">
        <v>856</v>
      </c>
      <c r="L1213" s="2" t="s">
        <v>858</v>
      </c>
      <c r="N1213" s="2" t="s">
        <v>15399</v>
      </c>
      <c r="O1213" s="2" t="s">
        <v>2244</v>
      </c>
    </row>
    <row r="1214" ht="15.75" customHeight="1">
      <c r="A1214" s="2">
        <v>2005.0</v>
      </c>
      <c r="B1214" s="2" t="s">
        <v>4341</v>
      </c>
      <c r="C1214" s="2" t="s">
        <v>12129</v>
      </c>
      <c r="K1214" s="2" t="s">
        <v>4342</v>
      </c>
      <c r="L1214" s="2" t="s">
        <v>4343</v>
      </c>
      <c r="O1214" s="2" t="s">
        <v>1368</v>
      </c>
    </row>
    <row r="1215" ht="15.75" customHeight="1">
      <c r="A1215" s="2">
        <v>2003.0</v>
      </c>
      <c r="B1215" s="2" t="s">
        <v>4351</v>
      </c>
      <c r="C1215" s="2" t="s">
        <v>12129</v>
      </c>
      <c r="K1215" s="2" t="s">
        <v>4352</v>
      </c>
      <c r="L1215" s="2" t="s">
        <v>4353</v>
      </c>
      <c r="O1215" s="2" t="s">
        <v>1368</v>
      </c>
    </row>
    <row r="1216" ht="15.75" customHeight="1">
      <c r="A1216" s="2">
        <v>2009.0</v>
      </c>
      <c r="B1216" s="2" t="s">
        <v>4362</v>
      </c>
      <c r="C1216" s="2" t="s">
        <v>12129</v>
      </c>
      <c r="K1216" s="2" t="s">
        <v>4363</v>
      </c>
      <c r="L1216" s="2" t="s">
        <v>4364</v>
      </c>
      <c r="O1216" s="2" t="s">
        <v>1368</v>
      </c>
    </row>
    <row r="1217" ht="15.75" customHeight="1">
      <c r="A1217" s="2">
        <v>2003.0</v>
      </c>
      <c r="B1217" s="2" t="s">
        <v>4356</v>
      </c>
      <c r="C1217" s="2" t="s">
        <v>12129</v>
      </c>
      <c r="K1217" s="2" t="s">
        <v>4357</v>
      </c>
      <c r="L1217" s="2" t="s">
        <v>4359</v>
      </c>
      <c r="O1217" s="2" t="s">
        <v>1368</v>
      </c>
    </row>
    <row r="1218" ht="15.75" customHeight="1">
      <c r="A1218" s="2">
        <v>2014.0</v>
      </c>
      <c r="B1218" s="2" t="s">
        <v>4114</v>
      </c>
      <c r="C1218" s="2" t="s">
        <v>12129</v>
      </c>
      <c r="K1218" s="2" t="s">
        <v>4115</v>
      </c>
      <c r="L1218" s="2" t="s">
        <v>4116</v>
      </c>
      <c r="O1218" s="2" t="s">
        <v>1368</v>
      </c>
    </row>
    <row r="1219" ht="15.75" customHeight="1">
      <c r="A1219" s="2">
        <v>1988.0</v>
      </c>
      <c r="B1219" s="2" t="s">
        <v>4051</v>
      </c>
      <c r="C1219" s="2" t="s">
        <v>12129</v>
      </c>
      <c r="K1219" s="2" t="s">
        <v>4052</v>
      </c>
      <c r="L1219" s="2" t="s">
        <v>4054</v>
      </c>
      <c r="O1219" s="2" t="s">
        <v>1368</v>
      </c>
    </row>
    <row r="1220" ht="15.75" customHeight="1">
      <c r="A1220" s="2">
        <v>2010.0</v>
      </c>
      <c r="B1220" s="2" t="s">
        <v>10325</v>
      </c>
      <c r="C1220" s="2" t="s">
        <v>15399</v>
      </c>
      <c r="G1220" s="2" t="s">
        <v>15399</v>
      </c>
      <c r="K1220" s="2" t="s">
        <v>825</v>
      </c>
      <c r="L1220" s="2" t="s">
        <v>827</v>
      </c>
      <c r="N1220" s="2" t="s">
        <v>15399</v>
      </c>
      <c r="O1220" s="2" t="s">
        <v>1368</v>
      </c>
    </row>
    <row r="1221" ht="15.75" customHeight="1">
      <c r="A1221" s="2">
        <v>2014.0</v>
      </c>
      <c r="B1221" s="2" t="s">
        <v>6690</v>
      </c>
      <c r="C1221" s="2" t="s">
        <v>15399</v>
      </c>
      <c r="E1221" s="2" t="s">
        <v>15399</v>
      </c>
      <c r="K1221" s="2" t="s">
        <v>489</v>
      </c>
      <c r="L1221" s="2" t="s">
        <v>491</v>
      </c>
      <c r="N1221" s="2" t="s">
        <v>15399</v>
      </c>
      <c r="O1221" s="2" t="s">
        <v>1872</v>
      </c>
    </row>
    <row r="1222" ht="15.75" customHeight="1">
      <c r="A1222" s="2">
        <v>1962.0</v>
      </c>
      <c r="B1222" s="2" t="s">
        <v>3989</v>
      </c>
      <c r="C1222" s="2" t="s">
        <v>12129</v>
      </c>
      <c r="K1222" s="2" t="s">
        <v>3990</v>
      </c>
      <c r="L1222" s="2" t="s">
        <v>3992</v>
      </c>
      <c r="O1222" s="2" t="s">
        <v>1368</v>
      </c>
    </row>
    <row r="1223" ht="15.75" customHeight="1">
      <c r="A1223" s="2">
        <v>2008.0</v>
      </c>
      <c r="B1223" s="2" t="s">
        <v>4373</v>
      </c>
      <c r="C1223" s="2" t="s">
        <v>12129</v>
      </c>
      <c r="K1223" s="2" t="s">
        <v>4374</v>
      </c>
      <c r="L1223" s="2" t="s">
        <v>4376</v>
      </c>
      <c r="O1223" s="2" t="s">
        <v>1368</v>
      </c>
    </row>
    <row r="1224" ht="15.75" customHeight="1">
      <c r="A1224" s="2">
        <v>2008.0</v>
      </c>
      <c r="B1224" s="2" t="s">
        <v>4250</v>
      </c>
      <c r="C1224" s="2" t="s">
        <v>12129</v>
      </c>
      <c r="K1224" s="2" t="s">
        <v>4251</v>
      </c>
      <c r="L1224" s="2" t="s">
        <v>4254</v>
      </c>
      <c r="O1224" s="2" t="s">
        <v>2238</v>
      </c>
    </row>
    <row r="1225" ht="15.75" customHeight="1">
      <c r="A1225" s="2">
        <v>2015.0</v>
      </c>
      <c r="B1225" s="2" t="s">
        <v>11289</v>
      </c>
      <c r="C1225" s="2" t="s">
        <v>15399</v>
      </c>
      <c r="G1225" s="2" t="s">
        <v>15399</v>
      </c>
      <c r="K1225" s="2" t="s">
        <v>408</v>
      </c>
      <c r="L1225" s="2" t="s">
        <v>410</v>
      </c>
      <c r="N1225" s="2" t="s">
        <v>15399</v>
      </c>
      <c r="O1225" s="2" t="s">
        <v>9675</v>
      </c>
    </row>
    <row r="1226" ht="15.75" customHeight="1">
      <c r="A1226" s="2">
        <v>2003.0</v>
      </c>
      <c r="B1226" s="2" t="s">
        <v>4203</v>
      </c>
      <c r="C1226" s="2" t="s">
        <v>12129</v>
      </c>
      <c r="K1226" s="2" t="s">
        <v>4204</v>
      </c>
      <c r="L1226" s="2" t="s">
        <v>4207</v>
      </c>
      <c r="O1226" s="2" t="s">
        <v>1872</v>
      </c>
    </row>
    <row r="1227" ht="15.75" customHeight="1">
      <c r="A1227" s="2">
        <v>2013.0</v>
      </c>
      <c r="B1227" s="2" t="s">
        <v>4388</v>
      </c>
      <c r="C1227" s="2" t="s">
        <v>12129</v>
      </c>
      <c r="K1227" s="2" t="s">
        <v>4389</v>
      </c>
      <c r="L1227" s="2" t="s">
        <v>4392</v>
      </c>
      <c r="O1227" s="2" t="s">
        <v>1368</v>
      </c>
    </row>
    <row r="1228" ht="15.75" customHeight="1">
      <c r="A1228" s="2">
        <v>2016.0</v>
      </c>
      <c r="B1228" s="2" t="s">
        <v>4194</v>
      </c>
      <c r="C1228" s="2" t="s">
        <v>12129</v>
      </c>
      <c r="K1228" s="2" t="s">
        <v>4195</v>
      </c>
      <c r="O1228" s="2" t="s">
        <v>1885</v>
      </c>
    </row>
    <row r="1229" ht="15.75" customHeight="1">
      <c r="A1229" s="2">
        <v>2015.0</v>
      </c>
      <c r="B1229" s="2" t="s">
        <v>10920</v>
      </c>
      <c r="C1229" s="2" t="s">
        <v>15399</v>
      </c>
      <c r="H1229" s="2" t="s">
        <v>15399</v>
      </c>
      <c r="K1229" s="2" t="s">
        <v>347</v>
      </c>
      <c r="L1229" s="2" t="s">
        <v>349</v>
      </c>
      <c r="N1229" s="2" t="s">
        <v>15399</v>
      </c>
      <c r="O1229" s="2" t="s">
        <v>1368</v>
      </c>
    </row>
    <row r="1230" ht="15.75" customHeight="1">
      <c r="A1230" s="2">
        <v>2018.0</v>
      </c>
      <c r="B1230" s="2" t="s">
        <v>4129</v>
      </c>
      <c r="C1230" s="2" t="s">
        <v>12129</v>
      </c>
      <c r="K1230" s="2" t="s">
        <v>4130</v>
      </c>
      <c r="L1230" s="2" t="s">
        <v>4131</v>
      </c>
      <c r="O1230" s="2" t="s">
        <v>1368</v>
      </c>
    </row>
    <row r="1231" ht="15.75" customHeight="1">
      <c r="A1231" s="2">
        <v>2008.0</v>
      </c>
      <c r="B1231" s="2" t="s">
        <v>4379</v>
      </c>
      <c r="C1231" s="2" t="s">
        <v>12129</v>
      </c>
      <c r="K1231" s="2" t="s">
        <v>4380</v>
      </c>
      <c r="O1231" s="2" t="s">
        <v>1368</v>
      </c>
    </row>
    <row r="1232" ht="15.75" customHeight="1">
      <c r="A1232" s="2">
        <v>2017.0</v>
      </c>
      <c r="B1232" s="2" t="s">
        <v>4099</v>
      </c>
      <c r="C1232" s="2" t="s">
        <v>12129</v>
      </c>
      <c r="K1232" s="2" t="s">
        <v>4100</v>
      </c>
      <c r="L1232" s="2" t="s">
        <v>4102</v>
      </c>
      <c r="O1232" s="2" t="s">
        <v>1368</v>
      </c>
    </row>
    <row r="1233" ht="15.75" customHeight="1">
      <c r="A1233" s="2">
        <v>2007.0</v>
      </c>
      <c r="B1233" s="2" t="s">
        <v>4121</v>
      </c>
      <c r="C1233" s="2" t="s">
        <v>12129</v>
      </c>
      <c r="K1233" s="2" t="s">
        <v>4122</v>
      </c>
      <c r="L1233" s="2" t="s">
        <v>4124</v>
      </c>
      <c r="O1233" s="2" t="s">
        <v>1368</v>
      </c>
    </row>
    <row r="1234" ht="15.75" customHeight="1">
      <c r="A1234" s="2">
        <v>2008.0</v>
      </c>
      <c r="B1234" s="2" t="s">
        <v>3942</v>
      </c>
      <c r="C1234" s="2" t="s">
        <v>12129</v>
      </c>
      <c r="K1234" s="2" t="s">
        <v>3943</v>
      </c>
      <c r="L1234" s="2" t="s">
        <v>3945</v>
      </c>
      <c r="O1234" s="2" t="s">
        <v>1368</v>
      </c>
    </row>
    <row r="1235" ht="15.75" customHeight="1">
      <c r="A1235" s="2">
        <v>2007.0</v>
      </c>
      <c r="B1235" s="2" t="s">
        <v>4423</v>
      </c>
      <c r="C1235" s="2" t="s">
        <v>12129</v>
      </c>
      <c r="K1235" s="2" t="s">
        <v>4424</v>
      </c>
      <c r="O1235" s="2" t="s">
        <v>1368</v>
      </c>
    </row>
    <row r="1236" ht="15.75" customHeight="1">
      <c r="A1236" s="2">
        <v>2002.0</v>
      </c>
      <c r="B1236" s="2" t="s">
        <v>4284</v>
      </c>
      <c r="C1236" s="2" t="s">
        <v>12129</v>
      </c>
      <c r="K1236" s="2" t="s">
        <v>4285</v>
      </c>
      <c r="O1236" s="2" t="s">
        <v>1368</v>
      </c>
    </row>
    <row r="1237" ht="15.75" customHeight="1">
      <c r="A1237" s="2">
        <v>1994.0</v>
      </c>
      <c r="B1237" s="2" t="s">
        <v>4416</v>
      </c>
      <c r="C1237" s="2" t="s">
        <v>12129</v>
      </c>
      <c r="K1237" s="2" t="s">
        <v>4417</v>
      </c>
      <c r="L1237" s="2" t="s">
        <v>4420</v>
      </c>
      <c r="O1237" s="2" t="s">
        <v>1368</v>
      </c>
    </row>
    <row r="1238" ht="15.75" customHeight="1">
      <c r="A1238" s="2">
        <v>2012.0</v>
      </c>
      <c r="B1238" s="2" t="s">
        <v>4184</v>
      </c>
      <c r="C1238" s="2" t="s">
        <v>12129</v>
      </c>
      <c r="K1238" s="2" t="s">
        <v>4185</v>
      </c>
      <c r="L1238" s="2" t="s">
        <v>4188</v>
      </c>
      <c r="O1238" s="2" t="s">
        <v>1609</v>
      </c>
    </row>
    <row r="1239" ht="15.75" customHeight="1">
      <c r="A1239" s="2">
        <v>2014.0</v>
      </c>
      <c r="B1239" s="2" t="s">
        <v>4223</v>
      </c>
      <c r="C1239" s="2" t="s">
        <v>12129</v>
      </c>
      <c r="K1239" s="2" t="s">
        <v>4224</v>
      </c>
      <c r="L1239" s="2" t="s">
        <v>4227</v>
      </c>
      <c r="O1239" s="2" t="s">
        <v>1368</v>
      </c>
    </row>
    <row r="1240" ht="15.75" customHeight="1">
      <c r="A1240" s="2">
        <v>2007.0</v>
      </c>
      <c r="B1240" s="2" t="s">
        <v>4171</v>
      </c>
      <c r="C1240" s="2" t="s">
        <v>12129</v>
      </c>
      <c r="K1240" s="2" t="s">
        <v>4172</v>
      </c>
      <c r="L1240" s="2" t="s">
        <v>4174</v>
      </c>
      <c r="O1240" s="2" t="s">
        <v>1872</v>
      </c>
    </row>
    <row r="1241" ht="15.75" customHeight="1">
      <c r="A1241" s="2">
        <v>2004.0</v>
      </c>
      <c r="B1241" s="2" t="s">
        <v>3937</v>
      </c>
      <c r="C1241" s="2" t="s">
        <v>12129</v>
      </c>
      <c r="K1241" s="2" t="s">
        <v>3938</v>
      </c>
      <c r="O1241" s="2" t="s">
        <v>1368</v>
      </c>
    </row>
    <row r="1242" ht="15.75" customHeight="1">
      <c r="A1242" s="2">
        <v>2018.0</v>
      </c>
      <c r="B1242" s="2" t="s">
        <v>3914</v>
      </c>
      <c r="C1242" s="2" t="s">
        <v>12129</v>
      </c>
      <c r="K1242" s="2" t="s">
        <v>3915</v>
      </c>
      <c r="L1242" s="2" t="s">
        <v>3917</v>
      </c>
      <c r="O1242" s="2" t="s">
        <v>1368</v>
      </c>
    </row>
    <row r="1243" ht="15.75" customHeight="1">
      <c r="A1243" s="2">
        <v>1997.0</v>
      </c>
      <c r="B1243" s="2" t="s">
        <v>4092</v>
      </c>
      <c r="C1243" s="2" t="s">
        <v>12129</v>
      </c>
      <c r="K1243" s="2" t="s">
        <v>4093</v>
      </c>
      <c r="L1243" s="2" t="s">
        <v>4094</v>
      </c>
      <c r="O1243" s="2" t="s">
        <v>1368</v>
      </c>
    </row>
    <row r="1244" ht="15.75" customHeight="1">
      <c r="A1244" s="2">
        <v>2007.0</v>
      </c>
      <c r="B1244" s="2" t="s">
        <v>3976</v>
      </c>
      <c r="C1244" s="2" t="s">
        <v>12129</v>
      </c>
      <c r="K1244" s="2" t="s">
        <v>3977</v>
      </c>
      <c r="O1244" s="2" t="s">
        <v>1368</v>
      </c>
    </row>
    <row r="1245" ht="15.75" customHeight="1">
      <c r="A1245" s="2">
        <v>2016.0</v>
      </c>
      <c r="B1245" s="2" t="s">
        <v>4408</v>
      </c>
      <c r="C1245" s="2" t="s">
        <v>12129</v>
      </c>
      <c r="K1245" s="2" t="s">
        <v>4409</v>
      </c>
      <c r="L1245" s="2" t="s">
        <v>4412</v>
      </c>
      <c r="O1245" s="2" t="s">
        <v>1368</v>
      </c>
    </row>
    <row r="1246" ht="15.75" customHeight="1">
      <c r="A1246" s="2">
        <v>2015.0</v>
      </c>
      <c r="B1246" s="2" t="s">
        <v>2939</v>
      </c>
      <c r="C1246" s="2" t="s">
        <v>15399</v>
      </c>
      <c r="I1246" s="2" t="s">
        <v>15399</v>
      </c>
      <c r="K1246" s="2" t="s">
        <v>2940</v>
      </c>
      <c r="L1246" s="2" t="s">
        <v>326</v>
      </c>
      <c r="N1246" s="2" t="s">
        <v>15399</v>
      </c>
      <c r="O1246" s="2" t="s">
        <v>2852</v>
      </c>
    </row>
    <row r="1247" ht="15.75" customHeight="1">
      <c r="A1247" s="2">
        <v>2012.0</v>
      </c>
      <c r="B1247" s="2" t="s">
        <v>11480</v>
      </c>
      <c r="C1247" s="2" t="s">
        <v>15399</v>
      </c>
      <c r="E1247" s="2" t="s">
        <v>15399</v>
      </c>
      <c r="K1247" s="2" t="s">
        <v>11481</v>
      </c>
      <c r="L1247" s="2" t="s">
        <v>11484</v>
      </c>
      <c r="O1247" s="2" t="s">
        <v>1368</v>
      </c>
    </row>
    <row r="1248" ht="15.75" customHeight="1">
      <c r="A1248" s="2">
        <v>2017.0</v>
      </c>
      <c r="B1248" s="2" t="s">
        <v>4013</v>
      </c>
      <c r="C1248" s="2" t="s">
        <v>12129</v>
      </c>
      <c r="K1248" s="2" t="s">
        <v>4014</v>
      </c>
      <c r="O1248" s="2" t="s">
        <v>1368</v>
      </c>
    </row>
    <row r="1249" ht="15.75" customHeight="1">
      <c r="A1249" s="2">
        <v>2014.0</v>
      </c>
      <c r="B1249" s="2" t="s">
        <v>4395</v>
      </c>
      <c r="C1249" s="2" t="s">
        <v>12129</v>
      </c>
      <c r="K1249" s="2" t="s">
        <v>4396</v>
      </c>
      <c r="O1249" s="2" t="s">
        <v>1368</v>
      </c>
    </row>
    <row r="1250" ht="15.75" customHeight="1">
      <c r="A1250" s="2">
        <v>2017.0</v>
      </c>
      <c r="B1250" s="2" t="s">
        <v>4311</v>
      </c>
      <c r="C1250" s="2" t="s">
        <v>12129</v>
      </c>
      <c r="K1250" s="2" t="s">
        <v>4312</v>
      </c>
      <c r="O1250" s="2" t="s">
        <v>1368</v>
      </c>
    </row>
    <row r="1251" ht="15.75" customHeight="1">
      <c r="A1251" s="2">
        <v>2004.0</v>
      </c>
      <c r="B1251" s="2" t="s">
        <v>4043</v>
      </c>
      <c r="C1251" s="2" t="s">
        <v>12129</v>
      </c>
      <c r="K1251" s="2" t="s">
        <v>4044</v>
      </c>
      <c r="L1251" s="2" t="s">
        <v>4045</v>
      </c>
      <c r="O1251" s="2" t="s">
        <v>1368</v>
      </c>
    </row>
    <row r="1252" ht="15.75" customHeight="1">
      <c r="A1252" s="2">
        <v>2011.0</v>
      </c>
      <c r="B1252" s="2" t="s">
        <v>10751</v>
      </c>
      <c r="C1252" s="2" t="s">
        <v>15399</v>
      </c>
      <c r="G1252" s="2" t="s">
        <v>15399</v>
      </c>
      <c r="K1252" s="2" t="s">
        <v>778</v>
      </c>
      <c r="L1252" s="2" t="s">
        <v>781</v>
      </c>
      <c r="N1252" s="2" t="s">
        <v>15399</v>
      </c>
      <c r="O1252" s="2" t="s">
        <v>2169</v>
      </c>
    </row>
    <row r="1253" ht="15.75" customHeight="1">
      <c r="A1253" s="2">
        <v>2002.0</v>
      </c>
      <c r="B1253" s="2" t="s">
        <v>4455</v>
      </c>
      <c r="C1253" s="2" t="s">
        <v>12129</v>
      </c>
      <c r="K1253" s="2" t="s">
        <v>4456</v>
      </c>
      <c r="O1253" s="2" t="s">
        <v>1368</v>
      </c>
    </row>
    <row r="1254" ht="15.75" customHeight="1">
      <c r="A1254" s="2">
        <v>2018.0</v>
      </c>
      <c r="B1254" s="2" t="s">
        <v>4280</v>
      </c>
      <c r="C1254" s="2" t="s">
        <v>15399</v>
      </c>
      <c r="G1254" s="2" t="s">
        <v>15399</v>
      </c>
      <c r="J1254" s="2" t="s">
        <v>15399</v>
      </c>
      <c r="K1254" s="2" t="s">
        <v>4281</v>
      </c>
      <c r="O1254" s="2" t="s">
        <v>1368</v>
      </c>
    </row>
    <row r="1255" ht="15.75" customHeight="1">
      <c r="A1255" s="2">
        <v>2007.0</v>
      </c>
      <c r="B1255" s="2" t="s">
        <v>4432</v>
      </c>
      <c r="C1255" s="2" t="s">
        <v>12129</v>
      </c>
      <c r="K1255" s="2" t="s">
        <v>4433</v>
      </c>
      <c r="L1255" s="2" t="s">
        <v>4434</v>
      </c>
      <c r="O1255" s="2" t="s">
        <v>1368</v>
      </c>
    </row>
    <row r="1256" ht="15.75" customHeight="1">
      <c r="A1256" s="2">
        <v>2013.0</v>
      </c>
      <c r="B1256" s="2" t="s">
        <v>4566</v>
      </c>
      <c r="C1256" s="2" t="s">
        <v>12129</v>
      </c>
      <c r="K1256" s="2" t="s">
        <v>4567</v>
      </c>
      <c r="L1256" s="2" t="s">
        <v>4568</v>
      </c>
      <c r="O1256" s="2" t="s">
        <v>1368</v>
      </c>
    </row>
    <row r="1257" ht="15.75" customHeight="1">
      <c r="A1257" s="2">
        <v>2012.0</v>
      </c>
      <c r="B1257" s="2" t="s">
        <v>4070</v>
      </c>
      <c r="C1257" s="2" t="s">
        <v>12129</v>
      </c>
      <c r="K1257" s="2" t="s">
        <v>4071</v>
      </c>
      <c r="L1257" s="2" t="s">
        <v>4072</v>
      </c>
      <c r="O1257" s="2" t="s">
        <v>1368</v>
      </c>
    </row>
    <row r="1258" ht="15.75" customHeight="1">
      <c r="A1258" s="2">
        <v>2017.0</v>
      </c>
      <c r="B1258" s="2" t="s">
        <v>4019</v>
      </c>
      <c r="C1258" s="2" t="s">
        <v>12129</v>
      </c>
      <c r="K1258" s="2" t="s">
        <v>4020</v>
      </c>
      <c r="L1258" s="2" t="s">
        <v>4022</v>
      </c>
      <c r="O1258" s="2" t="s">
        <v>1368</v>
      </c>
    </row>
    <row r="1259" ht="15.75" customHeight="1">
      <c r="A1259" s="2">
        <v>2015.0</v>
      </c>
      <c r="B1259" s="2" t="s">
        <v>3982</v>
      </c>
      <c r="C1259" s="2" t="s">
        <v>12129</v>
      </c>
      <c r="K1259" s="2" t="s">
        <v>3983</v>
      </c>
      <c r="L1259" s="2" t="s">
        <v>3984</v>
      </c>
      <c r="O1259" s="2" t="s">
        <v>1368</v>
      </c>
    </row>
    <row r="1260" ht="15.75" customHeight="1">
      <c r="A1260" s="2">
        <v>2005.0</v>
      </c>
      <c r="B1260" s="2" t="s">
        <v>4451</v>
      </c>
      <c r="C1260" s="2" t="s">
        <v>12129</v>
      </c>
      <c r="K1260" s="2" t="s">
        <v>4452</v>
      </c>
      <c r="O1260" s="2" t="s">
        <v>1368</v>
      </c>
    </row>
    <row r="1261" ht="15.75" customHeight="1">
      <c r="A1261" s="2">
        <v>2018.0</v>
      </c>
      <c r="B1261" s="2" t="s">
        <v>4159</v>
      </c>
      <c r="C1261" s="2" t="s">
        <v>12129</v>
      </c>
      <c r="K1261" s="2" t="s">
        <v>4160</v>
      </c>
      <c r="L1261" s="2" t="s">
        <v>4161</v>
      </c>
      <c r="O1261" s="2" t="s">
        <v>1872</v>
      </c>
    </row>
    <row r="1262" ht="15.75" customHeight="1">
      <c r="A1262" s="2">
        <v>2010.0</v>
      </c>
      <c r="B1262" s="2" t="s">
        <v>4214</v>
      </c>
      <c r="C1262" s="2" t="s">
        <v>15399</v>
      </c>
      <c r="H1262" s="2" t="s">
        <v>15399</v>
      </c>
      <c r="K1262" s="2" t="s">
        <v>930</v>
      </c>
      <c r="L1262" s="2" t="s">
        <v>933</v>
      </c>
      <c r="N1262" s="2" t="s">
        <v>15399</v>
      </c>
      <c r="O1262" s="2" t="s">
        <v>2169</v>
      </c>
    </row>
    <row r="1263" ht="15.75" customHeight="1">
      <c r="A1263" s="2">
        <v>2008.0</v>
      </c>
      <c r="B1263" s="2" t="s">
        <v>4444</v>
      </c>
      <c r="C1263" s="2" t="s">
        <v>12129</v>
      </c>
      <c r="K1263" s="2" t="s">
        <v>4445</v>
      </c>
      <c r="L1263" s="2" t="s">
        <v>4447</v>
      </c>
      <c r="O1263" s="2" t="s">
        <v>1368</v>
      </c>
    </row>
    <row r="1264" ht="15.75" customHeight="1">
      <c r="A1264" s="2">
        <v>2010.0</v>
      </c>
      <c r="B1264" s="2" t="s">
        <v>10700</v>
      </c>
      <c r="C1264" s="2" t="s">
        <v>15399</v>
      </c>
      <c r="I1264" s="2" t="s">
        <v>15399</v>
      </c>
      <c r="K1264" s="2" t="s">
        <v>10701</v>
      </c>
      <c r="L1264" s="2" t="s">
        <v>925</v>
      </c>
      <c r="N1264" s="2" t="s">
        <v>15399</v>
      </c>
      <c r="O1264" s="2" t="s">
        <v>1368</v>
      </c>
    </row>
    <row r="1265" ht="15.75" customHeight="1">
      <c r="A1265" s="2">
        <v>2013.0</v>
      </c>
      <c r="B1265" s="2" t="s">
        <v>4060</v>
      </c>
      <c r="C1265" s="2" t="s">
        <v>12129</v>
      </c>
      <c r="K1265" s="2" t="s">
        <v>4061</v>
      </c>
      <c r="L1265" s="2" t="s">
        <v>4064</v>
      </c>
      <c r="O1265" s="2" t="s">
        <v>1368</v>
      </c>
    </row>
    <row r="1266" ht="15.75" customHeight="1">
      <c r="A1266" s="2">
        <v>2011.0</v>
      </c>
      <c r="B1266" s="2" t="s">
        <v>4467</v>
      </c>
      <c r="C1266" s="2" t="s">
        <v>12129</v>
      </c>
      <c r="K1266" s="2" t="s">
        <v>4468</v>
      </c>
      <c r="L1266" s="2" t="s">
        <v>4470</v>
      </c>
      <c r="O1266" s="2" t="s">
        <v>1368</v>
      </c>
    </row>
    <row r="1267" ht="15.75" customHeight="1">
      <c r="A1267" s="2">
        <v>2014.0</v>
      </c>
      <c r="B1267" s="2" t="s">
        <v>4479</v>
      </c>
      <c r="C1267" s="2" t="s">
        <v>12129</v>
      </c>
      <c r="K1267" s="2" t="s">
        <v>4480</v>
      </c>
      <c r="L1267" s="2" t="s">
        <v>4481</v>
      </c>
      <c r="O1267" s="2" t="s">
        <v>1368</v>
      </c>
    </row>
    <row r="1268" ht="15.75" customHeight="1">
      <c r="A1268" s="2">
        <v>2015.0</v>
      </c>
      <c r="B1268" s="2" t="s">
        <v>4257</v>
      </c>
      <c r="C1268" s="2" t="s">
        <v>12129</v>
      </c>
      <c r="K1268" s="2" t="s">
        <v>4258</v>
      </c>
      <c r="L1268" s="2" t="s">
        <v>4259</v>
      </c>
      <c r="O1268" s="2" t="s">
        <v>4263</v>
      </c>
    </row>
    <row r="1269" ht="15.75" customHeight="1">
      <c r="A1269" s="2">
        <v>2013.0</v>
      </c>
      <c r="B1269" s="2" t="s">
        <v>8336</v>
      </c>
      <c r="C1269" s="2" t="s">
        <v>15399</v>
      </c>
      <c r="I1269" s="2" t="s">
        <v>15399</v>
      </c>
      <c r="K1269" s="2" t="s">
        <v>8337</v>
      </c>
      <c r="L1269" s="2" t="s">
        <v>639</v>
      </c>
      <c r="N1269" s="2" t="s">
        <v>15399</v>
      </c>
      <c r="O1269" s="2" t="s">
        <v>1368</v>
      </c>
    </row>
    <row r="1270" ht="15.75" customHeight="1">
      <c r="A1270" s="2">
        <v>2016.0</v>
      </c>
      <c r="B1270" s="2" t="s">
        <v>4473</v>
      </c>
      <c r="C1270" s="2" t="s">
        <v>12129</v>
      </c>
      <c r="K1270" s="2" t="s">
        <v>4474</v>
      </c>
      <c r="O1270" s="2" t="s">
        <v>1368</v>
      </c>
    </row>
    <row r="1271" ht="15.75" customHeight="1">
      <c r="A1271" s="2">
        <v>2004.0</v>
      </c>
      <c r="B1271" s="2" t="s">
        <v>4106</v>
      </c>
      <c r="C1271" s="2" t="s">
        <v>12129</v>
      </c>
      <c r="K1271" s="2" t="s">
        <v>4107</v>
      </c>
      <c r="L1271" s="2" t="s">
        <v>4108</v>
      </c>
      <c r="O1271" s="2" t="s">
        <v>1368</v>
      </c>
    </row>
    <row r="1272" ht="15.75" customHeight="1">
      <c r="A1272" s="2">
        <v>2004.0</v>
      </c>
      <c r="B1272" s="2" t="s">
        <v>4460</v>
      </c>
      <c r="C1272" s="2" t="s">
        <v>12129</v>
      </c>
      <c r="K1272" s="2" t="s">
        <v>4461</v>
      </c>
      <c r="L1272" s="2" t="s">
        <v>4464</v>
      </c>
      <c r="O1272" s="2" t="s">
        <v>1368</v>
      </c>
    </row>
    <row r="1273" ht="15.75" customHeight="1">
      <c r="A1273" s="2">
        <v>2018.0</v>
      </c>
      <c r="B1273" s="2" t="s">
        <v>3970</v>
      </c>
      <c r="C1273" s="2" t="s">
        <v>12129</v>
      </c>
      <c r="K1273" s="2" t="s">
        <v>3971</v>
      </c>
      <c r="L1273" s="2" t="s">
        <v>3972</v>
      </c>
      <c r="O1273" s="2" t="s">
        <v>1368</v>
      </c>
    </row>
    <row r="1274" ht="15.75" customHeight="1">
      <c r="A1274" s="2">
        <v>2009.0</v>
      </c>
      <c r="B1274" s="2" t="s">
        <v>12026</v>
      </c>
      <c r="C1274" s="2" t="s">
        <v>15399</v>
      </c>
      <c r="I1274" s="2" t="s">
        <v>15399</v>
      </c>
      <c r="K1274" s="2" t="s">
        <v>982</v>
      </c>
      <c r="L1274" s="2" t="s">
        <v>984</v>
      </c>
      <c r="N1274" s="2" t="s">
        <v>15399</v>
      </c>
      <c r="O1274" s="2" t="s">
        <v>1368</v>
      </c>
    </row>
    <row r="1275" ht="15.75" customHeight="1">
      <c r="A1275" s="2">
        <v>2017.0</v>
      </c>
      <c r="B1275" s="2" t="s">
        <v>4288</v>
      </c>
      <c r="C1275" s="2" t="s">
        <v>12129</v>
      </c>
      <c r="K1275" s="2" t="s">
        <v>4289</v>
      </c>
      <c r="O1275" s="2" t="s">
        <v>1368</v>
      </c>
    </row>
    <row r="1276" ht="15.75" customHeight="1">
      <c r="A1276" s="2">
        <v>2015.0</v>
      </c>
      <c r="B1276" s="2" t="s">
        <v>4574</v>
      </c>
      <c r="C1276" s="2" t="s">
        <v>12129</v>
      </c>
      <c r="K1276" s="2" t="s">
        <v>4575</v>
      </c>
      <c r="O1276" s="2" t="s">
        <v>1368</v>
      </c>
    </row>
    <row r="1277" ht="15.75" customHeight="1">
      <c r="A1277" s="2">
        <v>1998.0</v>
      </c>
      <c r="B1277" s="2" t="s">
        <v>4325</v>
      </c>
      <c r="C1277" s="2" t="s">
        <v>12129</v>
      </c>
      <c r="K1277" s="2" t="s">
        <v>4326</v>
      </c>
      <c r="L1277" s="2" t="s">
        <v>4329</v>
      </c>
      <c r="O1277" s="2" t="s">
        <v>1368</v>
      </c>
    </row>
    <row r="1278" ht="15.75" customHeight="1">
      <c r="A1278" s="2">
        <v>2002.0</v>
      </c>
      <c r="B1278" s="2" t="s">
        <v>4084</v>
      </c>
      <c r="C1278" s="2" t="s">
        <v>12129</v>
      </c>
      <c r="K1278" s="2" t="s">
        <v>4085</v>
      </c>
      <c r="L1278" s="2" t="s">
        <v>4087</v>
      </c>
      <c r="O1278" s="2" t="s">
        <v>1368</v>
      </c>
    </row>
    <row r="1279" ht="15.75" customHeight="1">
      <c r="A1279" s="2">
        <v>2005.0</v>
      </c>
      <c r="B1279" s="2" t="s">
        <v>4244</v>
      </c>
      <c r="C1279" s="2" t="s">
        <v>12129</v>
      </c>
      <c r="K1279" s="2" t="s">
        <v>4245</v>
      </c>
      <c r="L1279" s="2" t="s">
        <v>4246</v>
      </c>
      <c r="O1279" s="2" t="s">
        <v>1368</v>
      </c>
    </row>
    <row r="1280" ht="15.75" customHeight="1">
      <c r="A1280" s="2">
        <v>2009.0</v>
      </c>
      <c r="B1280" s="2" t="s">
        <v>4232</v>
      </c>
      <c r="C1280" s="2" t="s">
        <v>12129</v>
      </c>
      <c r="K1280" s="2" t="s">
        <v>4233</v>
      </c>
      <c r="L1280" s="2" t="s">
        <v>4234</v>
      </c>
      <c r="O1280" s="2" t="s">
        <v>1368</v>
      </c>
    </row>
    <row r="1281" ht="15.75" customHeight="1">
      <c r="A1281" s="2">
        <v>2000.0</v>
      </c>
      <c r="B1281" s="2" t="s">
        <v>3957</v>
      </c>
      <c r="C1281" s="2" t="s">
        <v>12129</v>
      </c>
      <c r="K1281" s="2" t="s">
        <v>3958</v>
      </c>
      <c r="L1281" s="2" t="s">
        <v>3960</v>
      </c>
      <c r="O1281" s="2" t="s">
        <v>1368</v>
      </c>
    </row>
    <row r="1282" ht="15.75" customHeight="1">
      <c r="A1282" s="2">
        <v>2009.0</v>
      </c>
      <c r="B1282" s="2" t="s">
        <v>4274</v>
      </c>
      <c r="C1282" s="2" t="s">
        <v>12129</v>
      </c>
      <c r="K1282" s="2" t="s">
        <v>4275</v>
      </c>
      <c r="L1282" s="2" t="s">
        <v>4276</v>
      </c>
      <c r="O1282" s="2" t="s">
        <v>2244</v>
      </c>
    </row>
    <row r="1283" ht="15.75" customHeight="1">
      <c r="A1283" s="2">
        <v>2013.0</v>
      </c>
      <c r="B1283" s="2" t="s">
        <v>4526</v>
      </c>
      <c r="C1283" s="2" t="s">
        <v>12129</v>
      </c>
      <c r="K1283" s="2" t="s">
        <v>4527</v>
      </c>
      <c r="L1283" s="2" t="s">
        <v>4529</v>
      </c>
      <c r="O1283" s="2" t="s">
        <v>1368</v>
      </c>
    </row>
    <row r="1284" ht="15.75" customHeight="1">
      <c r="A1284" s="2">
        <v>2013.0</v>
      </c>
      <c r="B1284" s="2" t="s">
        <v>4147</v>
      </c>
      <c r="C1284" s="2" t="s">
        <v>12129</v>
      </c>
      <c r="K1284" s="2" t="s">
        <v>4148</v>
      </c>
      <c r="L1284" s="2" t="s">
        <v>4149</v>
      </c>
      <c r="O1284" s="2" t="s">
        <v>4157</v>
      </c>
    </row>
    <row r="1285" ht="15.75" customHeight="1">
      <c r="A1285" s="2">
        <v>2006.0</v>
      </c>
      <c r="B1285" s="2" t="s">
        <v>8629</v>
      </c>
      <c r="C1285" s="2" t="s">
        <v>15399</v>
      </c>
      <c r="F1285" s="2" t="s">
        <v>15399</v>
      </c>
      <c r="K1285" s="2" t="s">
        <v>8630</v>
      </c>
      <c r="L1285" s="2" t="s">
        <v>1063</v>
      </c>
      <c r="N1285" s="2" t="s">
        <v>15399</v>
      </c>
      <c r="O1285" s="2" t="s">
        <v>1368</v>
      </c>
    </row>
    <row r="1286" ht="15.75" customHeight="1">
      <c r="A1286" s="2">
        <v>2005.0</v>
      </c>
      <c r="B1286" s="2" t="s">
        <v>4516</v>
      </c>
      <c r="C1286" s="2" t="s">
        <v>12129</v>
      </c>
      <c r="K1286" s="2" t="s">
        <v>4517</v>
      </c>
      <c r="O1286" s="2" t="s">
        <v>1368</v>
      </c>
    </row>
    <row r="1287" ht="15.75" customHeight="1">
      <c r="A1287" s="2">
        <v>1995.0</v>
      </c>
      <c r="B1287" s="2" t="s">
        <v>4308</v>
      </c>
      <c r="C1287" s="2" t="s">
        <v>12129</v>
      </c>
      <c r="K1287" s="2" t="s">
        <v>4309</v>
      </c>
      <c r="O1287" s="2" t="s">
        <v>1368</v>
      </c>
    </row>
    <row r="1288" ht="15.75" customHeight="1">
      <c r="A1288" s="2">
        <v>2011.0</v>
      </c>
      <c r="B1288" s="2" t="s">
        <v>4509</v>
      </c>
      <c r="C1288" s="2" t="s">
        <v>12129</v>
      </c>
      <c r="K1288" s="2" t="s">
        <v>4510</v>
      </c>
      <c r="L1288" s="2" t="s">
        <v>4513</v>
      </c>
      <c r="O1288" s="2" t="s">
        <v>1368</v>
      </c>
    </row>
    <row r="1289" ht="15.75" customHeight="1">
      <c r="A1289" s="2">
        <v>2007.0</v>
      </c>
      <c r="B1289" s="2" t="s">
        <v>4077</v>
      </c>
      <c r="C1289" s="2" t="s">
        <v>12129</v>
      </c>
      <c r="K1289" s="2" t="s">
        <v>4078</v>
      </c>
      <c r="L1289" s="2" t="s">
        <v>4079</v>
      </c>
      <c r="O1289" s="2" t="s">
        <v>1368</v>
      </c>
    </row>
    <row r="1290" ht="15.75" customHeight="1">
      <c r="A1290" s="2">
        <v>2016.0</v>
      </c>
      <c r="B1290" s="2" t="s">
        <v>4501</v>
      </c>
      <c r="C1290" s="2" t="s">
        <v>12129</v>
      </c>
      <c r="K1290" s="2" t="s">
        <v>4502</v>
      </c>
      <c r="O1290" s="2" t="s">
        <v>1368</v>
      </c>
    </row>
    <row r="1291" ht="15.75" customHeight="1">
      <c r="A1291" s="2">
        <v>2015.0</v>
      </c>
      <c r="B1291" s="2" t="s">
        <v>11048</v>
      </c>
      <c r="C1291" s="2" t="s">
        <v>15399</v>
      </c>
      <c r="G1291" s="2" t="s">
        <v>15399</v>
      </c>
      <c r="K1291" s="2" t="s">
        <v>11049</v>
      </c>
      <c r="L1291" s="2" t="s">
        <v>395</v>
      </c>
      <c r="N1291" s="2" t="s">
        <v>15399</v>
      </c>
      <c r="O1291" s="2" t="s">
        <v>1368</v>
      </c>
    </row>
    <row r="1292" ht="15.75" customHeight="1">
      <c r="A1292" s="2">
        <v>2017.0</v>
      </c>
      <c r="B1292" s="2" t="s">
        <v>4300</v>
      </c>
      <c r="C1292" s="2" t="s">
        <v>12129</v>
      </c>
      <c r="K1292" s="2" t="s">
        <v>4301</v>
      </c>
      <c r="O1292" s="2" t="s">
        <v>1368</v>
      </c>
    </row>
    <row r="1293" ht="15.75" customHeight="1">
      <c r="A1293" s="2">
        <v>2014.0</v>
      </c>
      <c r="B1293" s="2" t="s">
        <v>4494</v>
      </c>
      <c r="C1293" s="2" t="s">
        <v>12129</v>
      </c>
      <c r="K1293" s="2" t="s">
        <v>4495</v>
      </c>
      <c r="L1293" s="2" t="s">
        <v>4497</v>
      </c>
      <c r="O1293" s="2" t="s">
        <v>1368</v>
      </c>
    </row>
    <row r="1294" ht="15.75" customHeight="1">
      <c r="A1294" s="2">
        <v>2016.0</v>
      </c>
      <c r="B1294" s="2" t="s">
        <v>10406</v>
      </c>
      <c r="C1294" s="2" t="s">
        <v>15399</v>
      </c>
      <c r="I1294" s="2" t="s">
        <v>15399</v>
      </c>
      <c r="K1294" s="2" t="s">
        <v>10407</v>
      </c>
      <c r="L1294" s="2" t="s">
        <v>95</v>
      </c>
      <c r="N1294" s="2" t="s">
        <v>15399</v>
      </c>
      <c r="O1294" s="2" t="s">
        <v>1368</v>
      </c>
    </row>
    <row r="1295" ht="15.75" customHeight="1">
      <c r="A1295" s="2">
        <v>1993.0</v>
      </c>
      <c r="B1295" s="2" t="s">
        <v>4484</v>
      </c>
      <c r="C1295" s="2" t="s">
        <v>12129</v>
      </c>
      <c r="K1295" s="2" t="s">
        <v>4485</v>
      </c>
      <c r="O1295" s="2" t="s">
        <v>1368</v>
      </c>
    </row>
    <row r="1296" ht="15.75" customHeight="1">
      <c r="A1296" s="2">
        <v>2014.0</v>
      </c>
      <c r="B1296" s="2" t="s">
        <v>4320</v>
      </c>
      <c r="C1296" s="2" t="s">
        <v>12129</v>
      </c>
      <c r="K1296" s="2" t="s">
        <v>4321</v>
      </c>
      <c r="O1296" s="2" t="s">
        <v>1368</v>
      </c>
    </row>
    <row r="1297" ht="15.75" customHeight="1">
      <c r="A1297" s="2">
        <v>2016.0</v>
      </c>
      <c r="B1297" s="2" t="s">
        <v>2265</v>
      </c>
      <c r="C1297" s="2" t="s">
        <v>15399</v>
      </c>
      <c r="I1297" s="2" t="s">
        <v>15399</v>
      </c>
      <c r="K1297" s="2" t="s">
        <v>2266</v>
      </c>
      <c r="L1297" s="2" t="s">
        <v>2268</v>
      </c>
      <c r="O1297" s="2" t="s">
        <v>1368</v>
      </c>
    </row>
    <row r="1298" ht="15.75" customHeight="1">
      <c r="A1298" s="2">
        <v>2009.0</v>
      </c>
      <c r="B1298" s="2" t="s">
        <v>4335</v>
      </c>
      <c r="C1298" s="2" t="s">
        <v>12129</v>
      </c>
      <c r="K1298" s="2" t="s">
        <v>4336</v>
      </c>
      <c r="O1298" s="2" t="s">
        <v>1368</v>
      </c>
    </row>
    <row r="1299" ht="15.75" customHeight="1">
      <c r="A1299" s="2">
        <v>2013.0</v>
      </c>
      <c r="B1299" s="2" t="s">
        <v>3998</v>
      </c>
      <c r="C1299" s="2" t="s">
        <v>12129</v>
      </c>
      <c r="K1299" s="2" t="s">
        <v>3999</v>
      </c>
      <c r="L1299" s="2" t="s">
        <v>4000</v>
      </c>
      <c r="O1299" s="2" t="s">
        <v>1368</v>
      </c>
    </row>
    <row r="1300" ht="15.75" customHeight="1">
      <c r="A1300" s="2">
        <v>2008.0</v>
      </c>
      <c r="B1300" s="2" t="s">
        <v>4238</v>
      </c>
      <c r="C1300" s="2" t="s">
        <v>12129</v>
      </c>
      <c r="K1300" s="2" t="s">
        <v>4239</v>
      </c>
      <c r="L1300" s="2" t="s">
        <v>4240</v>
      </c>
      <c r="O1300" s="2" t="s">
        <v>1368</v>
      </c>
    </row>
    <row r="1301" ht="15.75" customHeight="1">
      <c r="A1301" s="2">
        <v>2004.0</v>
      </c>
      <c r="B1301" s="2" t="s">
        <v>8547</v>
      </c>
      <c r="C1301" s="2" t="s">
        <v>12129</v>
      </c>
      <c r="K1301" s="2" t="s">
        <v>8548</v>
      </c>
      <c r="O1301" s="2" t="s">
        <v>1368</v>
      </c>
    </row>
    <row r="1302" ht="15.75" customHeight="1">
      <c r="A1302" s="2">
        <v>2016.0</v>
      </c>
      <c r="B1302" s="2" t="s">
        <v>8624</v>
      </c>
      <c r="C1302" s="2" t="s">
        <v>12129</v>
      </c>
      <c r="K1302" s="2" t="s">
        <v>8625</v>
      </c>
      <c r="L1302" s="2" t="s">
        <v>8626</v>
      </c>
      <c r="O1302" s="2" t="s">
        <v>1368</v>
      </c>
    </row>
    <row r="1303" ht="15.75" customHeight="1">
      <c r="A1303" s="2">
        <v>2014.0</v>
      </c>
      <c r="B1303" s="2" t="s">
        <v>8619</v>
      </c>
      <c r="C1303" s="2" t="s">
        <v>12129</v>
      </c>
      <c r="K1303" s="2" t="s">
        <v>8620</v>
      </c>
      <c r="L1303" s="2" t="s">
        <v>8621</v>
      </c>
      <c r="O1303" s="2" t="s">
        <v>1368</v>
      </c>
    </row>
    <row r="1304" ht="15.75" customHeight="1">
      <c r="A1304" s="2">
        <v>2018.0</v>
      </c>
      <c r="B1304" s="2" t="s">
        <v>6930</v>
      </c>
      <c r="C1304" s="2" t="s">
        <v>15399</v>
      </c>
      <c r="I1304" s="2" t="s">
        <v>15399</v>
      </c>
      <c r="K1304" s="2" t="s">
        <v>6931</v>
      </c>
      <c r="L1304" s="2" t="s">
        <v>45</v>
      </c>
      <c r="N1304" s="2" t="s">
        <v>15399</v>
      </c>
      <c r="O1304" s="2" t="s">
        <v>1368</v>
      </c>
    </row>
    <row r="1305" ht="15.75" customHeight="1">
      <c r="A1305" s="2">
        <v>2011.0</v>
      </c>
      <c r="B1305" s="2" t="s">
        <v>2449</v>
      </c>
      <c r="C1305" s="2" t="s">
        <v>15399</v>
      </c>
      <c r="E1305" s="2" t="s">
        <v>15399</v>
      </c>
      <c r="K1305" s="2" t="s">
        <v>2450</v>
      </c>
      <c r="L1305" s="2" t="s">
        <v>2453</v>
      </c>
      <c r="O1305" s="2" t="s">
        <v>1368</v>
      </c>
    </row>
    <row r="1306" ht="15.75" customHeight="1">
      <c r="A1306" s="2">
        <v>2003.0</v>
      </c>
      <c r="B1306" s="2" t="s">
        <v>8643</v>
      </c>
      <c r="C1306" s="2" t="s">
        <v>12129</v>
      </c>
      <c r="K1306" s="2" t="s">
        <v>8644</v>
      </c>
      <c r="L1306" s="2" t="s">
        <v>8646</v>
      </c>
      <c r="O1306" s="2" t="s">
        <v>1368</v>
      </c>
    </row>
    <row r="1307" ht="15.75" customHeight="1">
      <c r="A1307" s="2">
        <v>2007.0</v>
      </c>
      <c r="B1307" s="2" t="s">
        <v>8348</v>
      </c>
      <c r="C1307" s="2" t="s">
        <v>12129</v>
      </c>
      <c r="K1307" s="2" t="s">
        <v>8349</v>
      </c>
      <c r="L1307" s="2" t="s">
        <v>8350</v>
      </c>
      <c r="O1307" s="2" t="s">
        <v>1368</v>
      </c>
    </row>
    <row r="1308" ht="15.75" customHeight="1">
      <c r="A1308" s="2">
        <v>2008.0</v>
      </c>
      <c r="B1308" s="2" t="s">
        <v>8281</v>
      </c>
      <c r="C1308" s="2" t="s">
        <v>12129</v>
      </c>
      <c r="K1308" s="2" t="s">
        <v>8282</v>
      </c>
      <c r="O1308" s="2" t="s">
        <v>1368</v>
      </c>
    </row>
    <row r="1309" ht="15.75" customHeight="1">
      <c r="A1309" s="2">
        <v>1994.0</v>
      </c>
      <c r="B1309" s="2" t="s">
        <v>8274</v>
      </c>
      <c r="C1309" s="2" t="s">
        <v>12129</v>
      </c>
      <c r="K1309" s="2" t="s">
        <v>8275</v>
      </c>
      <c r="L1309" s="2" t="s">
        <v>8276</v>
      </c>
      <c r="O1309" s="2" t="s">
        <v>1368</v>
      </c>
    </row>
    <row r="1310" ht="15.75" customHeight="1">
      <c r="A1310" s="2">
        <v>1992.0</v>
      </c>
      <c r="B1310" s="2" t="s">
        <v>8267</v>
      </c>
      <c r="C1310" s="2" t="s">
        <v>12129</v>
      </c>
      <c r="K1310" s="2" t="s">
        <v>8268</v>
      </c>
      <c r="L1310" s="2" t="s">
        <v>8269</v>
      </c>
      <c r="O1310" s="2" t="s">
        <v>1368</v>
      </c>
    </row>
    <row r="1311" ht="15.75" customHeight="1">
      <c r="A1311" s="2">
        <v>2012.0</v>
      </c>
      <c r="B1311" s="2" t="s">
        <v>8638</v>
      </c>
      <c r="C1311" s="2" t="s">
        <v>12129</v>
      </c>
      <c r="K1311" s="2" t="s">
        <v>8639</v>
      </c>
      <c r="L1311" s="2" t="s">
        <v>8640</v>
      </c>
      <c r="O1311" s="2" t="s">
        <v>1368</v>
      </c>
    </row>
    <row r="1312" ht="15.75" customHeight="1">
      <c r="A1312" s="2">
        <v>2010.0</v>
      </c>
      <c r="B1312" s="2" t="s">
        <v>8433</v>
      </c>
      <c r="C1312" s="2" t="s">
        <v>12129</v>
      </c>
      <c r="K1312" s="2" t="s">
        <v>8434</v>
      </c>
      <c r="L1312" s="2" t="s">
        <v>8436</v>
      </c>
      <c r="O1312" s="2" t="s">
        <v>1872</v>
      </c>
    </row>
    <row r="1313" ht="15.75" customHeight="1">
      <c r="A1313" s="2">
        <v>2010.0</v>
      </c>
      <c r="B1313" s="2" t="s">
        <v>4990</v>
      </c>
      <c r="C1313" s="2" t="s">
        <v>15399</v>
      </c>
      <c r="G1313" s="2" t="s">
        <v>15399</v>
      </c>
      <c r="K1313" s="2" t="s">
        <v>870</v>
      </c>
      <c r="L1313" s="2" t="s">
        <v>873</v>
      </c>
      <c r="M1313" s="2" t="s">
        <v>15399</v>
      </c>
      <c r="N1313" s="2" t="s">
        <v>15399</v>
      </c>
      <c r="O1313" s="2" t="s">
        <v>1368</v>
      </c>
    </row>
    <row r="1314" ht="15.75" customHeight="1">
      <c r="A1314" s="2">
        <v>2018.0</v>
      </c>
      <c r="B1314" s="2" t="s">
        <v>8672</v>
      </c>
      <c r="C1314" s="2" t="s">
        <v>12129</v>
      </c>
      <c r="K1314" s="2" t="s">
        <v>8673</v>
      </c>
      <c r="L1314" s="2" t="s">
        <v>8675</v>
      </c>
      <c r="O1314" s="2" t="s">
        <v>1368</v>
      </c>
    </row>
    <row r="1315" ht="15.75" customHeight="1">
      <c r="A1315" s="2">
        <v>2012.0</v>
      </c>
      <c r="B1315" s="2" t="s">
        <v>8444</v>
      </c>
      <c r="C1315" s="2" t="s">
        <v>12129</v>
      </c>
      <c r="K1315" s="2" t="s">
        <v>8445</v>
      </c>
      <c r="L1315" s="2" t="s">
        <v>8446</v>
      </c>
      <c r="O1315" s="2" t="s">
        <v>1872</v>
      </c>
    </row>
    <row r="1316" ht="15.75" customHeight="1">
      <c r="A1316" s="2">
        <v>2004.0</v>
      </c>
      <c r="B1316" s="2" t="s">
        <v>8669</v>
      </c>
      <c r="C1316" s="2" t="s">
        <v>12129</v>
      </c>
      <c r="K1316" s="2" t="s">
        <v>8670</v>
      </c>
      <c r="O1316" s="2" t="s">
        <v>1368</v>
      </c>
    </row>
    <row r="1317" ht="15.75" customHeight="1">
      <c r="A1317" s="2">
        <v>2011.0</v>
      </c>
      <c r="B1317" s="2" t="s">
        <v>8368</v>
      </c>
      <c r="C1317" s="2" t="s">
        <v>12129</v>
      </c>
      <c r="K1317" s="2" t="s">
        <v>8369</v>
      </c>
      <c r="L1317" s="2" t="s">
        <v>8370</v>
      </c>
      <c r="O1317" s="2" t="s">
        <v>1368</v>
      </c>
    </row>
    <row r="1318" ht="15.75" customHeight="1">
      <c r="A1318" s="2">
        <v>1977.0</v>
      </c>
      <c r="B1318" s="2" t="s">
        <v>8662</v>
      </c>
      <c r="C1318" s="2" t="s">
        <v>12129</v>
      </c>
      <c r="K1318" s="2" t="s">
        <v>8663</v>
      </c>
      <c r="O1318" s="2" t="s">
        <v>1368</v>
      </c>
    </row>
    <row r="1319" ht="15.75" customHeight="1">
      <c r="A1319" s="2">
        <v>2015.0</v>
      </c>
      <c r="B1319" s="2" t="s">
        <v>8657</v>
      </c>
      <c r="C1319" s="2" t="s">
        <v>12129</v>
      </c>
      <c r="K1319" s="2" t="s">
        <v>8658</v>
      </c>
      <c r="L1319" s="2" t="s">
        <v>8659</v>
      </c>
      <c r="O1319" s="2" t="s">
        <v>1368</v>
      </c>
    </row>
    <row r="1320" ht="15.75" customHeight="1">
      <c r="A1320" s="2">
        <v>2009.0</v>
      </c>
      <c r="B1320" s="2" t="s">
        <v>8654</v>
      </c>
      <c r="C1320" s="2" t="s">
        <v>12129</v>
      </c>
      <c r="K1320" s="2" t="s">
        <v>8655</v>
      </c>
      <c r="O1320" s="2" t="s">
        <v>1368</v>
      </c>
    </row>
    <row r="1321" ht="15.75" customHeight="1">
      <c r="A1321" s="2">
        <v>1998.0</v>
      </c>
      <c r="B1321" s="2" t="s">
        <v>8649</v>
      </c>
      <c r="C1321" s="2" t="s">
        <v>12129</v>
      </c>
      <c r="K1321" s="2" t="s">
        <v>8650</v>
      </c>
      <c r="L1321" s="2" t="s">
        <v>8651</v>
      </c>
      <c r="O1321" s="2" t="s">
        <v>1368</v>
      </c>
    </row>
    <row r="1322" ht="15.75" customHeight="1">
      <c r="A1322" s="2">
        <v>2013.0</v>
      </c>
      <c r="B1322" s="2" t="s">
        <v>8520</v>
      </c>
      <c r="C1322" s="2" t="s">
        <v>12129</v>
      </c>
      <c r="K1322" s="2" t="s">
        <v>8521</v>
      </c>
      <c r="O1322" s="2" t="s">
        <v>1368</v>
      </c>
    </row>
    <row r="1323" ht="15.75" customHeight="1">
      <c r="A1323" s="2">
        <v>1992.0</v>
      </c>
      <c r="B1323" s="2" t="s">
        <v>8193</v>
      </c>
      <c r="C1323" s="2" t="s">
        <v>12129</v>
      </c>
      <c r="K1323" s="2" t="s">
        <v>8194</v>
      </c>
      <c r="L1323" s="2" t="s">
        <v>8195</v>
      </c>
      <c r="O1323" s="2" t="s">
        <v>1368</v>
      </c>
    </row>
    <row r="1324" ht="15.75" customHeight="1">
      <c r="A1324" s="2">
        <v>2000.0</v>
      </c>
      <c r="B1324" s="2" t="s">
        <v>8679</v>
      </c>
      <c r="C1324" s="2" t="s">
        <v>12129</v>
      </c>
      <c r="K1324" s="2" t="s">
        <v>8680</v>
      </c>
      <c r="O1324" s="2" t="s">
        <v>1368</v>
      </c>
    </row>
    <row r="1325" ht="15.75" customHeight="1">
      <c r="A1325" s="2">
        <v>2010.0</v>
      </c>
      <c r="B1325" s="2" t="s">
        <v>6700</v>
      </c>
      <c r="C1325" s="2" t="s">
        <v>15399</v>
      </c>
      <c r="E1325" s="2" t="s">
        <v>15399</v>
      </c>
      <c r="K1325" s="2" t="s">
        <v>6701</v>
      </c>
      <c r="L1325" s="2" t="s">
        <v>789</v>
      </c>
      <c r="N1325" s="2" t="s">
        <v>15399</v>
      </c>
      <c r="O1325" s="2" t="s">
        <v>1621</v>
      </c>
    </row>
    <row r="1326" ht="15.75" customHeight="1">
      <c r="A1326" s="2">
        <v>2013.0</v>
      </c>
      <c r="B1326" s="2" t="s">
        <v>7703</v>
      </c>
      <c r="C1326" s="2" t="s">
        <v>15399</v>
      </c>
      <c r="G1326" s="2" t="s">
        <v>15399</v>
      </c>
      <c r="K1326" s="2" t="s">
        <v>594</v>
      </c>
      <c r="L1326" s="2" t="s">
        <v>596</v>
      </c>
      <c r="N1326" s="2" t="s">
        <v>15399</v>
      </c>
      <c r="O1326" s="2" t="s">
        <v>1368</v>
      </c>
    </row>
    <row r="1327" ht="15.75" customHeight="1">
      <c r="A1327" s="2">
        <v>2016.0</v>
      </c>
      <c r="B1327" s="2" t="s">
        <v>8375</v>
      </c>
      <c r="C1327" s="2" t="s">
        <v>12129</v>
      </c>
      <c r="K1327" s="2" t="s">
        <v>8376</v>
      </c>
      <c r="L1327" s="2" t="s">
        <v>8377</v>
      </c>
      <c r="O1327" s="2" t="s">
        <v>1368</v>
      </c>
    </row>
    <row r="1328" ht="15.75" customHeight="1">
      <c r="A1328" s="2">
        <v>1988.0</v>
      </c>
      <c r="B1328" s="2" t="s">
        <v>8694</v>
      </c>
      <c r="C1328" s="2" t="s">
        <v>12129</v>
      </c>
      <c r="K1328" s="2" t="s">
        <v>8695</v>
      </c>
      <c r="L1328" s="2" t="s">
        <v>8696</v>
      </c>
      <c r="O1328" s="2" t="s">
        <v>1368</v>
      </c>
    </row>
    <row r="1329" ht="15.75" customHeight="1">
      <c r="A1329" s="2">
        <v>2011.0</v>
      </c>
      <c r="B1329" s="2" t="s">
        <v>8516</v>
      </c>
      <c r="C1329" s="2" t="s">
        <v>12129</v>
      </c>
      <c r="K1329" s="2" t="s">
        <v>8517</v>
      </c>
      <c r="O1329" s="2" t="s">
        <v>1368</v>
      </c>
    </row>
    <row r="1330" ht="15.75" customHeight="1">
      <c r="A1330" s="2">
        <v>1994.0</v>
      </c>
      <c r="B1330" s="2" t="s">
        <v>8317</v>
      </c>
      <c r="C1330" s="2" t="s">
        <v>12129</v>
      </c>
      <c r="K1330" s="2" t="s">
        <v>8318</v>
      </c>
      <c r="L1330" s="2" t="s">
        <v>8319</v>
      </c>
      <c r="O1330" s="2" t="s">
        <v>1368</v>
      </c>
    </row>
    <row r="1331" ht="15.75" customHeight="1">
      <c r="A1331" s="2">
        <v>2014.0</v>
      </c>
      <c r="B1331" s="2" t="s">
        <v>8304</v>
      </c>
      <c r="C1331" s="2" t="s">
        <v>12129</v>
      </c>
      <c r="K1331" s="2" t="s">
        <v>8305</v>
      </c>
      <c r="O1331" s="2" t="s">
        <v>1368</v>
      </c>
    </row>
    <row r="1332" ht="15.75" customHeight="1">
      <c r="A1332" s="2">
        <v>2016.0</v>
      </c>
      <c r="B1332" s="2" t="s">
        <v>8689</v>
      </c>
      <c r="C1332" s="2" t="s">
        <v>12129</v>
      </c>
      <c r="K1332" s="2" t="s">
        <v>8690</v>
      </c>
      <c r="L1332" s="2" t="s">
        <v>8692</v>
      </c>
      <c r="O1332" s="2" t="s">
        <v>1368</v>
      </c>
    </row>
    <row r="1333" ht="15.75" customHeight="1">
      <c r="A1333" s="2">
        <v>2011.0</v>
      </c>
      <c r="B1333" s="2" t="s">
        <v>8476</v>
      </c>
      <c r="C1333" s="2" t="s">
        <v>12129</v>
      </c>
      <c r="K1333" s="2" t="s">
        <v>8477</v>
      </c>
      <c r="L1333" s="2" t="s">
        <v>8478</v>
      </c>
      <c r="O1333" s="2" t="s">
        <v>3548</v>
      </c>
    </row>
    <row r="1334" ht="15.75" customHeight="1">
      <c r="A1334" s="2">
        <v>2012.0</v>
      </c>
      <c r="B1334" s="2" t="s">
        <v>8491</v>
      </c>
      <c r="C1334" s="2" t="s">
        <v>12129</v>
      </c>
      <c r="K1334" s="2" t="s">
        <v>8492</v>
      </c>
      <c r="L1334" s="2" t="s">
        <v>8493</v>
      </c>
      <c r="O1334" s="2" t="s">
        <v>2967</v>
      </c>
    </row>
    <row r="1335" ht="15.75" customHeight="1">
      <c r="A1335" s="2">
        <v>2013.0</v>
      </c>
      <c r="B1335" s="2" t="s">
        <v>8497</v>
      </c>
      <c r="C1335" s="2" t="s">
        <v>12129</v>
      </c>
      <c r="K1335" s="2" t="s">
        <v>8498</v>
      </c>
      <c r="O1335" s="2" t="s">
        <v>2169</v>
      </c>
    </row>
    <row r="1336" ht="15.75" customHeight="1">
      <c r="A1336" s="2">
        <v>2017.0</v>
      </c>
      <c r="B1336" s="2" t="s">
        <v>8288</v>
      </c>
      <c r="C1336" s="2" t="s">
        <v>12129</v>
      </c>
      <c r="K1336" s="2" t="s">
        <v>8289</v>
      </c>
      <c r="L1336" s="2" t="s">
        <v>8291</v>
      </c>
      <c r="O1336" s="2" t="s">
        <v>1368</v>
      </c>
    </row>
    <row r="1337" ht="15.75" customHeight="1">
      <c r="A1337" s="2">
        <v>2012.0</v>
      </c>
      <c r="B1337" s="2" t="s">
        <v>8362</v>
      </c>
      <c r="C1337" s="2" t="s">
        <v>12129</v>
      </c>
      <c r="K1337" s="2" t="s">
        <v>8363</v>
      </c>
      <c r="O1337" s="2" t="s">
        <v>1368</v>
      </c>
    </row>
    <row r="1338" ht="15.75" customHeight="1">
      <c r="A1338" s="2">
        <v>2004.0</v>
      </c>
      <c r="B1338" s="2" t="s">
        <v>8214</v>
      </c>
      <c r="C1338" s="2" t="s">
        <v>12129</v>
      </c>
      <c r="K1338" s="2" t="s">
        <v>8215</v>
      </c>
      <c r="O1338" s="2" t="s">
        <v>1368</v>
      </c>
    </row>
    <row r="1339" ht="15.75" customHeight="1">
      <c r="A1339" s="2">
        <v>1992.0</v>
      </c>
      <c r="B1339" s="2" t="s">
        <v>8703</v>
      </c>
      <c r="C1339" s="2" t="s">
        <v>12129</v>
      </c>
      <c r="K1339" s="2" t="s">
        <v>8704</v>
      </c>
      <c r="O1339" s="2" t="s">
        <v>1368</v>
      </c>
    </row>
    <row r="1340" ht="15.75" customHeight="1">
      <c r="A1340" s="2">
        <v>2014.0</v>
      </c>
      <c r="B1340" s="2" t="s">
        <v>9667</v>
      </c>
      <c r="C1340" s="2" t="s">
        <v>15399</v>
      </c>
      <c r="G1340" s="2" t="s">
        <v>15399</v>
      </c>
      <c r="K1340" s="2" t="s">
        <v>449</v>
      </c>
      <c r="L1340" s="2" t="s">
        <v>451</v>
      </c>
      <c r="N1340" s="2" t="s">
        <v>15399</v>
      </c>
      <c r="O1340" s="2" t="s">
        <v>9675</v>
      </c>
    </row>
    <row r="1341" ht="15.75" customHeight="1">
      <c r="A1341" s="2">
        <v>2015.0</v>
      </c>
      <c r="B1341" s="2" t="s">
        <v>8727</v>
      </c>
      <c r="C1341" s="2" t="s">
        <v>12129</v>
      </c>
      <c r="K1341" s="2" t="s">
        <v>8728</v>
      </c>
      <c r="O1341" s="2" t="s">
        <v>1368</v>
      </c>
    </row>
    <row r="1342" ht="15.75" customHeight="1">
      <c r="A1342" s="2">
        <v>1993.0</v>
      </c>
      <c r="B1342" s="2" t="s">
        <v>8699</v>
      </c>
      <c r="C1342" s="2" t="s">
        <v>12129</v>
      </c>
      <c r="K1342" s="2" t="s">
        <v>8700</v>
      </c>
      <c r="O1342" s="2" t="s">
        <v>1368</v>
      </c>
    </row>
    <row r="1343" ht="15.75" customHeight="1">
      <c r="A1343" s="2">
        <v>2009.0</v>
      </c>
      <c r="B1343" s="2" t="s">
        <v>8562</v>
      </c>
      <c r="C1343" s="2" t="s">
        <v>12129</v>
      </c>
      <c r="K1343" s="2" t="s">
        <v>8563</v>
      </c>
      <c r="O1343" s="2" t="s">
        <v>1368</v>
      </c>
    </row>
    <row r="1344" ht="15.75" customHeight="1">
      <c r="A1344" s="2">
        <v>2017.0</v>
      </c>
      <c r="B1344" s="2" t="s">
        <v>8236</v>
      </c>
      <c r="C1344" s="2" t="s">
        <v>12129</v>
      </c>
      <c r="K1344" s="2" t="s">
        <v>8237</v>
      </c>
      <c r="L1344" s="2" t="s">
        <v>8238</v>
      </c>
      <c r="O1344" s="2" t="s">
        <v>1368</v>
      </c>
    </row>
    <row r="1345" ht="15.75" customHeight="1">
      <c r="A1345" s="2">
        <v>2008.0</v>
      </c>
      <c r="B1345" s="2" t="s">
        <v>8207</v>
      </c>
      <c r="C1345" s="2" t="s">
        <v>12129</v>
      </c>
      <c r="K1345" s="2" t="s">
        <v>8208</v>
      </c>
      <c r="L1345" s="2" t="s">
        <v>8209</v>
      </c>
      <c r="O1345" s="2" t="s">
        <v>1368</v>
      </c>
    </row>
    <row r="1346" ht="15.75" customHeight="1">
      <c r="A1346" s="2">
        <v>2017.0</v>
      </c>
      <c r="B1346" s="2" t="s">
        <v>8736</v>
      </c>
      <c r="C1346" s="2" t="s">
        <v>12129</v>
      </c>
      <c r="K1346" s="2" t="s">
        <v>8737</v>
      </c>
      <c r="L1346" s="2" t="s">
        <v>8738</v>
      </c>
      <c r="O1346" s="2" t="s">
        <v>1368</v>
      </c>
    </row>
    <row r="1347" ht="15.75" customHeight="1">
      <c r="A1347" s="2">
        <v>2007.0</v>
      </c>
      <c r="B1347" s="2" t="s">
        <v>8467</v>
      </c>
      <c r="C1347" s="2" t="s">
        <v>12129</v>
      </c>
      <c r="K1347" s="2" t="s">
        <v>8468</v>
      </c>
      <c r="O1347" s="2" t="s">
        <v>1368</v>
      </c>
    </row>
    <row r="1348" ht="15.75" customHeight="1">
      <c r="A1348" s="2">
        <v>1987.0</v>
      </c>
      <c r="B1348" s="2" t="s">
        <v>8721</v>
      </c>
      <c r="C1348" s="2" t="s">
        <v>12129</v>
      </c>
      <c r="K1348" s="2" t="s">
        <v>8722</v>
      </c>
      <c r="O1348" s="2" t="s">
        <v>1368</v>
      </c>
    </row>
    <row r="1349" ht="15.75" customHeight="1">
      <c r="A1349" s="2">
        <v>2015.0</v>
      </c>
      <c r="B1349" s="2" t="s">
        <v>5933</v>
      </c>
      <c r="C1349" s="2" t="s">
        <v>15399</v>
      </c>
      <c r="I1349" s="2" t="s">
        <v>15399</v>
      </c>
      <c r="K1349" s="2" t="s">
        <v>5934</v>
      </c>
      <c r="L1349" s="2" t="s">
        <v>364</v>
      </c>
      <c r="N1349" s="2" t="s">
        <v>15399</v>
      </c>
      <c r="O1349" s="2" t="s">
        <v>1885</v>
      </c>
    </row>
    <row r="1350" ht="15.75" customHeight="1">
      <c r="A1350" s="2">
        <v>1975.0</v>
      </c>
      <c r="B1350" s="2" t="s">
        <v>8715</v>
      </c>
      <c r="C1350" s="2" t="s">
        <v>12129</v>
      </c>
      <c r="K1350" s="2" t="s">
        <v>8716</v>
      </c>
      <c r="O1350" s="2" t="s">
        <v>1368</v>
      </c>
    </row>
    <row r="1351" ht="15.75" customHeight="1">
      <c r="A1351" s="2">
        <v>2000.0</v>
      </c>
      <c r="B1351" s="2" t="s">
        <v>8395</v>
      </c>
      <c r="C1351" s="2" t="s">
        <v>12129</v>
      </c>
      <c r="K1351" s="2" t="s">
        <v>8396</v>
      </c>
      <c r="O1351" s="2" t="s">
        <v>1368</v>
      </c>
    </row>
    <row r="1352" ht="15.75" customHeight="1">
      <c r="A1352" s="2">
        <v>2010.0</v>
      </c>
      <c r="B1352" s="2" t="s">
        <v>8730</v>
      </c>
      <c r="C1352" s="2" t="s">
        <v>12129</v>
      </c>
      <c r="K1352" s="2" t="s">
        <v>8731</v>
      </c>
      <c r="L1352" s="2" t="s">
        <v>8733</v>
      </c>
      <c r="O1352" s="2" t="s">
        <v>1368</v>
      </c>
    </row>
    <row r="1353" ht="15.75" customHeight="1">
      <c r="A1353" s="2">
        <v>2010.0</v>
      </c>
      <c r="B1353" s="2" t="s">
        <v>8171</v>
      </c>
      <c r="C1353" s="2" t="s">
        <v>15399</v>
      </c>
      <c r="H1353" s="2" t="s">
        <v>15399</v>
      </c>
      <c r="K1353" s="2" t="s">
        <v>794</v>
      </c>
      <c r="L1353" s="2" t="s">
        <v>797</v>
      </c>
      <c r="N1353" s="2" t="s">
        <v>15399</v>
      </c>
      <c r="O1353" s="2" t="s">
        <v>1368</v>
      </c>
    </row>
    <row r="1354" ht="15.75" customHeight="1">
      <c r="A1354" s="2">
        <v>2001.0</v>
      </c>
      <c r="B1354" s="2" t="s">
        <v>11954</v>
      </c>
      <c r="C1354" s="2" t="s">
        <v>15399</v>
      </c>
      <c r="E1354" s="2" t="s">
        <v>15399</v>
      </c>
      <c r="K1354" s="2" t="s">
        <v>11955</v>
      </c>
      <c r="L1354" s="2" t="s">
        <v>11956</v>
      </c>
      <c r="N1354" s="2" t="s">
        <v>15399</v>
      </c>
      <c r="O1354" s="2" t="s">
        <v>1368</v>
      </c>
    </row>
    <row r="1355" ht="15.75" customHeight="1">
      <c r="A1355" s="2">
        <v>2013.0</v>
      </c>
      <c r="B1355" s="2" t="s">
        <v>8706</v>
      </c>
      <c r="C1355" s="2" t="s">
        <v>12129</v>
      </c>
      <c r="K1355" s="2" t="s">
        <v>8707</v>
      </c>
      <c r="L1355" s="2" t="s">
        <v>8708</v>
      </c>
      <c r="O1355" s="2" t="s">
        <v>1368</v>
      </c>
    </row>
    <row r="1356" ht="15.75" customHeight="1">
      <c r="A1356" s="2">
        <v>2004.0</v>
      </c>
      <c r="B1356" s="2" t="s">
        <v>8228</v>
      </c>
      <c r="C1356" s="2" t="s">
        <v>12129</v>
      </c>
      <c r="K1356" s="2" t="s">
        <v>8229</v>
      </c>
      <c r="L1356" s="2" t="s">
        <v>8231</v>
      </c>
      <c r="O1356" s="2" t="s">
        <v>1368</v>
      </c>
    </row>
    <row r="1357" ht="15.75" customHeight="1">
      <c r="A1357" s="2">
        <v>2001.0</v>
      </c>
      <c r="B1357" s="2" t="s">
        <v>8765</v>
      </c>
      <c r="C1357" s="2" t="s">
        <v>15399</v>
      </c>
      <c r="I1357" s="2" t="s">
        <v>15399</v>
      </c>
      <c r="J1357" s="2" t="s">
        <v>15399</v>
      </c>
      <c r="K1357" s="2" t="s">
        <v>8766</v>
      </c>
      <c r="O1357" s="2" t="s">
        <v>1368</v>
      </c>
    </row>
    <row r="1358" ht="15.75" customHeight="1">
      <c r="A1358" s="2">
        <v>2006.0</v>
      </c>
      <c r="B1358" s="2" t="s">
        <v>8343</v>
      </c>
      <c r="C1358" s="2" t="s">
        <v>12129</v>
      </c>
      <c r="K1358" s="2" t="s">
        <v>8344</v>
      </c>
      <c r="L1358" s="2" t="s">
        <v>8345</v>
      </c>
      <c r="O1358" s="2" t="s">
        <v>1368</v>
      </c>
    </row>
    <row r="1359" ht="15.75" customHeight="1">
      <c r="A1359" s="2">
        <v>2003.0</v>
      </c>
      <c r="B1359" s="2" t="s">
        <v>8310</v>
      </c>
      <c r="C1359" s="2" t="s">
        <v>12129</v>
      </c>
      <c r="K1359" s="2" t="s">
        <v>8311</v>
      </c>
      <c r="L1359" s="2" t="s">
        <v>8312</v>
      </c>
      <c r="O1359" s="2" t="s">
        <v>1368</v>
      </c>
    </row>
    <row r="1360" ht="15.75" customHeight="1">
      <c r="A1360" s="2">
        <v>2010.0</v>
      </c>
      <c r="B1360" s="2" t="s">
        <v>8577</v>
      </c>
      <c r="C1360" s="2" t="s">
        <v>12129</v>
      </c>
      <c r="K1360" s="2" t="s">
        <v>8578</v>
      </c>
      <c r="L1360" s="2" t="s">
        <v>8579</v>
      </c>
      <c r="O1360" s="2" t="s">
        <v>1368</v>
      </c>
    </row>
    <row r="1361" ht="15.75" customHeight="1">
      <c r="A1361" s="2">
        <v>2017.0</v>
      </c>
      <c r="B1361" s="2" t="s">
        <v>8756</v>
      </c>
      <c r="C1361" s="2" t="s">
        <v>12129</v>
      </c>
      <c r="K1361" s="2" t="s">
        <v>8757</v>
      </c>
      <c r="L1361" s="2" t="s">
        <v>8758</v>
      </c>
      <c r="O1361" s="2" t="s">
        <v>1368</v>
      </c>
    </row>
    <row r="1362" ht="15.75" customHeight="1">
      <c r="A1362" s="2">
        <v>2007.0</v>
      </c>
      <c r="B1362" s="2" t="s">
        <v>8749</v>
      </c>
      <c r="C1362" s="2" t="s">
        <v>12129</v>
      </c>
      <c r="K1362" s="2" t="s">
        <v>8750</v>
      </c>
      <c r="L1362" s="2" t="s">
        <v>8752</v>
      </c>
      <c r="O1362" s="2" t="s">
        <v>1368</v>
      </c>
    </row>
    <row r="1363" ht="15.75" customHeight="1">
      <c r="A1363" s="2">
        <v>1996.0</v>
      </c>
      <c r="B1363" s="2" t="s">
        <v>8761</v>
      </c>
      <c r="C1363" s="2" t="s">
        <v>12129</v>
      </c>
      <c r="K1363" s="2" t="s">
        <v>8762</v>
      </c>
      <c r="O1363" s="2" t="s">
        <v>1368</v>
      </c>
    </row>
    <row r="1364" ht="15.75" customHeight="1">
      <c r="A1364" s="2">
        <v>2004.0</v>
      </c>
      <c r="B1364" s="2" t="s">
        <v>8538</v>
      </c>
      <c r="C1364" s="2" t="s">
        <v>12129</v>
      </c>
      <c r="K1364" s="2" t="s">
        <v>8539</v>
      </c>
      <c r="L1364" s="2" t="s">
        <v>8542</v>
      </c>
      <c r="O1364" s="2" t="s">
        <v>1368</v>
      </c>
    </row>
    <row r="1365" ht="15.75" customHeight="1">
      <c r="A1365" s="2">
        <v>2008.0</v>
      </c>
      <c r="B1365" s="2" t="s">
        <v>8243</v>
      </c>
      <c r="C1365" s="2" t="s">
        <v>12129</v>
      </c>
      <c r="K1365" s="2" t="s">
        <v>8244</v>
      </c>
      <c r="O1365" s="2" t="s">
        <v>1368</v>
      </c>
    </row>
    <row r="1366" ht="15.75" customHeight="1">
      <c r="A1366" s="2">
        <v>2018.0</v>
      </c>
      <c r="B1366" s="2" t="s">
        <v>8252</v>
      </c>
      <c r="C1366" s="2" t="s">
        <v>12129</v>
      </c>
      <c r="K1366" s="2" t="s">
        <v>8253</v>
      </c>
      <c r="L1366" s="2" t="s">
        <v>8255</v>
      </c>
      <c r="O1366" s="2" t="s">
        <v>1368</v>
      </c>
    </row>
    <row r="1367" ht="15.75" customHeight="1">
      <c r="A1367" s="2">
        <v>2018.0</v>
      </c>
      <c r="B1367" s="2" t="s">
        <v>8355</v>
      </c>
      <c r="C1367" s="2" t="s">
        <v>12129</v>
      </c>
      <c r="K1367" s="2" t="s">
        <v>8356</v>
      </c>
      <c r="L1367" s="2" t="s">
        <v>8357</v>
      </c>
      <c r="O1367" s="2" t="s">
        <v>1368</v>
      </c>
    </row>
    <row r="1368" ht="15.75" customHeight="1">
      <c r="A1368" s="2">
        <v>2010.0</v>
      </c>
      <c r="B1368" s="2" t="s">
        <v>8742</v>
      </c>
      <c r="C1368" s="2" t="s">
        <v>12129</v>
      </c>
      <c r="K1368" s="2" t="s">
        <v>8743</v>
      </c>
      <c r="L1368" s="2" t="s">
        <v>8745</v>
      </c>
      <c r="O1368" s="2" t="s">
        <v>1368</v>
      </c>
    </row>
    <row r="1369" ht="15.75" customHeight="1">
      <c r="A1369" s="2">
        <v>2014.0</v>
      </c>
      <c r="B1369" s="2" t="s">
        <v>8387</v>
      </c>
      <c r="C1369" s="2" t="s">
        <v>12129</v>
      </c>
      <c r="K1369" s="2" t="s">
        <v>8388</v>
      </c>
      <c r="L1369" s="2" t="s">
        <v>8390</v>
      </c>
      <c r="O1369" s="2" t="s">
        <v>1368</v>
      </c>
    </row>
    <row r="1370" ht="15.75" customHeight="1">
      <c r="A1370" s="2">
        <v>2012.0</v>
      </c>
      <c r="B1370" s="2" t="s">
        <v>8200</v>
      </c>
      <c r="C1370" s="2" t="s">
        <v>12129</v>
      </c>
      <c r="K1370" s="2" t="s">
        <v>8201</v>
      </c>
      <c r="O1370" s="2" t="s">
        <v>1368</v>
      </c>
    </row>
    <row r="1371" ht="15.75" customHeight="1">
      <c r="A1371" s="2">
        <v>2017.0</v>
      </c>
      <c r="B1371" s="2" t="s">
        <v>8813</v>
      </c>
      <c r="C1371" s="2" t="s">
        <v>12129</v>
      </c>
      <c r="K1371" s="2" t="s">
        <v>8814</v>
      </c>
      <c r="O1371" s="2" t="s">
        <v>1368</v>
      </c>
    </row>
    <row r="1372" ht="15.75" customHeight="1">
      <c r="A1372" s="2">
        <v>2012.0</v>
      </c>
      <c r="B1372" s="2" t="s">
        <v>8786</v>
      </c>
      <c r="C1372" s="2" t="s">
        <v>12129</v>
      </c>
      <c r="K1372" s="2" t="s">
        <v>8787</v>
      </c>
      <c r="L1372" s="2" t="s">
        <v>8788</v>
      </c>
      <c r="O1372" s="2" t="s">
        <v>1368</v>
      </c>
    </row>
    <row r="1373" ht="15.75" customHeight="1">
      <c r="A1373" s="2">
        <v>2011.0</v>
      </c>
      <c r="B1373" s="2" t="s">
        <v>8260</v>
      </c>
      <c r="C1373" s="2" t="s">
        <v>12129</v>
      </c>
      <c r="K1373" s="2" t="s">
        <v>8261</v>
      </c>
      <c r="L1373" s="2" t="s">
        <v>8262</v>
      </c>
      <c r="O1373" s="2" t="s">
        <v>1368</v>
      </c>
    </row>
    <row r="1374" ht="15.75" customHeight="1">
      <c r="A1374" s="2">
        <v>2004.0</v>
      </c>
      <c r="B1374" s="2" t="s">
        <v>8780</v>
      </c>
      <c r="C1374" s="2" t="s">
        <v>12129</v>
      </c>
      <c r="K1374" s="2" t="s">
        <v>8781</v>
      </c>
      <c r="L1374" s="2" t="s">
        <v>8782</v>
      </c>
      <c r="O1374" s="2" t="s">
        <v>1368</v>
      </c>
    </row>
    <row r="1375" ht="15.75" customHeight="1">
      <c r="A1375" s="2">
        <v>2002.0</v>
      </c>
      <c r="B1375" s="2" t="s">
        <v>8780</v>
      </c>
      <c r="C1375" s="2" t="s">
        <v>12129</v>
      </c>
      <c r="K1375" s="2" t="s">
        <v>8798</v>
      </c>
      <c r="L1375" s="2" t="s">
        <v>8800</v>
      </c>
      <c r="O1375" s="2" t="s">
        <v>1368</v>
      </c>
    </row>
    <row r="1376" ht="15.75" customHeight="1">
      <c r="A1376" s="2">
        <v>2002.0</v>
      </c>
      <c r="B1376" s="2" t="s">
        <v>2949</v>
      </c>
      <c r="C1376" s="2" t="s">
        <v>15399</v>
      </c>
      <c r="F1376" s="2" t="s">
        <v>15399</v>
      </c>
      <c r="I1376" s="2" t="s">
        <v>15399</v>
      </c>
      <c r="K1376" s="2" t="s">
        <v>2950</v>
      </c>
      <c r="L1376" s="2" t="s">
        <v>1207</v>
      </c>
      <c r="N1376" s="2" t="s">
        <v>15399</v>
      </c>
      <c r="O1376" s="2" t="s">
        <v>2169</v>
      </c>
    </row>
    <row r="1377" ht="15.75" customHeight="1">
      <c r="A1377" s="2">
        <v>2002.0</v>
      </c>
      <c r="B1377" s="2" t="s">
        <v>2631</v>
      </c>
      <c r="C1377" s="2" t="s">
        <v>15399</v>
      </c>
      <c r="I1377" s="2" t="s">
        <v>15399</v>
      </c>
      <c r="K1377" s="2" t="s">
        <v>2632</v>
      </c>
      <c r="L1377" s="2" t="s">
        <v>1188</v>
      </c>
      <c r="N1377" s="2" t="s">
        <v>15399</v>
      </c>
      <c r="O1377" s="2" t="s">
        <v>1368</v>
      </c>
    </row>
    <row r="1378" ht="15.75" customHeight="1">
      <c r="A1378" s="2">
        <v>2005.0</v>
      </c>
      <c r="B1378" s="2" t="s">
        <v>9938</v>
      </c>
      <c r="C1378" s="2" t="s">
        <v>15399</v>
      </c>
      <c r="E1378" s="2" t="s">
        <v>15399</v>
      </c>
      <c r="K1378" s="2" t="s">
        <v>9939</v>
      </c>
      <c r="L1378" s="2" t="s">
        <v>1102</v>
      </c>
      <c r="N1378" s="2" t="s">
        <v>15399</v>
      </c>
      <c r="O1378" s="2" t="s">
        <v>1368</v>
      </c>
    </row>
    <row r="1379" ht="15.75" customHeight="1">
      <c r="A1379" s="2">
        <v>2003.0</v>
      </c>
      <c r="B1379" s="2" t="s">
        <v>8771</v>
      </c>
      <c r="C1379" s="2" t="s">
        <v>12129</v>
      </c>
      <c r="K1379" s="2" t="s">
        <v>8772</v>
      </c>
      <c r="O1379" s="2" t="s">
        <v>1368</v>
      </c>
    </row>
    <row r="1380" ht="15.75" customHeight="1">
      <c r="A1380" s="2">
        <v>2002.0</v>
      </c>
      <c r="B1380" s="2" t="s">
        <v>8804</v>
      </c>
      <c r="C1380" s="2" t="s">
        <v>12129</v>
      </c>
      <c r="K1380" s="2" t="s">
        <v>8805</v>
      </c>
      <c r="L1380" s="2" t="s">
        <v>8808</v>
      </c>
      <c r="O1380" s="2" t="s">
        <v>1368</v>
      </c>
    </row>
    <row r="1381" ht="15.75" customHeight="1">
      <c r="A1381" s="2">
        <v>2009.0</v>
      </c>
      <c r="B1381" s="2" t="s">
        <v>6442</v>
      </c>
      <c r="C1381" s="2" t="s">
        <v>15399</v>
      </c>
      <c r="F1381" s="2" t="s">
        <v>15399</v>
      </c>
      <c r="K1381" s="2" t="s">
        <v>6443</v>
      </c>
      <c r="L1381" s="2" t="s">
        <v>977</v>
      </c>
      <c r="N1381" s="2" t="s">
        <v>15399</v>
      </c>
      <c r="O1381" s="2" t="s">
        <v>2244</v>
      </c>
    </row>
    <row r="1382" ht="15.75" customHeight="1">
      <c r="A1382" s="2">
        <v>2017.0</v>
      </c>
      <c r="B1382" s="2" t="s">
        <v>8424</v>
      </c>
      <c r="C1382" s="2" t="s">
        <v>12129</v>
      </c>
      <c r="K1382" s="2" t="s">
        <v>8425</v>
      </c>
      <c r="L1382" s="2" t="s">
        <v>8426</v>
      </c>
      <c r="O1382" s="2" t="s">
        <v>8431</v>
      </c>
    </row>
    <row r="1383" ht="15.75" customHeight="1">
      <c r="A1383" s="2">
        <v>2004.0</v>
      </c>
      <c r="B1383" s="2" t="s">
        <v>8221</v>
      </c>
      <c r="C1383" s="2" t="s">
        <v>12129</v>
      </c>
      <c r="K1383" s="2" t="s">
        <v>8222</v>
      </c>
      <c r="O1383" s="2" t="s">
        <v>1368</v>
      </c>
    </row>
    <row r="1384" ht="15.75" customHeight="1">
      <c r="A1384" s="2">
        <v>1996.0</v>
      </c>
      <c r="B1384" s="2" t="s">
        <v>8322</v>
      </c>
      <c r="C1384" s="2" t="s">
        <v>12129</v>
      </c>
      <c r="K1384" s="2" t="s">
        <v>8323</v>
      </c>
      <c r="L1384" s="2" t="s">
        <v>8324</v>
      </c>
      <c r="O1384" s="2" t="s">
        <v>1368</v>
      </c>
    </row>
    <row r="1385" ht="15.75" customHeight="1">
      <c r="A1385" s="2">
        <v>2000.0</v>
      </c>
      <c r="B1385" s="2" t="s">
        <v>8402</v>
      </c>
      <c r="C1385" s="2" t="s">
        <v>12129</v>
      </c>
      <c r="K1385" s="2" t="s">
        <v>8403</v>
      </c>
      <c r="L1385" s="2" t="s">
        <v>8406</v>
      </c>
      <c r="O1385" s="2" t="s">
        <v>1872</v>
      </c>
    </row>
    <row r="1386" ht="15.75" customHeight="1">
      <c r="A1386" s="2">
        <v>2012.0</v>
      </c>
      <c r="B1386" s="2" t="s">
        <v>8329</v>
      </c>
      <c r="C1386" s="2" t="s">
        <v>12129</v>
      </c>
      <c r="K1386" s="2" t="s">
        <v>8330</v>
      </c>
      <c r="L1386" s="2" t="s">
        <v>8331</v>
      </c>
      <c r="O1386" s="2" t="s">
        <v>1368</v>
      </c>
    </row>
    <row r="1387" ht="15.75" customHeight="1">
      <c r="A1387" s="2">
        <v>2017.0</v>
      </c>
      <c r="B1387" s="2" t="s">
        <v>8296</v>
      </c>
      <c r="C1387" s="2" t="s">
        <v>12129</v>
      </c>
      <c r="K1387" s="2" t="s">
        <v>8297</v>
      </c>
      <c r="L1387" s="2" t="s">
        <v>8299</v>
      </c>
      <c r="O1387" s="2" t="s">
        <v>1368</v>
      </c>
    </row>
    <row r="1388" ht="15.75" customHeight="1">
      <c r="A1388" s="2">
        <v>2013.0</v>
      </c>
      <c r="B1388" s="2" t="s">
        <v>8588</v>
      </c>
      <c r="C1388" s="2" t="s">
        <v>12129</v>
      </c>
      <c r="K1388" s="2" t="s">
        <v>8589</v>
      </c>
      <c r="L1388" s="2" t="s">
        <v>8590</v>
      </c>
      <c r="O1388" s="2" t="s">
        <v>1368</v>
      </c>
    </row>
    <row r="1389" ht="15.75" customHeight="1">
      <c r="A1389" s="2">
        <v>2008.0</v>
      </c>
      <c r="B1389" s="2" t="s">
        <v>8594</v>
      </c>
      <c r="C1389" s="2" t="s">
        <v>12129</v>
      </c>
      <c r="K1389" s="2" t="s">
        <v>8595</v>
      </c>
      <c r="L1389" s="2" t="s">
        <v>8596</v>
      </c>
      <c r="O1389" s="2" t="s">
        <v>1368</v>
      </c>
    </row>
    <row r="1390" ht="15.75" customHeight="1">
      <c r="A1390" s="2">
        <v>2013.0</v>
      </c>
      <c r="B1390" s="2" t="s">
        <v>8503</v>
      </c>
      <c r="C1390" s="2" t="s">
        <v>12129</v>
      </c>
      <c r="K1390" s="2" t="s">
        <v>8504</v>
      </c>
      <c r="O1390" s="2" t="s">
        <v>1621</v>
      </c>
    </row>
    <row r="1391" ht="15.75" customHeight="1">
      <c r="A1391" s="2">
        <v>2010.0</v>
      </c>
      <c r="B1391" s="2" t="s">
        <v>5012</v>
      </c>
      <c r="C1391" s="2" t="s">
        <v>15399</v>
      </c>
      <c r="H1391" s="2" t="s">
        <v>15399</v>
      </c>
      <c r="K1391" s="2" t="s">
        <v>893</v>
      </c>
      <c r="L1391" s="2" t="s">
        <v>895</v>
      </c>
      <c r="N1391" s="2" t="s">
        <v>15399</v>
      </c>
      <c r="O1391" s="2" t="s">
        <v>1368</v>
      </c>
    </row>
    <row r="1392" ht="15.75" customHeight="1">
      <c r="A1392" s="2">
        <v>2006.0</v>
      </c>
      <c r="B1392" s="2" t="s">
        <v>8568</v>
      </c>
      <c r="C1392" s="2" t="s">
        <v>12129</v>
      </c>
      <c r="K1392" s="2" t="s">
        <v>8569</v>
      </c>
      <c r="O1392" s="2" t="s">
        <v>1368</v>
      </c>
    </row>
    <row r="1393" ht="15.75" customHeight="1">
      <c r="A1393" s="2">
        <v>2016.0</v>
      </c>
      <c r="B1393" s="2" t="s">
        <v>8614</v>
      </c>
      <c r="C1393" s="2" t="s">
        <v>12129</v>
      </c>
      <c r="K1393" s="2" t="s">
        <v>8615</v>
      </c>
      <c r="L1393" s="2" t="s">
        <v>8616</v>
      </c>
      <c r="O1393" s="2" t="s">
        <v>1368</v>
      </c>
    </row>
    <row r="1394" ht="15.75" customHeight="1">
      <c r="A1394" s="2">
        <v>2008.0</v>
      </c>
      <c r="B1394" s="2" t="s">
        <v>8380</v>
      </c>
      <c r="C1394" s="2" t="s">
        <v>12129</v>
      </c>
      <c r="K1394" s="2" t="s">
        <v>8381</v>
      </c>
      <c r="L1394" s="2" t="s">
        <v>8382</v>
      </c>
      <c r="O1394" s="2" t="s">
        <v>1368</v>
      </c>
    </row>
    <row r="1395" ht="15.75" customHeight="1">
      <c r="A1395" s="2">
        <v>2008.0</v>
      </c>
      <c r="B1395" s="2" t="s">
        <v>8552</v>
      </c>
      <c r="C1395" s="2" t="s">
        <v>12129</v>
      </c>
      <c r="K1395" s="2" t="s">
        <v>8553</v>
      </c>
      <c r="L1395" s="2" t="s">
        <v>8556</v>
      </c>
      <c r="O1395" s="2" t="s">
        <v>1368</v>
      </c>
    </row>
    <row r="1396" ht="15.75" customHeight="1">
      <c r="A1396" s="2">
        <v>2009.0</v>
      </c>
      <c r="B1396" s="2" t="s">
        <v>8600</v>
      </c>
      <c r="C1396" s="2" t="s">
        <v>12129</v>
      </c>
      <c r="K1396" s="2" t="s">
        <v>8601</v>
      </c>
      <c r="L1396" s="2" t="s">
        <v>8602</v>
      </c>
      <c r="O1396" s="2" t="s">
        <v>1368</v>
      </c>
    </row>
    <row r="1397" ht="15.75" customHeight="1">
      <c r="A1397" s="2">
        <v>2011.0</v>
      </c>
      <c r="B1397" s="2" t="s">
        <v>8525</v>
      </c>
      <c r="C1397" s="2" t="s">
        <v>12129</v>
      </c>
      <c r="K1397" s="2" t="s">
        <v>8526</v>
      </c>
      <c r="L1397" s="2" t="s">
        <v>8528</v>
      </c>
      <c r="O1397" s="2" t="s">
        <v>1368</v>
      </c>
    </row>
    <row r="1398" ht="15.75" customHeight="1">
      <c r="A1398" s="2">
        <v>2015.0</v>
      </c>
      <c r="B1398" s="2" t="s">
        <v>8532</v>
      </c>
      <c r="C1398" s="2" t="s">
        <v>12129</v>
      </c>
      <c r="K1398" s="2" t="s">
        <v>8533</v>
      </c>
      <c r="L1398" s="2" t="s">
        <v>8534</v>
      </c>
      <c r="O1398" s="2" t="s">
        <v>1368</v>
      </c>
    </row>
    <row r="1399" ht="15.75" customHeight="1">
      <c r="A1399" s="2">
        <v>2001.0</v>
      </c>
      <c r="B1399" s="2" t="s">
        <v>8606</v>
      </c>
      <c r="C1399" s="2" t="s">
        <v>12129</v>
      </c>
      <c r="K1399" s="2" t="s">
        <v>8607</v>
      </c>
      <c r="L1399" s="2" t="s">
        <v>8610</v>
      </c>
      <c r="O1399" s="2" t="s">
        <v>1368</v>
      </c>
    </row>
    <row r="1400" ht="15.75" customHeight="1">
      <c r="A1400" s="2">
        <v>2015.0</v>
      </c>
      <c r="B1400" s="2" t="s">
        <v>7729</v>
      </c>
      <c r="C1400" s="2" t="s">
        <v>12129</v>
      </c>
      <c r="K1400" s="2" t="s">
        <v>7730</v>
      </c>
      <c r="O1400" s="2" t="s">
        <v>1368</v>
      </c>
    </row>
    <row r="1401" ht="15.75" customHeight="1">
      <c r="A1401" s="2">
        <v>2012.0</v>
      </c>
      <c r="B1401" s="2" t="s">
        <v>7421</v>
      </c>
      <c r="C1401" s="2" t="s">
        <v>12129</v>
      </c>
      <c r="K1401" s="2" t="s">
        <v>7422</v>
      </c>
      <c r="L1401" s="2" t="s">
        <v>7423</v>
      </c>
      <c r="O1401" s="2" t="s">
        <v>1368</v>
      </c>
    </row>
    <row r="1402" ht="15.75" customHeight="1">
      <c r="A1402" s="2">
        <v>2017.0</v>
      </c>
      <c r="B1402" s="2" t="s">
        <v>7460</v>
      </c>
      <c r="C1402" s="2" t="s">
        <v>12129</v>
      </c>
      <c r="K1402" s="2" t="s">
        <v>7461</v>
      </c>
      <c r="L1402" s="2" t="s">
        <v>7463</v>
      </c>
      <c r="O1402" s="2" t="s">
        <v>2188</v>
      </c>
    </row>
    <row r="1403" ht="15.75" customHeight="1">
      <c r="A1403" s="2">
        <v>2008.0</v>
      </c>
      <c r="B1403" s="2" t="s">
        <v>7363</v>
      </c>
      <c r="C1403" s="2" t="s">
        <v>12129</v>
      </c>
      <c r="K1403" s="2" t="s">
        <v>7364</v>
      </c>
      <c r="L1403" s="2" t="s">
        <v>7365</v>
      </c>
      <c r="O1403" s="2" t="s">
        <v>1368</v>
      </c>
    </row>
    <row r="1404" ht="15.75" customHeight="1">
      <c r="A1404" s="2">
        <v>1997.0</v>
      </c>
      <c r="B1404" s="2" t="s">
        <v>7426</v>
      </c>
      <c r="C1404" s="2" t="s">
        <v>12129</v>
      </c>
      <c r="K1404" s="2" t="s">
        <v>7427</v>
      </c>
      <c r="L1404" s="2" t="s">
        <v>7428</v>
      </c>
      <c r="O1404" s="2" t="s">
        <v>1368</v>
      </c>
    </row>
    <row r="1405" ht="15.75" customHeight="1">
      <c r="A1405" s="2">
        <v>2014.0</v>
      </c>
      <c r="B1405" s="2" t="s">
        <v>7349</v>
      </c>
      <c r="C1405" s="2" t="s">
        <v>12129</v>
      </c>
      <c r="K1405" s="2" t="s">
        <v>7350</v>
      </c>
      <c r="O1405" s="2" t="s">
        <v>1368</v>
      </c>
    </row>
    <row r="1406" ht="15.75" customHeight="1">
      <c r="A1406" s="2">
        <v>1998.0</v>
      </c>
      <c r="B1406" s="2" t="s">
        <v>7406</v>
      </c>
      <c r="C1406" s="2" t="s">
        <v>12129</v>
      </c>
      <c r="K1406" s="2" t="s">
        <v>7407</v>
      </c>
      <c r="L1406" s="2" t="s">
        <v>7408</v>
      </c>
      <c r="O1406" s="2" t="s">
        <v>1368</v>
      </c>
    </row>
    <row r="1407" ht="15.75" customHeight="1">
      <c r="A1407" s="2">
        <v>2012.0</v>
      </c>
      <c r="B1407" s="2" t="s">
        <v>7726</v>
      </c>
      <c r="C1407" s="2" t="s">
        <v>12129</v>
      </c>
      <c r="K1407" s="2" t="s">
        <v>7727</v>
      </c>
      <c r="O1407" s="2" t="s">
        <v>1368</v>
      </c>
    </row>
    <row r="1408" ht="15.75" customHeight="1">
      <c r="A1408" s="2">
        <v>2002.0</v>
      </c>
      <c r="B1408" s="2" t="s">
        <v>7759</v>
      </c>
      <c r="C1408" s="2" t="s">
        <v>12129</v>
      </c>
      <c r="K1408" s="2" t="s">
        <v>7760</v>
      </c>
      <c r="L1408" s="2" t="s">
        <v>7762</v>
      </c>
      <c r="O1408" s="2" t="s">
        <v>1368</v>
      </c>
    </row>
    <row r="1409" ht="15.75" customHeight="1">
      <c r="A1409" s="2">
        <v>2009.0</v>
      </c>
      <c r="B1409" s="2" t="s">
        <v>7766</v>
      </c>
      <c r="C1409" s="2" t="s">
        <v>12129</v>
      </c>
      <c r="K1409" s="2" t="s">
        <v>7767</v>
      </c>
      <c r="O1409" s="2" t="s">
        <v>1368</v>
      </c>
    </row>
    <row r="1410" ht="15.75" customHeight="1">
      <c r="A1410" s="2">
        <v>2011.0</v>
      </c>
      <c r="B1410" s="2" t="s">
        <v>7754</v>
      </c>
      <c r="C1410" s="2" t="s">
        <v>12129</v>
      </c>
      <c r="K1410" s="2" t="s">
        <v>7755</v>
      </c>
      <c r="L1410" s="2" t="s">
        <v>7756</v>
      </c>
      <c r="O1410" s="2" t="s">
        <v>1368</v>
      </c>
    </row>
    <row r="1411" ht="15.75" customHeight="1">
      <c r="A1411" s="2">
        <v>2007.0</v>
      </c>
      <c r="B1411" s="2" t="s">
        <v>7749</v>
      </c>
      <c r="C1411" s="2" t="s">
        <v>12129</v>
      </c>
      <c r="K1411" s="2" t="s">
        <v>7750</v>
      </c>
      <c r="O1411" s="2" t="s">
        <v>1368</v>
      </c>
    </row>
    <row r="1412" ht="15.75" customHeight="1">
      <c r="A1412" s="2">
        <v>2012.0</v>
      </c>
      <c r="B1412" s="2" t="s">
        <v>7356</v>
      </c>
      <c r="C1412" s="2" t="s">
        <v>12129</v>
      </c>
      <c r="K1412" s="2" t="s">
        <v>7357</v>
      </c>
      <c r="L1412" s="2" t="s">
        <v>7358</v>
      </c>
      <c r="O1412" s="2" t="s">
        <v>1368</v>
      </c>
    </row>
    <row r="1413" ht="15.75" customHeight="1">
      <c r="A1413" s="2">
        <v>2007.0</v>
      </c>
      <c r="B1413" s="2" t="s">
        <v>7356</v>
      </c>
      <c r="C1413" s="2" t="s">
        <v>12129</v>
      </c>
      <c r="K1413" s="2" t="s">
        <v>7501</v>
      </c>
      <c r="L1413" s="2" t="s">
        <v>7502</v>
      </c>
      <c r="O1413" s="2" t="s">
        <v>1368</v>
      </c>
    </row>
    <row r="1414" ht="15.75" customHeight="1">
      <c r="A1414" s="2">
        <v>2007.0</v>
      </c>
      <c r="B1414" s="2" t="s">
        <v>7356</v>
      </c>
      <c r="C1414" s="2" t="s">
        <v>15399</v>
      </c>
      <c r="E1414" s="2" t="s">
        <v>15399</v>
      </c>
      <c r="J1414" s="2" t="s">
        <v>15399</v>
      </c>
      <c r="K1414" s="2" t="s">
        <v>7744</v>
      </c>
      <c r="O1414" s="2" t="s">
        <v>1368</v>
      </c>
    </row>
    <row r="1415" ht="15.75" customHeight="1">
      <c r="A1415" s="2">
        <v>2003.0</v>
      </c>
      <c r="B1415" s="2" t="s">
        <v>7737</v>
      </c>
      <c r="C1415" s="2" t="s">
        <v>12129</v>
      </c>
      <c r="K1415" s="2" t="s">
        <v>7738</v>
      </c>
      <c r="O1415" s="2" t="s">
        <v>1368</v>
      </c>
    </row>
    <row r="1416" ht="15.75" customHeight="1">
      <c r="A1416" s="2">
        <v>1994.0</v>
      </c>
      <c r="B1416" s="2" t="s">
        <v>7413</v>
      </c>
      <c r="C1416" s="2" t="s">
        <v>12129</v>
      </c>
      <c r="K1416" s="2" t="s">
        <v>7414</v>
      </c>
      <c r="L1416" s="2" t="s">
        <v>7416</v>
      </c>
      <c r="O1416" s="2" t="s">
        <v>1368</v>
      </c>
    </row>
    <row r="1417" ht="15.75" customHeight="1">
      <c r="A1417" s="2">
        <v>1992.0</v>
      </c>
      <c r="B1417" s="2" t="s">
        <v>7413</v>
      </c>
      <c r="C1417" s="2" t="s">
        <v>12129</v>
      </c>
      <c r="K1417" s="2" t="s">
        <v>7734</v>
      </c>
      <c r="O1417" s="2" t="s">
        <v>1368</v>
      </c>
    </row>
    <row r="1418" ht="15.75" customHeight="1">
      <c r="A1418" s="2">
        <v>1980.0</v>
      </c>
      <c r="B1418" s="2" t="s">
        <v>7811</v>
      </c>
      <c r="C1418" s="2" t="s">
        <v>12129</v>
      </c>
      <c r="K1418" s="2" t="s">
        <v>7812</v>
      </c>
      <c r="L1418" s="2" t="s">
        <v>7813</v>
      </c>
      <c r="O1418" s="2" t="s">
        <v>1368</v>
      </c>
    </row>
    <row r="1419" ht="15.75" customHeight="1">
      <c r="A1419" s="2">
        <v>1999.0</v>
      </c>
      <c r="B1419" s="2" t="s">
        <v>7634</v>
      </c>
      <c r="C1419" s="2" t="s">
        <v>12129</v>
      </c>
      <c r="K1419" s="2" t="s">
        <v>7635</v>
      </c>
      <c r="L1419" s="2" t="s">
        <v>7636</v>
      </c>
      <c r="O1419" s="2" t="s">
        <v>1368</v>
      </c>
    </row>
    <row r="1420" ht="15.75" customHeight="1">
      <c r="A1420" s="2">
        <v>2013.0</v>
      </c>
      <c r="B1420" s="2" t="s">
        <v>7610</v>
      </c>
      <c r="C1420" s="2" t="s">
        <v>12129</v>
      </c>
      <c r="K1420" s="2" t="s">
        <v>7611</v>
      </c>
      <c r="L1420" s="2" t="s">
        <v>7612</v>
      </c>
      <c r="O1420" s="2" t="s">
        <v>1368</v>
      </c>
    </row>
    <row r="1421" ht="15.75" customHeight="1">
      <c r="A1421" s="2">
        <v>1997.0</v>
      </c>
      <c r="B1421" s="2" t="s">
        <v>7805</v>
      </c>
      <c r="C1421" s="2" t="s">
        <v>12129</v>
      </c>
      <c r="K1421" s="2" t="s">
        <v>7806</v>
      </c>
      <c r="L1421" s="2" t="s">
        <v>7808</v>
      </c>
      <c r="O1421" s="2" t="s">
        <v>1368</v>
      </c>
    </row>
    <row r="1422" ht="15.75" customHeight="1">
      <c r="A1422" s="2">
        <v>2014.0</v>
      </c>
      <c r="B1422" s="2" t="s">
        <v>7617</v>
      </c>
      <c r="C1422" s="2" t="s">
        <v>12129</v>
      </c>
      <c r="K1422" s="2" t="s">
        <v>7618</v>
      </c>
      <c r="O1422" s="2" t="s">
        <v>1368</v>
      </c>
    </row>
    <row r="1423" ht="15.75" customHeight="1">
      <c r="A1423" s="2">
        <v>1981.0</v>
      </c>
      <c r="B1423" s="2" t="s">
        <v>7779</v>
      </c>
      <c r="C1423" s="2" t="s">
        <v>12129</v>
      </c>
      <c r="K1423" s="2" t="s">
        <v>7780</v>
      </c>
      <c r="L1423" s="2" t="s">
        <v>7783</v>
      </c>
      <c r="O1423" s="2" t="s">
        <v>1368</v>
      </c>
    </row>
    <row r="1424" ht="15.75" customHeight="1">
      <c r="A1424" s="2">
        <v>2005.0</v>
      </c>
      <c r="B1424" s="2" t="s">
        <v>7511</v>
      </c>
      <c r="C1424" s="2" t="s">
        <v>12129</v>
      </c>
      <c r="K1424" s="2" t="s">
        <v>7512</v>
      </c>
      <c r="L1424" s="2" t="s">
        <v>7513</v>
      </c>
      <c r="O1424" s="2" t="s">
        <v>1368</v>
      </c>
    </row>
    <row r="1425" ht="15.75" customHeight="1">
      <c r="A1425" s="2">
        <v>2016.0</v>
      </c>
      <c r="B1425" s="2" t="s">
        <v>7433</v>
      </c>
      <c r="C1425" s="2" t="s">
        <v>12129</v>
      </c>
      <c r="K1425" s="2" t="s">
        <v>7434</v>
      </c>
      <c r="O1425" s="2" t="s">
        <v>1368</v>
      </c>
    </row>
    <row r="1426" ht="15.75" customHeight="1">
      <c r="A1426" s="2">
        <v>2015.0</v>
      </c>
      <c r="B1426" s="2" t="s">
        <v>7477</v>
      </c>
      <c r="C1426" s="2" t="s">
        <v>12129</v>
      </c>
      <c r="K1426" s="2" t="s">
        <v>7478</v>
      </c>
      <c r="L1426" s="2" t="s">
        <v>7481</v>
      </c>
      <c r="O1426" s="2" t="s">
        <v>1885</v>
      </c>
    </row>
    <row r="1427" ht="15.75" customHeight="1">
      <c r="A1427" s="2">
        <v>1995.0</v>
      </c>
      <c r="B1427" s="2" t="s">
        <v>7378</v>
      </c>
      <c r="C1427" s="2" t="s">
        <v>12129</v>
      </c>
      <c r="K1427" s="2" t="s">
        <v>7379</v>
      </c>
      <c r="L1427" s="2" t="s">
        <v>7380</v>
      </c>
      <c r="O1427" s="2" t="s">
        <v>1368</v>
      </c>
    </row>
    <row r="1428" ht="15.75" customHeight="1">
      <c r="A1428" s="2">
        <v>2018.0</v>
      </c>
      <c r="B1428" s="2" t="s">
        <v>7799</v>
      </c>
      <c r="C1428" s="2" t="s">
        <v>12129</v>
      </c>
      <c r="K1428" s="2" t="s">
        <v>7800</v>
      </c>
      <c r="L1428" s="2" t="s">
        <v>7801</v>
      </c>
      <c r="O1428" s="2" t="s">
        <v>1368</v>
      </c>
    </row>
    <row r="1429" ht="15.75" customHeight="1">
      <c r="A1429" s="2">
        <v>2017.0</v>
      </c>
      <c r="B1429" s="2" t="s">
        <v>7791</v>
      </c>
      <c r="C1429" s="2" t="s">
        <v>12129</v>
      </c>
      <c r="K1429" s="2" t="s">
        <v>7792</v>
      </c>
      <c r="L1429" s="2" t="s">
        <v>7795</v>
      </c>
      <c r="O1429" s="2" t="s">
        <v>1368</v>
      </c>
    </row>
    <row r="1430" ht="15.75" customHeight="1">
      <c r="A1430" s="2">
        <v>2010.0</v>
      </c>
      <c r="B1430" s="2" t="s">
        <v>7773</v>
      </c>
      <c r="C1430" s="2" t="s">
        <v>12129</v>
      </c>
      <c r="K1430" s="2" t="s">
        <v>7774</v>
      </c>
      <c r="L1430" s="2" t="s">
        <v>7775</v>
      </c>
      <c r="O1430" s="2" t="s">
        <v>1368</v>
      </c>
    </row>
    <row r="1431" ht="15.75" customHeight="1">
      <c r="A1431" s="2">
        <v>2006.0</v>
      </c>
      <c r="B1431" s="2" t="s">
        <v>7786</v>
      </c>
      <c r="C1431" s="2" t="s">
        <v>12129</v>
      </c>
      <c r="K1431" s="2" t="s">
        <v>7787</v>
      </c>
      <c r="L1431" s="2" t="s">
        <v>7788</v>
      </c>
      <c r="O1431" s="2" t="s">
        <v>1368</v>
      </c>
    </row>
    <row r="1432" ht="15.75" customHeight="1">
      <c r="A1432" s="2">
        <v>2013.0</v>
      </c>
      <c r="B1432" s="2" t="s">
        <v>7648</v>
      </c>
      <c r="C1432" s="2" t="s">
        <v>12129</v>
      </c>
      <c r="K1432" s="2" t="s">
        <v>7649</v>
      </c>
      <c r="O1432" s="2" t="s">
        <v>1368</v>
      </c>
    </row>
    <row r="1433" ht="15.75" customHeight="1">
      <c r="A1433" s="2">
        <v>2016.0</v>
      </c>
      <c r="B1433" s="2" t="s">
        <v>7847</v>
      </c>
      <c r="C1433" s="2" t="s">
        <v>12129</v>
      </c>
      <c r="K1433" s="2" t="s">
        <v>7848</v>
      </c>
      <c r="L1433" s="2" t="s">
        <v>7849</v>
      </c>
      <c r="O1433" s="2" t="s">
        <v>1368</v>
      </c>
    </row>
    <row r="1434" ht="15.75" customHeight="1">
      <c r="A1434" s="2">
        <v>1961.0</v>
      </c>
      <c r="B1434" s="2" t="s">
        <v>7468</v>
      </c>
      <c r="C1434" s="2" t="s">
        <v>12129</v>
      </c>
      <c r="K1434" s="2" t="s">
        <v>7469</v>
      </c>
      <c r="L1434" s="2" t="s">
        <v>7471</v>
      </c>
      <c r="O1434" s="2" t="s">
        <v>1368</v>
      </c>
    </row>
    <row r="1435" ht="15.75" customHeight="1">
      <c r="A1435" s="2">
        <v>2003.0</v>
      </c>
      <c r="B1435" s="2" t="s">
        <v>7840</v>
      </c>
      <c r="C1435" s="2" t="s">
        <v>12129</v>
      </c>
      <c r="K1435" s="2" t="s">
        <v>7841</v>
      </c>
      <c r="O1435" s="2" t="s">
        <v>1368</v>
      </c>
    </row>
    <row r="1436" ht="15.75" customHeight="1">
      <c r="A1436" s="2">
        <v>2014.0</v>
      </c>
      <c r="B1436" s="2" t="s">
        <v>7370</v>
      </c>
      <c r="C1436" s="2" t="s">
        <v>12129</v>
      </c>
      <c r="K1436" s="2" t="s">
        <v>7371</v>
      </c>
      <c r="L1436" s="2" t="s">
        <v>7373</v>
      </c>
      <c r="O1436" s="2" t="s">
        <v>1368</v>
      </c>
    </row>
    <row r="1437" ht="15.75" customHeight="1">
      <c r="A1437" s="2">
        <v>1997.0</v>
      </c>
      <c r="B1437" s="2" t="s">
        <v>4772</v>
      </c>
      <c r="C1437" s="2" t="s">
        <v>15399</v>
      </c>
      <c r="G1437" s="2" t="s">
        <v>15399</v>
      </c>
      <c r="K1437" s="2" t="s">
        <v>4773</v>
      </c>
      <c r="L1437" s="2" t="s">
        <v>4774</v>
      </c>
      <c r="O1437" s="2" t="s">
        <v>1872</v>
      </c>
    </row>
    <row r="1438" ht="15.75" customHeight="1">
      <c r="A1438" s="2">
        <v>2014.0</v>
      </c>
      <c r="B1438" s="2" t="s">
        <v>7489</v>
      </c>
      <c r="C1438" s="2" t="s">
        <v>12129</v>
      </c>
      <c r="K1438" s="2" t="s">
        <v>7490</v>
      </c>
      <c r="L1438" s="2" t="s">
        <v>7491</v>
      </c>
      <c r="O1438" s="2" t="s">
        <v>7499</v>
      </c>
    </row>
    <row r="1439" ht="15.75" customHeight="1">
      <c r="A1439" s="2">
        <v>2008.0</v>
      </c>
      <c r="B1439" s="2" t="s">
        <v>7439</v>
      </c>
      <c r="C1439" s="2" t="s">
        <v>12129</v>
      </c>
      <c r="K1439" s="2" t="s">
        <v>7440</v>
      </c>
      <c r="L1439" s="2" t="s">
        <v>7442</v>
      </c>
      <c r="O1439" s="2" t="s">
        <v>1368</v>
      </c>
    </row>
    <row r="1440" ht="15.75" customHeight="1">
      <c r="A1440" s="2">
        <v>1969.0</v>
      </c>
      <c r="B1440" s="2" t="s">
        <v>7832</v>
      </c>
      <c r="C1440" s="2" t="s">
        <v>12129</v>
      </c>
      <c r="K1440" s="2" t="s">
        <v>7833</v>
      </c>
      <c r="L1440" s="2" t="s">
        <v>7836</v>
      </c>
      <c r="O1440" s="2" t="s">
        <v>1368</v>
      </c>
    </row>
    <row r="1441" ht="15.75" customHeight="1">
      <c r="A1441" s="2">
        <v>2015.0</v>
      </c>
      <c r="B1441" s="2" t="s">
        <v>7828</v>
      </c>
      <c r="C1441" s="2" t="s">
        <v>15399</v>
      </c>
      <c r="G1441" s="2" t="s">
        <v>15399</v>
      </c>
      <c r="J1441" s="2" t="s">
        <v>15399</v>
      </c>
      <c r="K1441" s="2" t="s">
        <v>7829</v>
      </c>
      <c r="O1441" s="2" t="s">
        <v>1368</v>
      </c>
    </row>
    <row r="1442" ht="15.75" customHeight="1">
      <c r="A1442" s="2">
        <v>2002.0</v>
      </c>
      <c r="B1442" s="2" t="s">
        <v>7385</v>
      </c>
      <c r="C1442" s="2" t="s">
        <v>12129</v>
      </c>
      <c r="K1442" s="2" t="s">
        <v>7386</v>
      </c>
      <c r="O1442" s="2" t="s">
        <v>1368</v>
      </c>
    </row>
    <row r="1443" ht="15.75" customHeight="1">
      <c r="A1443" s="2">
        <v>2013.0</v>
      </c>
      <c r="B1443" s="2" t="s">
        <v>7545</v>
      </c>
      <c r="C1443" s="2" t="s">
        <v>12129</v>
      </c>
      <c r="K1443" s="2" t="s">
        <v>7546</v>
      </c>
      <c r="O1443" s="2" t="s">
        <v>1368</v>
      </c>
    </row>
    <row r="1444" ht="15.75" customHeight="1">
      <c r="A1444" s="2">
        <v>2008.0</v>
      </c>
      <c r="B1444" s="2" t="s">
        <v>7817</v>
      </c>
      <c r="C1444" s="2" t="s">
        <v>12129</v>
      </c>
      <c r="K1444" s="2" t="s">
        <v>7818</v>
      </c>
      <c r="O1444" s="2" t="s">
        <v>1368</v>
      </c>
    </row>
    <row r="1445" ht="15.75" customHeight="1">
      <c r="A1445" s="2">
        <v>2017.0</v>
      </c>
      <c r="B1445" s="2" t="s">
        <v>7392</v>
      </c>
      <c r="C1445" s="2" t="s">
        <v>12129</v>
      </c>
      <c r="K1445" s="2" t="s">
        <v>7393</v>
      </c>
      <c r="O1445" s="2" t="s">
        <v>1368</v>
      </c>
    </row>
    <row r="1446" ht="15.75" customHeight="1">
      <c r="A1446" s="2">
        <v>2014.0</v>
      </c>
      <c r="B1446" s="2" t="s">
        <v>7865</v>
      </c>
      <c r="C1446" s="2" t="s">
        <v>12129</v>
      </c>
      <c r="K1446" s="2" t="s">
        <v>7866</v>
      </c>
      <c r="L1446" s="2" t="s">
        <v>7869</v>
      </c>
      <c r="O1446" s="2" t="s">
        <v>1368</v>
      </c>
    </row>
    <row r="1447" ht="15.75" customHeight="1">
      <c r="A1447" s="2">
        <v>2011.0</v>
      </c>
      <c r="B1447" s="2" t="s">
        <v>7859</v>
      </c>
      <c r="C1447" s="2" t="s">
        <v>12129</v>
      </c>
      <c r="K1447" s="2" t="s">
        <v>7860</v>
      </c>
      <c r="L1447" s="2" t="s">
        <v>7861</v>
      </c>
      <c r="O1447" s="2" t="s">
        <v>1368</v>
      </c>
    </row>
    <row r="1448" ht="15.75" customHeight="1">
      <c r="A1448" s="2">
        <v>2005.0</v>
      </c>
      <c r="B1448" s="2" t="s">
        <v>7853</v>
      </c>
      <c r="C1448" s="2" t="s">
        <v>12129</v>
      </c>
      <c r="K1448" s="2" t="s">
        <v>7854</v>
      </c>
      <c r="L1448" s="2" t="s">
        <v>7855</v>
      </c>
      <c r="O1448" s="2" t="s">
        <v>1368</v>
      </c>
    </row>
    <row r="1449" ht="15.75" customHeight="1">
      <c r="A1449" s="2">
        <v>2015.0</v>
      </c>
      <c r="B1449" s="2" t="s">
        <v>7331</v>
      </c>
      <c r="C1449" s="2" t="s">
        <v>12129</v>
      </c>
      <c r="K1449" s="2" t="s">
        <v>7332</v>
      </c>
      <c r="L1449" s="2" t="s">
        <v>7333</v>
      </c>
      <c r="O1449" s="2" t="s">
        <v>1872</v>
      </c>
    </row>
    <row r="1450" ht="15.75" customHeight="1">
      <c r="A1450" s="2">
        <v>2016.0</v>
      </c>
      <c r="B1450" s="2" t="s">
        <v>7399</v>
      </c>
      <c r="C1450" s="2" t="s">
        <v>12129</v>
      </c>
      <c r="K1450" s="2" t="s">
        <v>7400</v>
      </c>
      <c r="L1450" s="2" t="s">
        <v>7401</v>
      </c>
      <c r="O1450" s="2" t="s">
        <v>1368</v>
      </c>
    </row>
    <row r="1451" ht="15.75" customHeight="1">
      <c r="A1451" s="2">
        <v>2011.0</v>
      </c>
      <c r="B1451" s="2" t="s">
        <v>7597</v>
      </c>
      <c r="C1451" s="2" t="s">
        <v>12129</v>
      </c>
      <c r="K1451" s="2" t="s">
        <v>7598</v>
      </c>
      <c r="L1451" s="2" t="s">
        <v>7600</v>
      </c>
      <c r="O1451" s="2" t="s">
        <v>1368</v>
      </c>
    </row>
    <row r="1452" ht="15.75" customHeight="1">
      <c r="A1452" s="2">
        <v>2007.0</v>
      </c>
      <c r="B1452" s="2" t="s">
        <v>7341</v>
      </c>
      <c r="C1452" s="2" t="s">
        <v>12129</v>
      </c>
      <c r="K1452" s="2" t="s">
        <v>7342</v>
      </c>
      <c r="L1452" s="2" t="s">
        <v>7344</v>
      </c>
      <c r="O1452" s="2" t="s">
        <v>1368</v>
      </c>
    </row>
    <row r="1453" ht="15.75" customHeight="1">
      <c r="A1453" s="2">
        <v>2016.0</v>
      </c>
      <c r="B1453" s="2" t="s">
        <v>7447</v>
      </c>
      <c r="C1453" s="2" t="s">
        <v>12129</v>
      </c>
      <c r="K1453" s="2" t="s">
        <v>7448</v>
      </c>
      <c r="O1453" s="2" t="s">
        <v>1368</v>
      </c>
    </row>
    <row r="1454" ht="15.75" customHeight="1">
      <c r="A1454" s="2">
        <v>2017.0</v>
      </c>
      <c r="B1454" s="2" t="s">
        <v>7447</v>
      </c>
      <c r="C1454" s="2" t="s">
        <v>15399</v>
      </c>
      <c r="G1454" s="2" t="s">
        <v>15399</v>
      </c>
      <c r="J1454" s="2" t="s">
        <v>15399</v>
      </c>
      <c r="K1454" s="2" t="s">
        <v>7522</v>
      </c>
      <c r="O1454" s="2" t="s">
        <v>3748</v>
      </c>
    </row>
    <row r="1455" ht="15.75" customHeight="1">
      <c r="A1455" s="2">
        <v>2016.0</v>
      </c>
      <c r="B1455" s="2" t="s">
        <v>7447</v>
      </c>
      <c r="C1455" s="2" t="s">
        <v>15399</v>
      </c>
      <c r="I1455" s="2" t="s">
        <v>15399</v>
      </c>
      <c r="J1455" s="2" t="s">
        <v>15399</v>
      </c>
      <c r="K1455" s="2" t="s">
        <v>7588</v>
      </c>
      <c r="O1455" s="2" t="s">
        <v>1368</v>
      </c>
    </row>
    <row r="1456" ht="15.75" customHeight="1">
      <c r="A1456" s="2">
        <v>2014.0</v>
      </c>
      <c r="B1456" s="2" t="s">
        <v>7447</v>
      </c>
      <c r="C1456" s="2" t="s">
        <v>12129</v>
      </c>
      <c r="K1456" s="2" t="s">
        <v>7592</v>
      </c>
      <c r="O1456" s="2" t="s">
        <v>1368</v>
      </c>
    </row>
    <row r="1457" ht="15.75" customHeight="1">
      <c r="A1457" s="2">
        <v>2012.0</v>
      </c>
      <c r="B1457" s="2" t="s">
        <v>7447</v>
      </c>
      <c r="C1457" s="2" t="s">
        <v>12129</v>
      </c>
      <c r="K1457" s="2" t="s">
        <v>7627</v>
      </c>
      <c r="O1457" s="2" t="s">
        <v>1368</v>
      </c>
    </row>
    <row r="1458" ht="15.75" customHeight="1">
      <c r="A1458" s="2">
        <v>2004.0</v>
      </c>
      <c r="B1458" s="2" t="s">
        <v>7447</v>
      </c>
      <c r="C1458" s="2" t="s">
        <v>12129</v>
      </c>
      <c r="K1458" s="2" t="s">
        <v>7631</v>
      </c>
      <c r="O1458" s="2" t="s">
        <v>1368</v>
      </c>
    </row>
    <row r="1459" ht="15.75" customHeight="1">
      <c r="A1459" s="2">
        <v>1992.0</v>
      </c>
      <c r="B1459" s="2" t="s">
        <v>7447</v>
      </c>
      <c r="C1459" s="2" t="s">
        <v>12129</v>
      </c>
      <c r="K1459" s="2" t="s">
        <v>7882</v>
      </c>
      <c r="O1459" s="2" t="s">
        <v>1368</v>
      </c>
    </row>
    <row r="1460" ht="15.75" customHeight="1">
      <c r="A1460" s="2">
        <v>1966.0</v>
      </c>
      <c r="B1460" s="2" t="s">
        <v>7447</v>
      </c>
      <c r="C1460" s="2" t="s">
        <v>12129</v>
      </c>
      <c r="K1460" s="2" t="s">
        <v>7885</v>
      </c>
      <c r="O1460" s="2" t="s">
        <v>1368</v>
      </c>
    </row>
    <row r="1461" ht="15.75" customHeight="1">
      <c r="A1461" s="2">
        <v>2009.0</v>
      </c>
      <c r="B1461" s="2" t="s">
        <v>7447</v>
      </c>
      <c r="C1461" s="2" t="s">
        <v>12129</v>
      </c>
      <c r="K1461" s="2" t="s">
        <v>7897</v>
      </c>
      <c r="O1461" s="2" t="s">
        <v>1368</v>
      </c>
    </row>
    <row r="1462" ht="15.75" customHeight="1">
      <c r="A1462" s="2">
        <v>2016.0</v>
      </c>
      <c r="B1462" s="2" t="s">
        <v>7447</v>
      </c>
      <c r="C1462" s="2" t="s">
        <v>12129</v>
      </c>
      <c r="K1462" s="2" t="s">
        <v>7903</v>
      </c>
      <c r="O1462" s="2" t="s">
        <v>1368</v>
      </c>
    </row>
    <row r="1463" ht="15.75" customHeight="1">
      <c r="A1463" s="2">
        <v>2003.0</v>
      </c>
      <c r="B1463" s="2" t="s">
        <v>7447</v>
      </c>
      <c r="C1463" s="2" t="s">
        <v>15399</v>
      </c>
      <c r="G1463" s="2" t="s">
        <v>15399</v>
      </c>
      <c r="J1463" s="2" t="s">
        <v>15399</v>
      </c>
      <c r="K1463" s="2" t="s">
        <v>7905</v>
      </c>
      <c r="O1463" s="2" t="s">
        <v>1368</v>
      </c>
    </row>
    <row r="1464" ht="15.75" customHeight="1">
      <c r="A1464" s="2">
        <v>2013.0</v>
      </c>
      <c r="B1464" s="2" t="s">
        <v>7640</v>
      </c>
      <c r="C1464" s="2" t="s">
        <v>12129</v>
      </c>
      <c r="K1464" s="2" t="s">
        <v>7641</v>
      </c>
      <c r="O1464" s="2" t="s">
        <v>1368</v>
      </c>
    </row>
    <row r="1465" ht="15.75" customHeight="1">
      <c r="A1465" s="2">
        <v>2018.0</v>
      </c>
      <c r="B1465" s="2" t="s">
        <v>7606</v>
      </c>
      <c r="C1465" s="2" t="s">
        <v>12129</v>
      </c>
      <c r="K1465" s="2" t="s">
        <v>7607</v>
      </c>
      <c r="O1465" s="2" t="s">
        <v>1368</v>
      </c>
    </row>
    <row r="1466" ht="15.75" customHeight="1">
      <c r="A1466" s="2">
        <v>2015.0</v>
      </c>
      <c r="B1466" s="2" t="s">
        <v>7584</v>
      </c>
      <c r="C1466" s="2" t="s">
        <v>15399</v>
      </c>
      <c r="G1466" s="2" t="s">
        <v>15399</v>
      </c>
      <c r="J1466" s="2" t="s">
        <v>15399</v>
      </c>
      <c r="K1466" s="2" t="s">
        <v>7585</v>
      </c>
      <c r="O1466" s="2" t="s">
        <v>1368</v>
      </c>
    </row>
    <row r="1467" ht="15.75" customHeight="1">
      <c r="A1467" s="2">
        <v>2017.0</v>
      </c>
      <c r="B1467" s="2" t="s">
        <v>7455</v>
      </c>
      <c r="C1467" s="2" t="s">
        <v>12129</v>
      </c>
      <c r="K1467" s="2" t="s">
        <v>7456</v>
      </c>
      <c r="L1467" s="2" t="s">
        <v>7457</v>
      </c>
      <c r="O1467" s="2" t="s">
        <v>1368</v>
      </c>
    </row>
    <row r="1468" ht="15.75" customHeight="1">
      <c r="A1468" s="2">
        <v>2016.0</v>
      </c>
      <c r="B1468" s="2" t="s">
        <v>7574</v>
      </c>
      <c r="C1468" s="2" t="s">
        <v>12129</v>
      </c>
      <c r="K1468" s="2" t="s">
        <v>7575</v>
      </c>
      <c r="O1468" s="2" t="s">
        <v>1368</v>
      </c>
    </row>
    <row r="1469" ht="15.75" customHeight="1">
      <c r="A1469" s="2">
        <v>2016.0</v>
      </c>
      <c r="B1469" s="2" t="s">
        <v>7574</v>
      </c>
      <c r="C1469" s="2" t="s">
        <v>12129</v>
      </c>
      <c r="K1469" s="2" t="s">
        <v>7581</v>
      </c>
      <c r="O1469" s="2" t="s">
        <v>1368</v>
      </c>
    </row>
    <row r="1470" ht="15.75" customHeight="1">
      <c r="A1470" s="2">
        <v>2014.0</v>
      </c>
      <c r="B1470" s="2" t="s">
        <v>7894</v>
      </c>
      <c r="C1470" s="2" t="s">
        <v>12129</v>
      </c>
      <c r="K1470" s="2" t="s">
        <v>7895</v>
      </c>
      <c r="O1470" s="2" t="s">
        <v>1368</v>
      </c>
    </row>
    <row r="1471" ht="15.75" customHeight="1">
      <c r="A1471" s="2">
        <v>2015.0</v>
      </c>
      <c r="B1471" s="2" t="s">
        <v>7506</v>
      </c>
      <c r="C1471" s="2" t="s">
        <v>12129</v>
      </c>
      <c r="K1471" s="2" t="s">
        <v>7507</v>
      </c>
      <c r="O1471" s="2" t="s">
        <v>1368</v>
      </c>
    </row>
    <row r="1472" ht="15.75" customHeight="1">
      <c r="A1472" s="2">
        <v>2012.0</v>
      </c>
      <c r="B1472" s="2" t="s">
        <v>7506</v>
      </c>
      <c r="C1472" s="2" t="s">
        <v>15399</v>
      </c>
      <c r="G1472" s="2" t="s">
        <v>15399</v>
      </c>
      <c r="J1472" s="2" t="s">
        <v>15399</v>
      </c>
      <c r="K1472" s="2" t="s">
        <v>7527</v>
      </c>
      <c r="O1472" s="2" t="s">
        <v>7531</v>
      </c>
    </row>
    <row r="1473" ht="15.75" customHeight="1">
      <c r="A1473" s="2">
        <v>2016.0</v>
      </c>
      <c r="B1473" s="2" t="s">
        <v>7506</v>
      </c>
      <c r="C1473" s="2" t="s">
        <v>15399</v>
      </c>
      <c r="E1473" s="2" t="s">
        <v>15399</v>
      </c>
      <c r="G1473" s="2" t="s">
        <v>15399</v>
      </c>
      <c r="J1473" s="2" t="s">
        <v>15399</v>
      </c>
      <c r="K1473" s="2" t="s">
        <v>7533</v>
      </c>
      <c r="O1473" s="2" t="s">
        <v>2238</v>
      </c>
    </row>
    <row r="1474" ht="15.75" customHeight="1">
      <c r="A1474" s="2">
        <v>2016.0</v>
      </c>
      <c r="B1474" s="2" t="s">
        <v>7506</v>
      </c>
      <c r="C1474" s="2" t="s">
        <v>15399</v>
      </c>
      <c r="E1474" s="2" t="s">
        <v>15399</v>
      </c>
      <c r="G1474" s="2" t="s">
        <v>15399</v>
      </c>
      <c r="J1474" s="2" t="s">
        <v>15399</v>
      </c>
      <c r="K1474" s="2" t="s">
        <v>7660</v>
      </c>
      <c r="O1474" s="2" t="s">
        <v>1368</v>
      </c>
    </row>
    <row r="1475" ht="15.75" customHeight="1">
      <c r="A1475" s="2">
        <v>2016.0</v>
      </c>
      <c r="B1475" s="2" t="s">
        <v>7506</v>
      </c>
      <c r="C1475" s="2" t="s">
        <v>15399</v>
      </c>
      <c r="E1475" s="2" t="s">
        <v>15399</v>
      </c>
      <c r="G1475" s="2" t="s">
        <v>15399</v>
      </c>
      <c r="J1475" s="2" t="s">
        <v>15399</v>
      </c>
      <c r="K1475" s="2" t="s">
        <v>7664</v>
      </c>
      <c r="O1475" s="2" t="s">
        <v>1368</v>
      </c>
    </row>
    <row r="1476" ht="15.75" customHeight="1">
      <c r="A1476" s="2">
        <v>2016.0</v>
      </c>
      <c r="B1476" s="2" t="s">
        <v>7506</v>
      </c>
      <c r="C1476" s="2" t="s">
        <v>15399</v>
      </c>
      <c r="E1476" s="2" t="s">
        <v>15399</v>
      </c>
      <c r="G1476" s="2" t="s">
        <v>15399</v>
      </c>
      <c r="J1476" s="2" t="s">
        <v>15399</v>
      </c>
      <c r="K1476" s="2" t="s">
        <v>7667</v>
      </c>
      <c r="O1476" s="2" t="s">
        <v>1368</v>
      </c>
    </row>
    <row r="1477" ht="15.75" customHeight="1">
      <c r="A1477" s="2">
        <v>2016.0</v>
      </c>
      <c r="B1477" s="2" t="s">
        <v>7506</v>
      </c>
      <c r="C1477" s="2" t="s">
        <v>15399</v>
      </c>
      <c r="E1477" s="2" t="s">
        <v>15399</v>
      </c>
      <c r="G1477" s="2" t="s">
        <v>15399</v>
      </c>
      <c r="J1477" s="2" t="s">
        <v>15399</v>
      </c>
      <c r="K1477" s="2" t="s">
        <v>7669</v>
      </c>
      <c r="O1477" s="2" t="s">
        <v>1368</v>
      </c>
    </row>
    <row r="1478" ht="15.75" customHeight="1">
      <c r="A1478" s="2">
        <v>2016.0</v>
      </c>
      <c r="B1478" s="2" t="s">
        <v>7506</v>
      </c>
      <c r="C1478" s="2" t="s">
        <v>15399</v>
      </c>
      <c r="E1478" s="2" t="s">
        <v>15399</v>
      </c>
      <c r="G1478" s="2" t="s">
        <v>15399</v>
      </c>
      <c r="J1478" s="2" t="s">
        <v>15399</v>
      </c>
      <c r="K1478" s="2" t="s">
        <v>7671</v>
      </c>
      <c r="O1478" s="2" t="s">
        <v>1368</v>
      </c>
    </row>
    <row r="1479" ht="15.75" customHeight="1">
      <c r="A1479" s="2">
        <v>2013.0</v>
      </c>
      <c r="B1479" s="2" t="s">
        <v>7506</v>
      </c>
      <c r="C1479" s="2" t="s">
        <v>12129</v>
      </c>
      <c r="K1479" s="2" t="s">
        <v>7900</v>
      </c>
      <c r="O1479" s="2" t="s">
        <v>1368</v>
      </c>
    </row>
    <row r="1480" ht="15.75" customHeight="1">
      <c r="A1480" s="2">
        <v>2018.0</v>
      </c>
      <c r="B1480" s="2" t="s">
        <v>7539</v>
      </c>
      <c r="C1480" s="2" t="s">
        <v>12129</v>
      </c>
      <c r="K1480" s="2" t="s">
        <v>7540</v>
      </c>
      <c r="O1480" s="2" t="s">
        <v>1368</v>
      </c>
    </row>
    <row r="1481" ht="15.75" customHeight="1">
      <c r="A1481" s="2">
        <v>2016.0</v>
      </c>
      <c r="B1481" s="2" t="s">
        <v>7539</v>
      </c>
      <c r="C1481" s="2" t="s">
        <v>12129</v>
      </c>
      <c r="K1481" s="2" t="s">
        <v>7655</v>
      </c>
      <c r="O1481" s="2" t="s">
        <v>1368</v>
      </c>
    </row>
    <row r="1482" ht="15.75" customHeight="1">
      <c r="A1482" s="2">
        <v>2017.0</v>
      </c>
      <c r="B1482" s="2" t="s">
        <v>7568</v>
      </c>
      <c r="C1482" s="2" t="s">
        <v>15399</v>
      </c>
      <c r="G1482" s="2" t="s">
        <v>15399</v>
      </c>
      <c r="J1482" s="2" t="s">
        <v>15399</v>
      </c>
      <c r="K1482" s="2" t="s">
        <v>7569</v>
      </c>
      <c r="O1482" s="2" t="s">
        <v>1368</v>
      </c>
    </row>
    <row r="1483" ht="15.75" customHeight="1">
      <c r="A1483" s="2">
        <v>2015.0</v>
      </c>
      <c r="B1483" s="2" t="s">
        <v>7890</v>
      </c>
      <c r="C1483" s="2" t="s">
        <v>15399</v>
      </c>
      <c r="I1483" s="2" t="s">
        <v>15399</v>
      </c>
      <c r="J1483" s="2" t="s">
        <v>15399</v>
      </c>
      <c r="K1483" s="2" t="s">
        <v>7891</v>
      </c>
      <c r="O1483" s="2" t="s">
        <v>1368</v>
      </c>
    </row>
    <row r="1484" ht="15.75" customHeight="1">
      <c r="A1484" s="2">
        <v>2004.0</v>
      </c>
      <c r="B1484" s="2" t="s">
        <v>7697</v>
      </c>
      <c r="C1484" s="2" t="s">
        <v>12129</v>
      </c>
      <c r="K1484" s="2" t="s">
        <v>7698</v>
      </c>
      <c r="O1484" s="2" t="s">
        <v>1368</v>
      </c>
    </row>
    <row r="1485" ht="15.75" customHeight="1">
      <c r="A1485" s="2">
        <v>1996.0</v>
      </c>
      <c r="B1485" s="2" t="s">
        <v>7558</v>
      </c>
      <c r="C1485" s="2" t="s">
        <v>12129</v>
      </c>
      <c r="K1485" s="2" t="s">
        <v>7559</v>
      </c>
      <c r="L1485" s="2" t="s">
        <v>7562</v>
      </c>
      <c r="O1485" s="2" t="s">
        <v>1368</v>
      </c>
    </row>
    <row r="1486" ht="15.75" customHeight="1">
      <c r="A1486" s="2">
        <v>1998.0</v>
      </c>
      <c r="B1486" s="2" t="s">
        <v>7720</v>
      </c>
      <c r="C1486" s="2" t="s">
        <v>12129</v>
      </c>
      <c r="K1486" s="2" t="s">
        <v>7721</v>
      </c>
      <c r="L1486" s="2" t="s">
        <v>7723</v>
      </c>
      <c r="O1486" s="2" t="s">
        <v>1368</v>
      </c>
    </row>
    <row r="1487" ht="15.75" customHeight="1">
      <c r="A1487" s="2">
        <v>2011.0</v>
      </c>
      <c r="B1487" s="2" t="s">
        <v>7714</v>
      </c>
      <c r="C1487" s="2" t="s">
        <v>12129</v>
      </c>
      <c r="K1487" s="2" t="s">
        <v>7715</v>
      </c>
      <c r="L1487" s="2" t="s">
        <v>7717</v>
      </c>
      <c r="O1487" s="2" t="s">
        <v>1368</v>
      </c>
    </row>
    <row r="1488" ht="15.75" customHeight="1">
      <c r="A1488" s="2">
        <v>2018.0</v>
      </c>
      <c r="B1488" s="2" t="s">
        <v>7517</v>
      </c>
      <c r="C1488" s="2" t="s">
        <v>12129</v>
      </c>
      <c r="K1488" s="2" t="s">
        <v>7518</v>
      </c>
      <c r="O1488" s="2" t="s">
        <v>1609</v>
      </c>
    </row>
    <row r="1489" ht="15.75" customHeight="1">
      <c r="A1489" s="2">
        <v>2016.0</v>
      </c>
      <c r="B1489" s="2" t="s">
        <v>7517</v>
      </c>
      <c r="C1489" s="2" t="s">
        <v>12129</v>
      </c>
      <c r="K1489" s="2" t="s">
        <v>7623</v>
      </c>
      <c r="O1489" s="2" t="s">
        <v>1368</v>
      </c>
    </row>
    <row r="1490" ht="15.75" customHeight="1">
      <c r="A1490" s="2">
        <v>2016.0</v>
      </c>
      <c r="B1490" s="2" t="s">
        <v>7651</v>
      </c>
      <c r="C1490" s="2" t="s">
        <v>12129</v>
      </c>
      <c r="K1490" s="2" t="s">
        <v>7652</v>
      </c>
      <c r="O1490" s="2" t="s">
        <v>1368</v>
      </c>
    </row>
    <row r="1491" ht="15.75" customHeight="1">
      <c r="A1491" s="2">
        <v>2012.0</v>
      </c>
      <c r="B1491" s="2" t="s">
        <v>7645</v>
      </c>
      <c r="C1491" s="2" t="s">
        <v>12129</v>
      </c>
      <c r="K1491" s="2" t="s">
        <v>7646</v>
      </c>
      <c r="O1491" s="2" t="s">
        <v>1368</v>
      </c>
    </row>
    <row r="1492" ht="15.75" customHeight="1">
      <c r="A1492" s="2">
        <v>1993.0</v>
      </c>
      <c r="B1492" s="2" t="s">
        <v>7693</v>
      </c>
      <c r="C1492" s="2" t="s">
        <v>12129</v>
      </c>
      <c r="K1492" s="2" t="s">
        <v>7694</v>
      </c>
      <c r="O1492" s="2" t="s">
        <v>1368</v>
      </c>
    </row>
    <row r="1493" ht="15.75" customHeight="1">
      <c r="A1493" s="2">
        <v>2016.0</v>
      </c>
      <c r="B1493" s="2" t="s">
        <v>7709</v>
      </c>
      <c r="C1493" s="2" t="s">
        <v>12129</v>
      </c>
      <c r="K1493" s="2" t="s">
        <v>7710</v>
      </c>
      <c r="O1493" s="2" t="s">
        <v>1368</v>
      </c>
    </row>
    <row r="1494" ht="15.75" customHeight="1">
      <c r="A1494" s="2">
        <v>2009.0</v>
      </c>
      <c r="B1494" s="2" t="s">
        <v>7684</v>
      </c>
      <c r="C1494" s="2" t="s">
        <v>12129</v>
      </c>
      <c r="K1494" s="2" t="s">
        <v>7685</v>
      </c>
      <c r="L1494" s="2" t="s">
        <v>7688</v>
      </c>
      <c r="O1494" s="2" t="s">
        <v>1368</v>
      </c>
    </row>
    <row r="1495" ht="15.75" customHeight="1">
      <c r="A1495" s="2">
        <v>2010.0</v>
      </c>
      <c r="B1495" s="2" t="s">
        <v>7706</v>
      </c>
      <c r="C1495" s="2" t="s">
        <v>12129</v>
      </c>
      <c r="K1495" s="2" t="s">
        <v>7707</v>
      </c>
      <c r="O1495" s="2" t="s">
        <v>1368</v>
      </c>
    </row>
    <row r="1496" ht="15.75" customHeight="1">
      <c r="A1496" s="2">
        <v>2011.0</v>
      </c>
      <c r="B1496" s="2" t="s">
        <v>7873</v>
      </c>
      <c r="C1496" s="2" t="s">
        <v>12129</v>
      </c>
      <c r="K1496" s="2" t="s">
        <v>7874</v>
      </c>
      <c r="L1496" s="2" t="s">
        <v>7877</v>
      </c>
      <c r="O1496" s="2" t="s">
        <v>1368</v>
      </c>
    </row>
    <row r="1497" ht="15.75" customHeight="1">
      <c r="A1497" s="2">
        <v>2009.0</v>
      </c>
      <c r="B1497" s="2" t="s">
        <v>7679</v>
      </c>
      <c r="C1497" s="2" t="s">
        <v>12129</v>
      </c>
      <c r="K1497" s="2" t="s">
        <v>7680</v>
      </c>
      <c r="O1497" s="2" t="s">
        <v>1368</v>
      </c>
    </row>
    <row r="1498" ht="15.75" customHeight="1">
      <c r="A1498" s="2">
        <v>2012.0</v>
      </c>
      <c r="B1498" s="2" t="s">
        <v>2555</v>
      </c>
      <c r="C1498" s="2" t="s">
        <v>15399</v>
      </c>
      <c r="E1498" s="2" t="s">
        <v>15399</v>
      </c>
      <c r="K1498" s="2" t="s">
        <v>690</v>
      </c>
      <c r="L1498" s="2" t="s">
        <v>693</v>
      </c>
      <c r="M1498" s="2" t="s">
        <v>15399</v>
      </c>
      <c r="N1498" s="2" t="s">
        <v>15399</v>
      </c>
      <c r="O1498" s="2" t="s">
        <v>1368</v>
      </c>
    </row>
    <row r="1499" ht="15.75" customHeight="1">
      <c r="A1499" s="2">
        <v>1987.0</v>
      </c>
      <c r="B1499" s="2" t="s">
        <v>10529</v>
      </c>
      <c r="C1499" s="2" t="s">
        <v>15399</v>
      </c>
      <c r="E1499" s="2" t="s">
        <v>15399</v>
      </c>
      <c r="K1499" s="2" t="s">
        <v>10530</v>
      </c>
      <c r="L1499" s="2" t="s">
        <v>1270</v>
      </c>
      <c r="N1499" s="2" t="s">
        <v>15399</v>
      </c>
      <c r="O1499" s="2" t="s">
        <v>1368</v>
      </c>
    </row>
    <row r="1500" ht="15.75" customHeight="1">
      <c r="A1500" s="2">
        <v>2013.0</v>
      </c>
      <c r="B1500" s="2" t="s">
        <v>7145</v>
      </c>
      <c r="C1500" s="2" t="s">
        <v>15399</v>
      </c>
      <c r="G1500" s="2" t="s">
        <v>15399</v>
      </c>
      <c r="K1500" s="2" t="s">
        <v>7146</v>
      </c>
      <c r="L1500" s="2" t="s">
        <v>7148</v>
      </c>
      <c r="O1500" s="2" t="s">
        <v>1368</v>
      </c>
    </row>
    <row r="1501" ht="15.75" customHeight="1">
      <c r="A1501" s="2">
        <v>2016.0</v>
      </c>
      <c r="B1501" s="2" t="s">
        <v>4982</v>
      </c>
      <c r="C1501" s="2" t="s">
        <v>12129</v>
      </c>
      <c r="K1501" s="2" t="s">
        <v>4983</v>
      </c>
      <c r="L1501" s="2" t="s">
        <v>4985</v>
      </c>
      <c r="O1501" s="2" t="s">
        <v>1368</v>
      </c>
    </row>
    <row r="1502" ht="15.75" customHeight="1">
      <c r="A1502" s="2">
        <v>2014.0</v>
      </c>
      <c r="B1502" s="2" t="s">
        <v>2368</v>
      </c>
      <c r="C1502" s="2" t="s">
        <v>15399</v>
      </c>
      <c r="I1502" s="2" t="s">
        <v>15399</v>
      </c>
      <c r="K1502" s="2" t="s">
        <v>535</v>
      </c>
      <c r="L1502" s="2" t="s">
        <v>537</v>
      </c>
      <c r="N1502" s="2" t="s">
        <v>15399</v>
      </c>
      <c r="O1502" s="2" t="s">
        <v>1368</v>
      </c>
    </row>
    <row r="1503" ht="15.75" customHeight="1">
      <c r="A1503" s="2">
        <v>2017.0</v>
      </c>
      <c r="B1503" s="2" t="s">
        <v>2161</v>
      </c>
      <c r="C1503" s="2" t="s">
        <v>15399</v>
      </c>
      <c r="I1503" s="2" t="s">
        <v>15399</v>
      </c>
      <c r="K1503" s="2" t="s">
        <v>140</v>
      </c>
      <c r="L1503" s="2" t="s">
        <v>143</v>
      </c>
      <c r="N1503" s="2" t="s">
        <v>15399</v>
      </c>
      <c r="O1503" s="2" t="s">
        <v>2169</v>
      </c>
    </row>
    <row r="1504" ht="15.75" customHeight="1">
      <c r="A1504" s="2">
        <v>2010.0</v>
      </c>
      <c r="B1504" s="2" t="s">
        <v>5000</v>
      </c>
      <c r="C1504" s="2" t="s">
        <v>12129</v>
      </c>
      <c r="K1504" s="2" t="s">
        <v>5001</v>
      </c>
      <c r="L1504" s="2" t="s">
        <v>5002</v>
      </c>
      <c r="O1504" s="2" t="s">
        <v>1368</v>
      </c>
    </row>
    <row r="1505" ht="15.75" customHeight="1">
      <c r="A1505" s="2">
        <v>2007.0</v>
      </c>
      <c r="B1505" s="2" t="s">
        <v>4975</v>
      </c>
      <c r="C1505" s="2" t="s">
        <v>12129</v>
      </c>
      <c r="K1505" s="2" t="s">
        <v>4976</v>
      </c>
      <c r="L1505" s="2" t="s">
        <v>4979</v>
      </c>
      <c r="O1505" s="2" t="s">
        <v>1368</v>
      </c>
    </row>
    <row r="1506" ht="15.75" customHeight="1">
      <c r="A1506" s="2">
        <v>2007.0</v>
      </c>
      <c r="B1506" s="2" t="s">
        <v>4709</v>
      </c>
      <c r="C1506" s="2" t="s">
        <v>12129</v>
      </c>
      <c r="K1506" s="2" t="s">
        <v>4710</v>
      </c>
      <c r="L1506" s="2" t="s">
        <v>4711</v>
      </c>
      <c r="O1506" s="2" t="s">
        <v>1368</v>
      </c>
    </row>
    <row r="1507" ht="15.75" customHeight="1">
      <c r="A1507" s="2">
        <v>1995.0</v>
      </c>
      <c r="B1507" s="2" t="s">
        <v>4971</v>
      </c>
      <c r="C1507" s="2" t="s">
        <v>12129</v>
      </c>
      <c r="K1507" s="2" t="s">
        <v>4972</v>
      </c>
      <c r="O1507" s="2" t="s">
        <v>1368</v>
      </c>
    </row>
    <row r="1508" ht="15.75" customHeight="1">
      <c r="A1508" s="2">
        <v>2007.0</v>
      </c>
      <c r="B1508" s="2" t="s">
        <v>4966</v>
      </c>
      <c r="C1508" s="2" t="s">
        <v>12129</v>
      </c>
      <c r="K1508" s="2" t="s">
        <v>4967</v>
      </c>
      <c r="L1508" s="2" t="s">
        <v>4968</v>
      </c>
      <c r="O1508" s="2" t="s">
        <v>1368</v>
      </c>
    </row>
    <row r="1509" ht="15.75" customHeight="1">
      <c r="A1509" s="2">
        <v>2001.0</v>
      </c>
      <c r="B1509" s="2" t="s">
        <v>4993</v>
      </c>
      <c r="C1509" s="2" t="s">
        <v>12129</v>
      </c>
      <c r="K1509" s="2" t="s">
        <v>4994</v>
      </c>
      <c r="L1509" s="2" t="s">
        <v>4997</v>
      </c>
      <c r="O1509" s="2" t="s">
        <v>1368</v>
      </c>
    </row>
    <row r="1510" ht="15.75" customHeight="1">
      <c r="A1510" s="2">
        <v>1993.0</v>
      </c>
      <c r="B1510" s="2" t="s">
        <v>4677</v>
      </c>
      <c r="C1510" s="2" t="s">
        <v>12129</v>
      </c>
      <c r="K1510" s="2" t="s">
        <v>4678</v>
      </c>
      <c r="O1510" s="2" t="s">
        <v>1368</v>
      </c>
    </row>
    <row r="1511" ht="15.75" customHeight="1">
      <c r="A1511" s="2">
        <v>2007.0</v>
      </c>
      <c r="B1511" s="2" t="s">
        <v>5029</v>
      </c>
      <c r="C1511" s="2" t="s">
        <v>12129</v>
      </c>
      <c r="K1511" s="2" t="s">
        <v>5030</v>
      </c>
      <c r="L1511" s="2" t="s">
        <v>5031</v>
      </c>
      <c r="O1511" s="2" t="s">
        <v>1368</v>
      </c>
    </row>
    <row r="1512" ht="15.75" customHeight="1">
      <c r="A1512" s="2">
        <v>2015.0</v>
      </c>
      <c r="B1512" s="2" t="s">
        <v>9482</v>
      </c>
      <c r="C1512" s="2" t="s">
        <v>15399</v>
      </c>
      <c r="G1512" s="2" t="s">
        <v>15399</v>
      </c>
      <c r="K1512" s="2" t="s">
        <v>9483</v>
      </c>
      <c r="L1512" s="2" t="s">
        <v>427</v>
      </c>
      <c r="N1512" s="2" t="s">
        <v>15399</v>
      </c>
      <c r="O1512" s="2" t="s">
        <v>1368</v>
      </c>
    </row>
    <row r="1513" ht="15.75" customHeight="1">
      <c r="A1513" s="2">
        <v>2014.0</v>
      </c>
      <c r="B1513" s="2" t="s">
        <v>4579</v>
      </c>
      <c r="C1513" s="2" t="s">
        <v>12129</v>
      </c>
      <c r="K1513" s="2" t="s">
        <v>4580</v>
      </c>
      <c r="L1513" s="2" t="s">
        <v>4582</v>
      </c>
      <c r="O1513" s="2" t="s">
        <v>1368</v>
      </c>
    </row>
    <row r="1514" ht="15.75" customHeight="1">
      <c r="A1514" s="2">
        <v>2002.0</v>
      </c>
      <c r="B1514" s="2" t="s">
        <v>5022</v>
      </c>
      <c r="C1514" s="2" t="s">
        <v>12129</v>
      </c>
      <c r="K1514" s="2" t="s">
        <v>5023</v>
      </c>
      <c r="L1514" s="2" t="s">
        <v>5026</v>
      </c>
      <c r="O1514" s="2" t="s">
        <v>1368</v>
      </c>
    </row>
    <row r="1515" ht="15.75" customHeight="1">
      <c r="A1515" s="2">
        <v>2017.0</v>
      </c>
      <c r="B1515" s="2" t="s">
        <v>5043</v>
      </c>
      <c r="C1515" s="2" t="s">
        <v>12129</v>
      </c>
      <c r="K1515" s="2" t="s">
        <v>5044</v>
      </c>
      <c r="L1515" s="2" t="s">
        <v>5045</v>
      </c>
      <c r="O1515" s="2" t="s">
        <v>1368</v>
      </c>
    </row>
    <row r="1516" ht="15.75" customHeight="1">
      <c r="A1516" s="2">
        <v>2017.0</v>
      </c>
      <c r="B1516" s="2" t="s">
        <v>5016</v>
      </c>
      <c r="C1516" s="2" t="s">
        <v>12129</v>
      </c>
      <c r="K1516" s="2" t="s">
        <v>5017</v>
      </c>
      <c r="L1516" s="2" t="s">
        <v>5018</v>
      </c>
      <c r="O1516" s="2" t="s">
        <v>1368</v>
      </c>
    </row>
    <row r="1517" ht="15.75" customHeight="1">
      <c r="A1517" s="2">
        <v>2011.0</v>
      </c>
      <c r="B1517" s="2" t="s">
        <v>9910</v>
      </c>
      <c r="C1517" s="2" t="s">
        <v>15399</v>
      </c>
      <c r="E1517" s="2" t="s">
        <v>15399</v>
      </c>
      <c r="K1517" s="2" t="s">
        <v>9911</v>
      </c>
      <c r="L1517" s="2" t="s">
        <v>15406</v>
      </c>
      <c r="M1517" s="2" t="s">
        <v>15399</v>
      </c>
      <c r="O1517" s="2" t="s">
        <v>1368</v>
      </c>
    </row>
    <row r="1518" ht="15.75" customHeight="1">
      <c r="A1518" s="2">
        <v>2012.0</v>
      </c>
      <c r="B1518" s="2" t="s">
        <v>8954</v>
      </c>
      <c r="C1518" s="2" t="s">
        <v>15399</v>
      </c>
      <c r="I1518" s="2" t="s">
        <v>15399</v>
      </c>
      <c r="J1518" s="2" t="s">
        <v>15399</v>
      </c>
      <c r="K1518" s="2" t="s">
        <v>8955</v>
      </c>
      <c r="L1518" s="2" t="s">
        <v>685</v>
      </c>
      <c r="N1518" s="2" t="s">
        <v>15399</v>
      </c>
      <c r="O1518" s="2" t="s">
        <v>1368</v>
      </c>
    </row>
    <row r="1519" ht="15.75" customHeight="1">
      <c r="A1519" s="2">
        <v>2015.0</v>
      </c>
      <c r="B1519" s="2" t="s">
        <v>7203</v>
      </c>
      <c r="C1519" s="2" t="s">
        <v>15399</v>
      </c>
      <c r="I1519" s="2" t="s">
        <v>15399</v>
      </c>
      <c r="K1519" s="2" t="s">
        <v>7204</v>
      </c>
      <c r="L1519" s="2" t="s">
        <v>356</v>
      </c>
      <c r="N1519" s="2" t="s">
        <v>15399</v>
      </c>
      <c r="O1519" s="2" t="s">
        <v>1368</v>
      </c>
    </row>
    <row r="1520" ht="15.75" customHeight="1">
      <c r="A1520" s="2">
        <v>1997.0</v>
      </c>
      <c r="B1520" s="2" t="s">
        <v>4594</v>
      </c>
      <c r="C1520" s="2" t="s">
        <v>12129</v>
      </c>
      <c r="K1520" s="2" t="s">
        <v>4595</v>
      </c>
      <c r="L1520" s="2" t="s">
        <v>4596</v>
      </c>
      <c r="O1520" s="2" t="s">
        <v>2244</v>
      </c>
    </row>
    <row r="1521" ht="15.75" customHeight="1">
      <c r="A1521" s="2">
        <v>2006.0</v>
      </c>
      <c r="B1521" s="2" t="s">
        <v>4741</v>
      </c>
      <c r="C1521" s="2" t="s">
        <v>12129</v>
      </c>
      <c r="K1521" s="2" t="s">
        <v>4742</v>
      </c>
      <c r="L1521" s="2" t="s">
        <v>4744</v>
      </c>
      <c r="O1521" s="2" t="s">
        <v>1368</v>
      </c>
    </row>
    <row r="1522" ht="15.75" customHeight="1">
      <c r="A1522" s="2">
        <v>2011.0</v>
      </c>
      <c r="B1522" s="2" t="s">
        <v>4700</v>
      </c>
      <c r="C1522" s="2" t="s">
        <v>12129</v>
      </c>
      <c r="K1522" s="2" t="s">
        <v>4701</v>
      </c>
      <c r="L1522" s="2" t="s">
        <v>4704</v>
      </c>
      <c r="O1522" s="2" t="s">
        <v>1368</v>
      </c>
    </row>
    <row r="1523" ht="15.75" customHeight="1">
      <c r="A1523" s="2">
        <v>2007.0</v>
      </c>
      <c r="B1523" s="2" t="s">
        <v>4870</v>
      </c>
      <c r="C1523" s="2" t="s">
        <v>12129</v>
      </c>
      <c r="K1523" s="2" t="s">
        <v>4871</v>
      </c>
      <c r="L1523" s="2" t="s">
        <v>4874</v>
      </c>
      <c r="O1523" s="2" t="s">
        <v>1368</v>
      </c>
    </row>
    <row r="1524" ht="15.75" customHeight="1">
      <c r="A1524" s="2">
        <v>2014.0</v>
      </c>
      <c r="B1524" s="2" t="s">
        <v>5035</v>
      </c>
      <c r="C1524" s="2" t="s">
        <v>12129</v>
      </c>
      <c r="K1524" s="2" t="s">
        <v>5036</v>
      </c>
      <c r="O1524" s="2" t="s">
        <v>1368</v>
      </c>
    </row>
    <row r="1525" ht="15.75" customHeight="1">
      <c r="A1525" s="2">
        <v>2014.0</v>
      </c>
      <c r="B1525" s="2" t="s">
        <v>4758</v>
      </c>
      <c r="C1525" s="2" t="s">
        <v>12129</v>
      </c>
      <c r="K1525" s="2" t="s">
        <v>4759</v>
      </c>
      <c r="L1525" s="2" t="s">
        <v>4762</v>
      </c>
      <c r="O1525" s="2" t="s">
        <v>1885</v>
      </c>
    </row>
    <row r="1526" ht="15.75" customHeight="1">
      <c r="A1526" s="2">
        <v>1985.0</v>
      </c>
      <c r="B1526" s="2" t="s">
        <v>5082</v>
      </c>
      <c r="C1526" s="2" t="s">
        <v>12129</v>
      </c>
      <c r="K1526" s="2" t="s">
        <v>5083</v>
      </c>
      <c r="O1526" s="2" t="s">
        <v>1368</v>
      </c>
    </row>
    <row r="1527" ht="15.75" customHeight="1">
      <c r="A1527" s="2">
        <v>1988.0</v>
      </c>
      <c r="B1527" s="2" t="s">
        <v>4614</v>
      </c>
      <c r="C1527" s="2" t="s">
        <v>12129</v>
      </c>
      <c r="K1527" s="2" t="s">
        <v>4615</v>
      </c>
      <c r="O1527" s="2" t="s">
        <v>1368</v>
      </c>
    </row>
    <row r="1528" ht="15.75" customHeight="1">
      <c r="A1528" s="2">
        <v>2015.0</v>
      </c>
      <c r="B1528" s="2" t="s">
        <v>4734</v>
      </c>
      <c r="C1528" s="2" t="s">
        <v>12129</v>
      </c>
      <c r="K1528" s="2" t="s">
        <v>4735</v>
      </c>
      <c r="O1528" s="2" t="s">
        <v>1368</v>
      </c>
    </row>
    <row r="1529" ht="15.75" customHeight="1">
      <c r="A1529" s="2">
        <v>2000.0</v>
      </c>
      <c r="B1529" s="2" t="s">
        <v>5055</v>
      </c>
      <c r="C1529" s="2" t="s">
        <v>12129</v>
      </c>
      <c r="K1529" s="2" t="s">
        <v>5056</v>
      </c>
      <c r="L1529" s="2" t="s">
        <v>5057</v>
      </c>
      <c r="O1529" s="2" t="s">
        <v>1368</v>
      </c>
    </row>
    <row r="1530" ht="15.75" customHeight="1">
      <c r="A1530" s="2">
        <v>2013.0</v>
      </c>
      <c r="B1530" s="2" t="s">
        <v>4750</v>
      </c>
      <c r="C1530" s="2" t="s">
        <v>12129</v>
      </c>
      <c r="K1530" s="2" t="s">
        <v>4751</v>
      </c>
      <c r="L1530" s="2" t="s">
        <v>4753</v>
      </c>
      <c r="O1530" s="2" t="s">
        <v>1368</v>
      </c>
    </row>
    <row r="1531" ht="15.75" customHeight="1">
      <c r="A1531" s="2">
        <v>2014.0</v>
      </c>
      <c r="B1531" s="2" t="s">
        <v>4886</v>
      </c>
      <c r="C1531" s="2" t="s">
        <v>12129</v>
      </c>
      <c r="K1531" s="2" t="s">
        <v>4887</v>
      </c>
      <c r="O1531" s="2" t="s">
        <v>1368</v>
      </c>
    </row>
    <row r="1532" ht="15.75" customHeight="1">
      <c r="A1532" s="2">
        <v>2012.0</v>
      </c>
      <c r="B1532" s="2" t="s">
        <v>5075</v>
      </c>
      <c r="C1532" s="2" t="s">
        <v>12129</v>
      </c>
      <c r="K1532" s="2" t="s">
        <v>5076</v>
      </c>
      <c r="L1532" s="2" t="s">
        <v>5079</v>
      </c>
      <c r="O1532" s="2" t="s">
        <v>1368</v>
      </c>
    </row>
    <row r="1533" ht="15.75" customHeight="1">
      <c r="A1533" s="2">
        <v>2017.0</v>
      </c>
      <c r="B1533" s="2" t="s">
        <v>5072</v>
      </c>
      <c r="C1533" s="2" t="s">
        <v>12129</v>
      </c>
      <c r="K1533" s="2" t="s">
        <v>5073</v>
      </c>
      <c r="O1533" s="2" t="s">
        <v>1368</v>
      </c>
    </row>
    <row r="1534" ht="15.75" customHeight="1">
      <c r="A1534" s="2">
        <v>2011.0</v>
      </c>
      <c r="B1534" s="2" t="s">
        <v>5068</v>
      </c>
      <c r="C1534" s="2" t="s">
        <v>12129</v>
      </c>
      <c r="K1534" s="2" t="s">
        <v>5069</v>
      </c>
      <c r="O1534" s="2" t="s">
        <v>1368</v>
      </c>
    </row>
    <row r="1535" ht="15.75" customHeight="1">
      <c r="A1535" s="2">
        <v>2008.0</v>
      </c>
      <c r="B1535" s="2" t="s">
        <v>5061</v>
      </c>
      <c r="C1535" s="2" t="s">
        <v>12129</v>
      </c>
      <c r="K1535" s="2" t="s">
        <v>5062</v>
      </c>
      <c r="L1535" s="2" t="s">
        <v>5065</v>
      </c>
      <c r="O1535" s="2" t="s">
        <v>1368</v>
      </c>
    </row>
    <row r="1536" ht="15.75" customHeight="1">
      <c r="A1536" s="2">
        <v>2011.0</v>
      </c>
      <c r="B1536" s="2" t="s">
        <v>5099</v>
      </c>
      <c r="C1536" s="2" t="s">
        <v>12129</v>
      </c>
      <c r="K1536" s="2" t="s">
        <v>5100</v>
      </c>
      <c r="L1536" s="2" t="s">
        <v>5102</v>
      </c>
      <c r="O1536" s="2" t="s">
        <v>1368</v>
      </c>
    </row>
    <row r="1537" ht="15.75" customHeight="1">
      <c r="A1537" s="2">
        <v>1995.0</v>
      </c>
      <c r="B1537" s="2" t="s">
        <v>4653</v>
      </c>
      <c r="C1537" s="2" t="s">
        <v>12129</v>
      </c>
      <c r="K1537" s="2" t="s">
        <v>4654</v>
      </c>
      <c r="L1537" s="2" t="s">
        <v>4656</v>
      </c>
      <c r="O1537" s="2" t="s">
        <v>1368</v>
      </c>
    </row>
    <row r="1538" ht="15.75" customHeight="1">
      <c r="A1538" s="2">
        <v>2012.0</v>
      </c>
      <c r="B1538" s="2" t="s">
        <v>4645</v>
      </c>
      <c r="C1538" s="2" t="s">
        <v>12129</v>
      </c>
      <c r="K1538" s="2" t="s">
        <v>4646</v>
      </c>
      <c r="L1538" s="2" t="s">
        <v>4648</v>
      </c>
      <c r="O1538" s="2" t="s">
        <v>1368</v>
      </c>
    </row>
    <row r="1539" ht="15.75" customHeight="1">
      <c r="A1539" s="2">
        <v>2014.0</v>
      </c>
      <c r="B1539" s="2" t="s">
        <v>4628</v>
      </c>
      <c r="C1539" s="2" t="s">
        <v>12129</v>
      </c>
      <c r="K1539" s="2" t="s">
        <v>4629</v>
      </c>
      <c r="L1539" s="2" t="s">
        <v>4631</v>
      </c>
      <c r="O1539" s="2" t="s">
        <v>1368</v>
      </c>
    </row>
    <row r="1540" ht="15.75" customHeight="1">
      <c r="A1540" s="2">
        <v>2014.0</v>
      </c>
      <c r="B1540" s="2" t="s">
        <v>5092</v>
      </c>
      <c r="C1540" s="2" t="s">
        <v>12129</v>
      </c>
      <c r="K1540" s="2" t="s">
        <v>5093</v>
      </c>
      <c r="L1540" s="2" t="s">
        <v>5096</v>
      </c>
      <c r="O1540" s="2" t="s">
        <v>1368</v>
      </c>
    </row>
    <row r="1541" ht="15.75" customHeight="1">
      <c r="A1541" s="2">
        <v>2007.0</v>
      </c>
      <c r="B1541" s="2" t="s">
        <v>5087</v>
      </c>
      <c r="C1541" s="2" t="s">
        <v>12129</v>
      </c>
      <c r="K1541" s="2" t="s">
        <v>5088</v>
      </c>
      <c r="L1541" s="2" t="s">
        <v>5089</v>
      </c>
      <c r="O1541" s="2" t="s">
        <v>1368</v>
      </c>
    </row>
    <row r="1542" ht="15.75" customHeight="1">
      <c r="A1542" s="2">
        <v>2008.0</v>
      </c>
      <c r="B1542" s="2" t="s">
        <v>5114</v>
      </c>
      <c r="C1542" s="2" t="s">
        <v>12129</v>
      </c>
      <c r="K1542" s="2" t="s">
        <v>5115</v>
      </c>
      <c r="O1542" s="2" t="s">
        <v>1368</v>
      </c>
    </row>
    <row r="1543" ht="15.75" customHeight="1">
      <c r="A1543" s="2">
        <v>2015.0</v>
      </c>
      <c r="B1543" s="2" t="s">
        <v>5107</v>
      </c>
      <c r="C1543" s="2" t="s">
        <v>12129</v>
      </c>
      <c r="K1543" s="2" t="s">
        <v>5108</v>
      </c>
      <c r="L1543" s="2" t="s">
        <v>5109</v>
      </c>
      <c r="O1543" s="2" t="s">
        <v>1368</v>
      </c>
    </row>
    <row r="1544" ht="15.75" customHeight="1">
      <c r="A1544" s="2">
        <v>2013.0</v>
      </c>
      <c r="B1544" s="2" t="s">
        <v>4880</v>
      </c>
      <c r="C1544" s="2" t="s">
        <v>12129</v>
      </c>
      <c r="K1544" s="2" t="s">
        <v>4881</v>
      </c>
      <c r="O1544" s="2" t="s">
        <v>1368</v>
      </c>
    </row>
    <row r="1545" ht="15.75" customHeight="1">
      <c r="A1545" s="2">
        <v>1974.0</v>
      </c>
      <c r="B1545" s="2" t="s">
        <v>4636</v>
      </c>
      <c r="C1545" s="2" t="s">
        <v>12129</v>
      </c>
      <c r="K1545" s="2" t="s">
        <v>4637</v>
      </c>
      <c r="L1545" s="2" t="s">
        <v>4639</v>
      </c>
      <c r="O1545" s="2" t="s">
        <v>1368</v>
      </c>
    </row>
    <row r="1546" ht="15.75" customHeight="1">
      <c r="A1546" s="2">
        <v>2016.0</v>
      </c>
      <c r="B1546" s="2" t="s">
        <v>4693</v>
      </c>
      <c r="C1546" s="2" t="s">
        <v>15399</v>
      </c>
      <c r="I1546" s="2" t="s">
        <v>15399</v>
      </c>
      <c r="K1546" s="2" t="s">
        <v>214</v>
      </c>
      <c r="L1546" s="2" t="s">
        <v>217</v>
      </c>
      <c r="M1546" s="2" t="s">
        <v>15399</v>
      </c>
      <c r="N1546" s="2" t="s">
        <v>15399</v>
      </c>
      <c r="O1546" s="2" t="s">
        <v>1368</v>
      </c>
    </row>
    <row r="1547" ht="15.75" customHeight="1">
      <c r="A1547" s="2">
        <v>2006.0</v>
      </c>
      <c r="B1547" s="2" t="s">
        <v>4661</v>
      </c>
      <c r="C1547" s="2" t="s">
        <v>12129</v>
      </c>
      <c r="K1547" s="2" t="s">
        <v>4662</v>
      </c>
      <c r="O1547" s="2" t="s">
        <v>1368</v>
      </c>
    </row>
    <row r="1548" ht="15.75" customHeight="1">
      <c r="A1548" s="2">
        <v>2013.0</v>
      </c>
      <c r="B1548" s="2" t="s">
        <v>4670</v>
      </c>
      <c r="C1548" s="2" t="s">
        <v>12129</v>
      </c>
      <c r="K1548" s="2" t="s">
        <v>4671</v>
      </c>
      <c r="L1548" s="2" t="s">
        <v>4672</v>
      </c>
      <c r="O1548" s="2" t="s">
        <v>1368</v>
      </c>
    </row>
    <row r="1549" ht="15.75" customHeight="1">
      <c r="A1549" s="2">
        <v>2017.0</v>
      </c>
      <c r="B1549" s="2" t="s">
        <v>5156</v>
      </c>
      <c r="C1549" s="2" t="s">
        <v>12129</v>
      </c>
      <c r="K1549" s="2" t="s">
        <v>5157</v>
      </c>
      <c r="O1549" s="2" t="s">
        <v>1368</v>
      </c>
    </row>
    <row r="1550" ht="15.75" customHeight="1">
      <c r="A1550" s="2">
        <v>2017.0</v>
      </c>
      <c r="B1550" s="2" t="s">
        <v>5162</v>
      </c>
      <c r="C1550" s="2" t="s">
        <v>12129</v>
      </c>
      <c r="K1550" s="2" t="s">
        <v>5163</v>
      </c>
      <c r="O1550" s="2" t="s">
        <v>1368</v>
      </c>
    </row>
    <row r="1551" ht="15.75" customHeight="1">
      <c r="A1551" s="2">
        <v>1991.0</v>
      </c>
      <c r="B1551" s="2" t="s">
        <v>4726</v>
      </c>
      <c r="C1551" s="2" t="s">
        <v>12129</v>
      </c>
      <c r="K1551" s="2" t="s">
        <v>4727</v>
      </c>
      <c r="L1551" s="2" t="s">
        <v>4729</v>
      </c>
      <c r="O1551" s="2" t="s">
        <v>1368</v>
      </c>
    </row>
    <row r="1552" ht="15.75" customHeight="1">
      <c r="A1552" s="2">
        <v>2002.0</v>
      </c>
      <c r="B1552" s="2" t="s">
        <v>5123</v>
      </c>
      <c r="C1552" s="2" t="s">
        <v>12129</v>
      </c>
      <c r="K1552" s="2" t="s">
        <v>5124</v>
      </c>
      <c r="O1552" s="2" t="s">
        <v>1368</v>
      </c>
    </row>
    <row r="1553" ht="15.75" customHeight="1">
      <c r="A1553" s="2">
        <v>2006.0</v>
      </c>
      <c r="B1553" s="2" t="s">
        <v>4601</v>
      </c>
      <c r="C1553" s="2" t="s">
        <v>12129</v>
      </c>
      <c r="K1553" s="2" t="s">
        <v>4602</v>
      </c>
      <c r="O1553" s="2" t="s">
        <v>1368</v>
      </c>
    </row>
    <row r="1554" ht="15.75" customHeight="1">
      <c r="A1554" s="2">
        <v>2015.0</v>
      </c>
      <c r="B1554" s="2" t="s">
        <v>4783</v>
      </c>
      <c r="C1554" s="2" t="s">
        <v>12129</v>
      </c>
      <c r="K1554" s="2" t="s">
        <v>4784</v>
      </c>
      <c r="L1554" s="2" t="s">
        <v>4786</v>
      </c>
      <c r="O1554" s="2" t="s">
        <v>4794</v>
      </c>
    </row>
    <row r="1555" ht="15.75" customHeight="1">
      <c r="A1555" s="2">
        <v>2005.0</v>
      </c>
      <c r="B1555" s="2" t="s">
        <v>5152</v>
      </c>
      <c r="C1555" s="2" t="s">
        <v>12129</v>
      </c>
      <c r="K1555" s="2" t="s">
        <v>5153</v>
      </c>
      <c r="O1555" s="2" t="s">
        <v>1368</v>
      </c>
    </row>
    <row r="1556" ht="15.75" customHeight="1">
      <c r="A1556" s="2">
        <v>2016.0</v>
      </c>
      <c r="B1556" s="2" t="s">
        <v>5152</v>
      </c>
      <c r="C1556" s="2" t="s">
        <v>15399</v>
      </c>
      <c r="G1556" s="2" t="s">
        <v>15399</v>
      </c>
      <c r="J1556" s="2" t="s">
        <v>15399</v>
      </c>
      <c r="K1556" s="2" t="s">
        <v>5167</v>
      </c>
      <c r="O1556" s="2" t="s">
        <v>1368</v>
      </c>
    </row>
    <row r="1557" ht="15.75" customHeight="1">
      <c r="A1557" s="2">
        <v>2013.0</v>
      </c>
      <c r="B1557" s="2" t="s">
        <v>4838</v>
      </c>
      <c r="C1557" s="2" t="s">
        <v>15399</v>
      </c>
      <c r="G1557" s="2" t="s">
        <v>15399</v>
      </c>
      <c r="J1557" s="2" t="s">
        <v>15399</v>
      </c>
      <c r="K1557" s="2" t="s">
        <v>4839</v>
      </c>
      <c r="O1557" s="2" t="s">
        <v>1368</v>
      </c>
    </row>
    <row r="1558" ht="15.75" customHeight="1">
      <c r="A1558" s="2">
        <v>1989.0</v>
      </c>
      <c r="B1558" s="2" t="s">
        <v>5159</v>
      </c>
      <c r="C1558" s="2" t="s">
        <v>12129</v>
      </c>
      <c r="K1558" s="2" t="s">
        <v>5160</v>
      </c>
      <c r="O1558" s="2" t="s">
        <v>1368</v>
      </c>
    </row>
    <row r="1559" ht="15.75" customHeight="1">
      <c r="A1559" s="2">
        <v>2017.0</v>
      </c>
      <c r="B1559" s="2" t="s">
        <v>4828</v>
      </c>
      <c r="C1559" s="2" t="s">
        <v>12129</v>
      </c>
      <c r="K1559" s="2" t="s">
        <v>4829</v>
      </c>
      <c r="O1559" s="2" t="s">
        <v>2238</v>
      </c>
    </row>
    <row r="1560" ht="15.75" customHeight="1">
      <c r="A1560" s="2">
        <v>2008.0</v>
      </c>
      <c r="B1560" s="2" t="s">
        <v>4856</v>
      </c>
      <c r="C1560" s="2" t="s">
        <v>15399</v>
      </c>
      <c r="F1560" s="2" t="s">
        <v>15399</v>
      </c>
      <c r="J1560" s="2" t="s">
        <v>15399</v>
      </c>
      <c r="K1560" s="2" t="s">
        <v>4857</v>
      </c>
      <c r="O1560" s="2" t="s">
        <v>1368</v>
      </c>
    </row>
    <row r="1561" ht="15.75" customHeight="1">
      <c r="A1561" s="2">
        <v>2007.0</v>
      </c>
      <c r="B1561" s="2" t="s">
        <v>5134</v>
      </c>
      <c r="C1561" s="2" t="s">
        <v>12129</v>
      </c>
      <c r="K1561" s="2" t="s">
        <v>5135</v>
      </c>
      <c r="L1561" s="2" t="s">
        <v>5138</v>
      </c>
      <c r="O1561" s="2" t="s">
        <v>1368</v>
      </c>
    </row>
    <row r="1562" ht="15.75" customHeight="1">
      <c r="A1562" s="2">
        <v>2005.0</v>
      </c>
      <c r="B1562" s="2" t="s">
        <v>5118</v>
      </c>
      <c r="C1562" s="2" t="s">
        <v>12129</v>
      </c>
      <c r="K1562" s="2" t="s">
        <v>5119</v>
      </c>
      <c r="L1562" s="2" t="s">
        <v>5120</v>
      </c>
      <c r="O1562" s="2" t="s">
        <v>1368</v>
      </c>
    </row>
    <row r="1563" ht="15.75" customHeight="1">
      <c r="A1563" s="2">
        <v>2015.0</v>
      </c>
      <c r="B1563" s="2" t="s">
        <v>4796</v>
      </c>
      <c r="C1563" s="2" t="s">
        <v>12129</v>
      </c>
      <c r="K1563" s="2" t="s">
        <v>4797</v>
      </c>
      <c r="L1563" s="2" t="s">
        <v>4798</v>
      </c>
      <c r="O1563" s="2" t="s">
        <v>1872</v>
      </c>
    </row>
    <row r="1564" ht="15.75" customHeight="1">
      <c r="A1564" s="2">
        <v>2006.0</v>
      </c>
      <c r="B1564" s="2" t="s">
        <v>4621</v>
      </c>
      <c r="C1564" s="2" t="s">
        <v>12129</v>
      </c>
      <c r="K1564" s="2" t="s">
        <v>4622</v>
      </c>
      <c r="O1564" s="2" t="s">
        <v>1368</v>
      </c>
    </row>
    <row r="1565" ht="15.75" customHeight="1">
      <c r="A1565" s="2">
        <v>2012.0</v>
      </c>
      <c r="B1565" s="2" t="s">
        <v>4819</v>
      </c>
      <c r="C1565" s="2" t="s">
        <v>12129</v>
      </c>
      <c r="K1565" s="2" t="s">
        <v>4820</v>
      </c>
      <c r="L1565" s="2" t="s">
        <v>4822</v>
      </c>
      <c r="O1565" s="2" t="s">
        <v>1885</v>
      </c>
    </row>
    <row r="1566" ht="15.75" customHeight="1">
      <c r="A1566" s="2">
        <v>1999.0</v>
      </c>
      <c r="B1566" s="2" t="s">
        <v>5127</v>
      </c>
      <c r="C1566" s="2" t="s">
        <v>12129</v>
      </c>
      <c r="K1566" s="2" t="s">
        <v>5128</v>
      </c>
      <c r="L1566" s="2" t="s">
        <v>5131</v>
      </c>
      <c r="O1566" s="2" t="s">
        <v>1368</v>
      </c>
    </row>
    <row r="1567" ht="15.75" customHeight="1">
      <c r="A1567" s="2">
        <v>2008.0</v>
      </c>
      <c r="B1567" s="2" t="s">
        <v>2512</v>
      </c>
      <c r="C1567" s="2" t="s">
        <v>15399</v>
      </c>
      <c r="I1567" s="2" t="s">
        <v>15399</v>
      </c>
      <c r="K1567" s="2" t="s">
        <v>2513</v>
      </c>
      <c r="O1567" s="2" t="s">
        <v>1368</v>
      </c>
    </row>
    <row r="1568" ht="15.75" customHeight="1">
      <c r="A1568" s="2">
        <v>2010.0</v>
      </c>
      <c r="B1568" s="2" t="s">
        <v>4832</v>
      </c>
      <c r="C1568" s="2" t="s">
        <v>12129</v>
      </c>
      <c r="K1568" s="2" t="s">
        <v>4833</v>
      </c>
      <c r="O1568" s="2" t="s">
        <v>1621</v>
      </c>
    </row>
    <row r="1569" ht="15.75" customHeight="1">
      <c r="A1569" s="2">
        <v>2008.0</v>
      </c>
      <c r="B1569" s="2" t="s">
        <v>10137</v>
      </c>
      <c r="C1569" s="2" t="s">
        <v>15399</v>
      </c>
      <c r="H1569" s="2" t="s">
        <v>15399</v>
      </c>
      <c r="K1569" s="2" t="s">
        <v>10138</v>
      </c>
      <c r="N1569" s="2" t="s">
        <v>15399</v>
      </c>
      <c r="O1569" s="2" t="s">
        <v>1368</v>
      </c>
    </row>
    <row r="1570" ht="15.75" customHeight="1">
      <c r="A1570" s="2">
        <v>2002.0</v>
      </c>
      <c r="B1570" s="2" t="s">
        <v>4808</v>
      </c>
      <c r="C1570" s="2" t="s">
        <v>12129</v>
      </c>
      <c r="K1570" s="2" t="s">
        <v>4809</v>
      </c>
      <c r="L1570" s="2" t="s">
        <v>4810</v>
      </c>
      <c r="O1570" s="2" t="s">
        <v>1872</v>
      </c>
    </row>
    <row r="1571" ht="15.75" customHeight="1">
      <c r="A1571" s="2">
        <v>2000.0</v>
      </c>
      <c r="B1571" s="2" t="s">
        <v>4717</v>
      </c>
      <c r="C1571" s="2" t="s">
        <v>12129</v>
      </c>
      <c r="K1571" s="2" t="s">
        <v>4718</v>
      </c>
      <c r="L1571" s="2" t="s">
        <v>4721</v>
      </c>
      <c r="O1571" s="2" t="s">
        <v>1368</v>
      </c>
    </row>
    <row r="1572" ht="15.75" customHeight="1">
      <c r="A1572" s="2">
        <v>2005.0</v>
      </c>
      <c r="B1572" s="2" t="s">
        <v>4685</v>
      </c>
      <c r="C1572" s="2" t="s">
        <v>12129</v>
      </c>
      <c r="K1572" s="2" t="s">
        <v>4686</v>
      </c>
      <c r="L1572" s="2" t="s">
        <v>4688</v>
      </c>
      <c r="O1572" s="2" t="s">
        <v>1368</v>
      </c>
    </row>
    <row r="1573" ht="15.75" customHeight="1">
      <c r="A1573" s="2">
        <v>2007.0</v>
      </c>
      <c r="B1573" s="2" t="s">
        <v>4961</v>
      </c>
      <c r="C1573" s="2" t="s">
        <v>12129</v>
      </c>
      <c r="K1573" s="2" t="s">
        <v>4962</v>
      </c>
      <c r="L1573" s="2" t="s">
        <v>4963</v>
      </c>
      <c r="O1573" s="2" t="s">
        <v>1368</v>
      </c>
    </row>
    <row r="1574" ht="15.75" customHeight="1">
      <c r="A1574" s="2">
        <v>2008.0</v>
      </c>
      <c r="B1574" s="2" t="s">
        <v>4941</v>
      </c>
      <c r="C1574" s="2" t="s">
        <v>12129</v>
      </c>
      <c r="K1574" s="2" t="s">
        <v>4942</v>
      </c>
      <c r="L1574" s="2" t="s">
        <v>4944</v>
      </c>
      <c r="O1574" s="2" t="s">
        <v>1368</v>
      </c>
    </row>
    <row r="1575" ht="15.75" customHeight="1">
      <c r="A1575" s="2">
        <v>2015.0</v>
      </c>
      <c r="B1575" s="2" t="s">
        <v>4587</v>
      </c>
      <c r="C1575" s="2" t="s">
        <v>12129</v>
      </c>
      <c r="K1575" s="2" t="s">
        <v>4588</v>
      </c>
      <c r="L1575" s="2" t="s">
        <v>4589</v>
      </c>
      <c r="O1575" s="2" t="s">
        <v>1368</v>
      </c>
    </row>
    <row r="1576" ht="15.75" customHeight="1">
      <c r="A1576" s="2">
        <v>2011.0</v>
      </c>
      <c r="B1576" s="2" t="s">
        <v>9147</v>
      </c>
      <c r="C1576" s="2" t="s">
        <v>15399</v>
      </c>
      <c r="F1576" s="2" t="s">
        <v>15399</v>
      </c>
      <c r="K1576" s="2" t="s">
        <v>9148</v>
      </c>
      <c r="O1576" s="2" t="s">
        <v>1368</v>
      </c>
    </row>
    <row r="1577" ht="15.75" customHeight="1">
      <c r="A1577" s="2">
        <v>2011.0</v>
      </c>
      <c r="B1577" s="2" t="s">
        <v>4954</v>
      </c>
      <c r="C1577" s="2" t="s">
        <v>12129</v>
      </c>
      <c r="K1577" s="2" t="s">
        <v>4955</v>
      </c>
      <c r="L1577" s="2" t="s">
        <v>4958</v>
      </c>
      <c r="O1577" s="2" t="s">
        <v>1368</v>
      </c>
    </row>
    <row r="1578" ht="15.75" customHeight="1">
      <c r="A1578" s="2">
        <v>1998.0</v>
      </c>
      <c r="B1578" s="2" t="s">
        <v>4861</v>
      </c>
      <c r="C1578" s="2" t="s">
        <v>12129</v>
      </c>
      <c r="K1578" s="2" t="s">
        <v>4862</v>
      </c>
      <c r="O1578" s="2" t="s">
        <v>1368</v>
      </c>
    </row>
    <row r="1579" ht="15.75" customHeight="1">
      <c r="A1579" s="2">
        <v>2009.0</v>
      </c>
      <c r="B1579" s="2" t="s">
        <v>4866</v>
      </c>
      <c r="C1579" s="2" t="s">
        <v>12129</v>
      </c>
      <c r="K1579" s="2" t="s">
        <v>4867</v>
      </c>
      <c r="O1579" s="2" t="s">
        <v>1368</v>
      </c>
    </row>
    <row r="1580" ht="15.75" customHeight="1">
      <c r="A1580" s="2">
        <v>2018.0</v>
      </c>
      <c r="B1580" s="2" t="s">
        <v>4843</v>
      </c>
      <c r="C1580" s="2" t="s">
        <v>12129</v>
      </c>
      <c r="K1580" s="2" t="s">
        <v>4844</v>
      </c>
      <c r="O1580" s="2" t="s">
        <v>1368</v>
      </c>
    </row>
    <row r="1581" ht="15.75" customHeight="1">
      <c r="A1581" s="2">
        <v>2018.0</v>
      </c>
      <c r="B1581" s="2" t="s">
        <v>4843</v>
      </c>
      <c r="C1581" s="2" t="s">
        <v>12129</v>
      </c>
      <c r="K1581" s="2" t="s">
        <v>4847</v>
      </c>
      <c r="O1581" s="2" t="s">
        <v>1368</v>
      </c>
    </row>
    <row r="1582" ht="15.75" customHeight="1">
      <c r="A1582" s="2">
        <v>2018.0</v>
      </c>
      <c r="B1582" s="2" t="s">
        <v>4843</v>
      </c>
      <c r="C1582" s="2" t="s">
        <v>12129</v>
      </c>
      <c r="K1582" s="2" t="s">
        <v>4850</v>
      </c>
      <c r="O1582" s="2" t="s">
        <v>1368</v>
      </c>
    </row>
    <row r="1583" ht="15.75" customHeight="1">
      <c r="A1583" s="2">
        <v>2018.0</v>
      </c>
      <c r="B1583" s="2" t="s">
        <v>4843</v>
      </c>
      <c r="C1583" s="2" t="s">
        <v>15399</v>
      </c>
      <c r="G1583" s="2" t="s">
        <v>15399</v>
      </c>
      <c r="J1583" s="2" t="s">
        <v>15399</v>
      </c>
      <c r="K1583" s="2" t="s">
        <v>4853</v>
      </c>
      <c r="O1583" s="2" t="s">
        <v>1368</v>
      </c>
    </row>
    <row r="1584" ht="15.75" customHeight="1">
      <c r="A1584" s="2">
        <v>2018.0</v>
      </c>
      <c r="B1584" s="2" t="s">
        <v>4843</v>
      </c>
      <c r="C1584" s="2" t="s">
        <v>12129</v>
      </c>
      <c r="K1584" s="2" t="s">
        <v>4896</v>
      </c>
      <c r="O1584" s="2" t="s">
        <v>1368</v>
      </c>
    </row>
    <row r="1585" ht="15.75" customHeight="1">
      <c r="A1585" s="2">
        <v>2018.0</v>
      </c>
      <c r="B1585" s="2" t="s">
        <v>4843</v>
      </c>
      <c r="C1585" s="2" t="s">
        <v>12129</v>
      </c>
      <c r="K1585" s="2" t="s">
        <v>4899</v>
      </c>
      <c r="O1585" s="2" t="s">
        <v>1368</v>
      </c>
    </row>
    <row r="1586" ht="15.75" customHeight="1">
      <c r="A1586" s="2">
        <v>2018.0</v>
      </c>
      <c r="B1586" s="2" t="s">
        <v>4843</v>
      </c>
      <c r="C1586" s="2" t="s">
        <v>12129</v>
      </c>
      <c r="K1586" s="2" t="s">
        <v>4901</v>
      </c>
      <c r="O1586" s="2" t="s">
        <v>1368</v>
      </c>
    </row>
    <row r="1587" ht="15.75" customHeight="1">
      <c r="A1587" s="2">
        <v>2018.0</v>
      </c>
      <c r="B1587" s="2" t="s">
        <v>4843</v>
      </c>
      <c r="C1587" s="2" t="s">
        <v>15399</v>
      </c>
      <c r="G1587" s="2" t="s">
        <v>15399</v>
      </c>
      <c r="J1587" s="2" t="s">
        <v>15399</v>
      </c>
      <c r="K1587" s="2" t="s">
        <v>4904</v>
      </c>
      <c r="O1587" s="2" t="s">
        <v>1368</v>
      </c>
    </row>
    <row r="1588" ht="15.75" customHeight="1">
      <c r="A1588" s="2">
        <v>2018.0</v>
      </c>
      <c r="B1588" s="2" t="s">
        <v>4843</v>
      </c>
      <c r="C1588" s="2" t="s">
        <v>12129</v>
      </c>
      <c r="K1588" s="2" t="s">
        <v>4908</v>
      </c>
      <c r="O1588" s="2" t="s">
        <v>1368</v>
      </c>
    </row>
    <row r="1589" ht="15.75" customHeight="1">
      <c r="A1589" s="2">
        <v>2018.0</v>
      </c>
      <c r="B1589" s="2" t="s">
        <v>4843</v>
      </c>
      <c r="C1589" s="2" t="s">
        <v>12129</v>
      </c>
      <c r="K1589" s="2" t="s">
        <v>4911</v>
      </c>
      <c r="O1589" s="2" t="s">
        <v>1368</v>
      </c>
    </row>
    <row r="1590" ht="15.75" customHeight="1">
      <c r="A1590" s="2">
        <v>2018.0</v>
      </c>
      <c r="B1590" s="2" t="s">
        <v>4843</v>
      </c>
      <c r="C1590" s="2" t="s">
        <v>12129</v>
      </c>
      <c r="K1590" s="2" t="s">
        <v>4914</v>
      </c>
      <c r="O1590" s="2" t="s">
        <v>1368</v>
      </c>
    </row>
    <row r="1591" ht="15.75" customHeight="1">
      <c r="A1591" s="2">
        <v>2015.0</v>
      </c>
      <c r="B1591" s="2" t="s">
        <v>4843</v>
      </c>
      <c r="C1591" s="2" t="s">
        <v>12129</v>
      </c>
      <c r="K1591" s="2" t="s">
        <v>4917</v>
      </c>
      <c r="O1591" s="2" t="s">
        <v>1368</v>
      </c>
    </row>
    <row r="1592" ht="15.75" customHeight="1">
      <c r="A1592" s="2">
        <v>2009.0</v>
      </c>
      <c r="B1592" s="2" t="s">
        <v>4843</v>
      </c>
      <c r="C1592" s="2" t="s">
        <v>12129</v>
      </c>
      <c r="K1592" s="2" t="s">
        <v>4920</v>
      </c>
      <c r="O1592" s="2" t="s">
        <v>1368</v>
      </c>
    </row>
    <row r="1593" ht="15.75" customHeight="1">
      <c r="A1593" s="2">
        <v>2006.0</v>
      </c>
      <c r="B1593" s="2" t="s">
        <v>4843</v>
      </c>
      <c r="C1593" s="2" t="s">
        <v>12129</v>
      </c>
      <c r="K1593" s="2" t="s">
        <v>4923</v>
      </c>
      <c r="O1593" s="2" t="s">
        <v>1368</v>
      </c>
    </row>
    <row r="1594" ht="15.75" customHeight="1">
      <c r="A1594" s="2">
        <v>2014.0</v>
      </c>
      <c r="B1594" s="2" t="s">
        <v>4843</v>
      </c>
      <c r="C1594" s="2" t="s">
        <v>12129</v>
      </c>
      <c r="K1594" s="2" t="s">
        <v>4925</v>
      </c>
      <c r="O1594" s="2" t="s">
        <v>1368</v>
      </c>
    </row>
    <row r="1595" ht="15.75" customHeight="1">
      <c r="A1595" s="2">
        <v>2007.0</v>
      </c>
      <c r="B1595" s="2" t="s">
        <v>4843</v>
      </c>
      <c r="C1595" s="2" t="s">
        <v>12129</v>
      </c>
      <c r="K1595" s="2" t="s">
        <v>4927</v>
      </c>
      <c r="O1595" s="2" t="s">
        <v>1368</v>
      </c>
    </row>
    <row r="1596" ht="15.75" customHeight="1">
      <c r="A1596" s="2">
        <v>2004.0</v>
      </c>
      <c r="B1596" s="2" t="s">
        <v>4843</v>
      </c>
      <c r="C1596" s="2" t="s">
        <v>12129</v>
      </c>
      <c r="K1596" s="2" t="s">
        <v>4931</v>
      </c>
      <c r="O1596" s="2" t="s">
        <v>1368</v>
      </c>
    </row>
    <row r="1597" ht="15.75" customHeight="1">
      <c r="A1597" s="2">
        <v>2012.0</v>
      </c>
      <c r="B1597" s="2" t="s">
        <v>4843</v>
      </c>
      <c r="C1597" s="2" t="s">
        <v>12129</v>
      </c>
      <c r="K1597" s="2" t="s">
        <v>4933</v>
      </c>
      <c r="O1597" s="2" t="s">
        <v>1368</v>
      </c>
    </row>
    <row r="1598" ht="15.75" customHeight="1">
      <c r="A1598" s="2">
        <v>1994.0</v>
      </c>
      <c r="B1598" s="2" t="s">
        <v>4843</v>
      </c>
      <c r="C1598" s="2" t="s">
        <v>12129</v>
      </c>
      <c r="K1598" s="2" t="s">
        <v>4936</v>
      </c>
      <c r="O1598" s="2" t="s">
        <v>1368</v>
      </c>
    </row>
    <row r="1599" ht="15.75" customHeight="1">
      <c r="A1599" s="2">
        <v>2018.0</v>
      </c>
      <c r="B1599" s="2" t="s">
        <v>4843</v>
      </c>
      <c r="C1599" s="2" t="s">
        <v>12129</v>
      </c>
      <c r="K1599" s="2" t="s">
        <v>4938</v>
      </c>
      <c r="O1599" s="2" t="s">
        <v>1368</v>
      </c>
    </row>
    <row r="1600" ht="15.75" customHeight="1">
      <c r="A1600" s="2">
        <v>2017.0</v>
      </c>
      <c r="B1600" s="2" t="s">
        <v>4843</v>
      </c>
      <c r="C1600" s="2" t="s">
        <v>12129</v>
      </c>
      <c r="K1600" s="2" t="s">
        <v>5425</v>
      </c>
      <c r="O1600" s="2" t="s">
        <v>1368</v>
      </c>
    </row>
    <row r="1601" ht="15.75" customHeight="1">
      <c r="A1601" s="2">
        <v>2018.0</v>
      </c>
      <c r="B1601" s="2" t="s">
        <v>4843</v>
      </c>
      <c r="C1601" s="2" t="s">
        <v>12129</v>
      </c>
      <c r="K1601" s="2" t="s">
        <v>5519</v>
      </c>
      <c r="O1601" s="2" t="s">
        <v>1368</v>
      </c>
    </row>
    <row r="1602" ht="15.75" customHeight="1">
      <c r="A1602" s="2">
        <v>2018.0</v>
      </c>
      <c r="B1602" s="2" t="s">
        <v>4843</v>
      </c>
      <c r="C1602" s="2" t="s">
        <v>12129</v>
      </c>
      <c r="K1602" s="2" t="s">
        <v>5522</v>
      </c>
      <c r="O1602" s="2" t="s">
        <v>1368</v>
      </c>
    </row>
    <row r="1603" ht="15.75" customHeight="1">
      <c r="A1603" s="2">
        <v>2017.0</v>
      </c>
      <c r="B1603" s="2" t="s">
        <v>4843</v>
      </c>
      <c r="C1603" s="2" t="s">
        <v>12129</v>
      </c>
      <c r="K1603" s="2" t="s">
        <v>5525</v>
      </c>
      <c r="O1603" s="2" t="s">
        <v>1368</v>
      </c>
    </row>
    <row r="1604" ht="15.75" customHeight="1">
      <c r="A1604" s="2">
        <v>2018.0</v>
      </c>
      <c r="B1604" s="2" t="s">
        <v>4843</v>
      </c>
      <c r="C1604" s="2" t="s">
        <v>12129</v>
      </c>
      <c r="K1604" s="2" t="s">
        <v>5528</v>
      </c>
      <c r="O1604" s="2" t="s">
        <v>1368</v>
      </c>
    </row>
    <row r="1605" ht="15.75" customHeight="1">
      <c r="A1605" s="2">
        <v>2017.0</v>
      </c>
      <c r="B1605" s="2" t="s">
        <v>4843</v>
      </c>
      <c r="C1605" s="2" t="s">
        <v>15399</v>
      </c>
      <c r="G1605" s="2" t="s">
        <v>15399</v>
      </c>
      <c r="J1605" s="2" t="s">
        <v>15399</v>
      </c>
      <c r="K1605" s="2" t="s">
        <v>5531</v>
      </c>
      <c r="O1605" s="2" t="s">
        <v>1368</v>
      </c>
    </row>
    <row r="1606" ht="15.75" customHeight="1">
      <c r="A1606" s="2">
        <v>2015.0</v>
      </c>
      <c r="B1606" s="2" t="s">
        <v>4843</v>
      </c>
      <c r="C1606" s="2" t="s">
        <v>12129</v>
      </c>
      <c r="K1606" s="2" t="s">
        <v>5534</v>
      </c>
      <c r="O1606" s="2" t="s">
        <v>1368</v>
      </c>
    </row>
    <row r="1607" ht="15.75" customHeight="1">
      <c r="A1607" s="2">
        <v>2018.0</v>
      </c>
      <c r="B1607" s="2" t="s">
        <v>4843</v>
      </c>
      <c r="C1607" s="2" t="s">
        <v>12129</v>
      </c>
      <c r="K1607" s="2" t="s">
        <v>5537</v>
      </c>
      <c r="O1607" s="2" t="s">
        <v>1368</v>
      </c>
    </row>
    <row r="1608" ht="15.75" customHeight="1">
      <c r="A1608" s="2">
        <v>2018.0</v>
      </c>
      <c r="B1608" s="2" t="s">
        <v>4843</v>
      </c>
      <c r="C1608" s="2" t="s">
        <v>12129</v>
      </c>
      <c r="K1608" s="2" t="s">
        <v>5540</v>
      </c>
      <c r="O1608" s="2" t="s">
        <v>1368</v>
      </c>
    </row>
    <row r="1609" ht="15.75" customHeight="1">
      <c r="A1609" s="2">
        <v>2018.0</v>
      </c>
      <c r="B1609" s="2" t="s">
        <v>4843</v>
      </c>
      <c r="C1609" s="2" t="s">
        <v>12129</v>
      </c>
      <c r="K1609" s="2" t="s">
        <v>5543</v>
      </c>
      <c r="O1609" s="2" t="s">
        <v>1368</v>
      </c>
    </row>
    <row r="1610" ht="15.75" customHeight="1">
      <c r="A1610" s="2">
        <v>2018.0</v>
      </c>
      <c r="B1610" s="2" t="s">
        <v>5505</v>
      </c>
      <c r="C1610" s="2" t="s">
        <v>12129</v>
      </c>
      <c r="K1610" s="2" t="s">
        <v>5506</v>
      </c>
      <c r="O1610" s="2" t="s">
        <v>2244</v>
      </c>
    </row>
    <row r="1611" ht="15.75" customHeight="1">
      <c r="A1611" s="2">
        <v>2017.0</v>
      </c>
      <c r="B1611" s="2" t="s">
        <v>5505</v>
      </c>
      <c r="C1611" s="2" t="s">
        <v>12129</v>
      </c>
      <c r="K1611" s="2" t="s">
        <v>5546</v>
      </c>
      <c r="O1611" s="2" t="s">
        <v>1368</v>
      </c>
    </row>
    <row r="1612" ht="15.75" customHeight="1">
      <c r="A1612" s="2">
        <v>2010.0</v>
      </c>
      <c r="B1612" s="2" t="s">
        <v>5550</v>
      </c>
      <c r="C1612" s="2" t="s">
        <v>12129</v>
      </c>
      <c r="K1612" s="2" t="s">
        <v>5551</v>
      </c>
      <c r="O1612" s="2" t="s">
        <v>1368</v>
      </c>
    </row>
    <row r="1613" ht="15.75" customHeight="1">
      <c r="A1613" s="2">
        <v>2009.0</v>
      </c>
      <c r="B1613" s="2" t="s">
        <v>8791</v>
      </c>
      <c r="C1613" s="2" t="s">
        <v>15399</v>
      </c>
      <c r="E1613" s="2" t="s">
        <v>15399</v>
      </c>
      <c r="K1613" s="2" t="s">
        <v>8792</v>
      </c>
      <c r="O1613" s="2" t="s">
        <v>1368</v>
      </c>
    </row>
    <row r="1614" ht="15.75" customHeight="1">
      <c r="A1614" s="2">
        <v>2017.0</v>
      </c>
      <c r="B1614" s="2" t="s">
        <v>2487</v>
      </c>
      <c r="C1614" s="2" t="s">
        <v>15399</v>
      </c>
      <c r="G1614" s="2" t="s">
        <v>15399</v>
      </c>
      <c r="J1614" s="2" t="s">
        <v>15399</v>
      </c>
      <c r="K1614" s="2" t="s">
        <v>5554</v>
      </c>
      <c r="O1614" s="2" t="s">
        <v>1368</v>
      </c>
    </row>
    <row r="1615" ht="15.75" customHeight="1">
      <c r="A1615" s="2">
        <v>2000.0</v>
      </c>
      <c r="B1615" s="2" t="s">
        <v>2487</v>
      </c>
      <c r="C1615" s="2" t="s">
        <v>12129</v>
      </c>
      <c r="K1615" s="2" t="s">
        <v>5635</v>
      </c>
      <c r="O1615" s="2" t="s">
        <v>1368</v>
      </c>
    </row>
    <row r="1616" ht="15.75" customHeight="1">
      <c r="A1616" s="2">
        <v>1992.0</v>
      </c>
      <c r="B1616" s="2" t="s">
        <v>5491</v>
      </c>
      <c r="C1616" s="2" t="s">
        <v>12129</v>
      </c>
      <c r="K1616" s="2" t="s">
        <v>5492</v>
      </c>
      <c r="O1616" s="2" t="s">
        <v>5496</v>
      </c>
    </row>
    <row r="1617" ht="15.75" customHeight="1">
      <c r="A1617" s="2">
        <v>2015.0</v>
      </c>
      <c r="B1617" s="2" t="s">
        <v>5513</v>
      </c>
      <c r="C1617" s="2" t="s">
        <v>12129</v>
      </c>
      <c r="K1617" s="2" t="s">
        <v>5514</v>
      </c>
      <c r="L1617" s="2" t="s">
        <v>5515</v>
      </c>
      <c r="O1617" s="2" t="s">
        <v>2244</v>
      </c>
    </row>
    <row r="1618" ht="15.75" customHeight="1">
      <c r="A1618" s="2">
        <v>2015.0</v>
      </c>
      <c r="B1618" s="2" t="s">
        <v>5630</v>
      </c>
      <c r="C1618" s="2" t="s">
        <v>15399</v>
      </c>
      <c r="F1618" s="2" t="s">
        <v>15399</v>
      </c>
      <c r="J1618" s="2" t="s">
        <v>15399</v>
      </c>
      <c r="K1618" s="2" t="s">
        <v>5631</v>
      </c>
      <c r="O1618" s="2" t="s">
        <v>1368</v>
      </c>
    </row>
    <row r="1619" ht="15.75" customHeight="1">
      <c r="A1619" s="2">
        <v>2017.0</v>
      </c>
      <c r="B1619" s="2" t="s">
        <v>5630</v>
      </c>
      <c r="C1619" s="2" t="s">
        <v>12129</v>
      </c>
      <c r="K1619" s="2" t="s">
        <v>5639</v>
      </c>
      <c r="O1619" s="2" t="s">
        <v>1368</v>
      </c>
    </row>
    <row r="1620" ht="15.75" customHeight="1">
      <c r="A1620" s="2">
        <v>2014.0</v>
      </c>
      <c r="B1620" s="2" t="s">
        <v>5638</v>
      </c>
      <c r="C1620" s="2" t="s">
        <v>12129</v>
      </c>
      <c r="K1620" s="2" t="s">
        <v>5639</v>
      </c>
      <c r="O1620" s="2" t="s">
        <v>1368</v>
      </c>
    </row>
    <row r="1621" ht="15.75" customHeight="1">
      <c r="A1621" s="2">
        <v>2008.0</v>
      </c>
      <c r="B1621" s="2" t="s">
        <v>5387</v>
      </c>
      <c r="C1621" s="2" t="s">
        <v>12129</v>
      </c>
      <c r="K1621" s="2" t="s">
        <v>5388</v>
      </c>
      <c r="L1621" s="2" t="s">
        <v>5389</v>
      </c>
      <c r="O1621" s="2" t="s">
        <v>1368</v>
      </c>
    </row>
    <row r="1622" ht="15.75" customHeight="1">
      <c r="A1622" s="2">
        <v>2012.0</v>
      </c>
      <c r="B1622" s="2" t="s">
        <v>5509</v>
      </c>
      <c r="C1622" s="2" t="s">
        <v>15399</v>
      </c>
      <c r="G1622" s="2" t="s">
        <v>15399</v>
      </c>
      <c r="J1622" s="2" t="s">
        <v>15399</v>
      </c>
      <c r="K1622" s="2" t="s">
        <v>5510</v>
      </c>
      <c r="O1622" s="2" t="s">
        <v>2169</v>
      </c>
    </row>
    <row r="1623" ht="15.75" customHeight="1">
      <c r="A1623" s="2">
        <v>2016.0</v>
      </c>
      <c r="B1623" s="2" t="s">
        <v>5498</v>
      </c>
      <c r="C1623" s="2" t="s">
        <v>15399</v>
      </c>
      <c r="F1623" s="2" t="s">
        <v>15399</v>
      </c>
      <c r="J1623" s="2" t="s">
        <v>15399</v>
      </c>
      <c r="K1623" s="2" t="s">
        <v>5499</v>
      </c>
      <c r="O1623" s="2" t="s">
        <v>5503</v>
      </c>
    </row>
    <row r="1624" ht="15.75" customHeight="1">
      <c r="A1624" s="2">
        <v>1991.0</v>
      </c>
      <c r="B1624" s="2" t="s">
        <v>5433</v>
      </c>
      <c r="C1624" s="2" t="s">
        <v>12129</v>
      </c>
      <c r="K1624" s="2" t="s">
        <v>5434</v>
      </c>
      <c r="L1624" s="2" t="s">
        <v>5435</v>
      </c>
      <c r="O1624" s="2" t="s">
        <v>1368</v>
      </c>
    </row>
    <row r="1625" ht="15.75" customHeight="1">
      <c r="A1625" s="2">
        <v>2005.0</v>
      </c>
      <c r="B1625" s="2" t="s">
        <v>5416</v>
      </c>
      <c r="C1625" s="2" t="s">
        <v>12129</v>
      </c>
      <c r="K1625" s="2" t="s">
        <v>5417</v>
      </c>
      <c r="L1625" s="2" t="s">
        <v>5419</v>
      </c>
      <c r="O1625" s="2" t="s">
        <v>1368</v>
      </c>
    </row>
    <row r="1626" ht="15.75" customHeight="1">
      <c r="A1626" s="2">
        <v>2005.0</v>
      </c>
      <c r="B1626" s="2" t="s">
        <v>5379</v>
      </c>
      <c r="C1626" s="2" t="s">
        <v>12129</v>
      </c>
      <c r="K1626" s="2" t="s">
        <v>5380</v>
      </c>
      <c r="L1626" s="2" t="s">
        <v>5382</v>
      </c>
      <c r="O1626" s="2" t="s">
        <v>1368</v>
      </c>
    </row>
    <row r="1627" ht="15.75" customHeight="1">
      <c r="A1627" s="2">
        <v>1978.0</v>
      </c>
      <c r="B1627" s="2" t="s">
        <v>5468</v>
      </c>
      <c r="C1627" s="2" t="s">
        <v>12129</v>
      </c>
      <c r="K1627" s="2" t="s">
        <v>5469</v>
      </c>
      <c r="L1627" s="2" t="s">
        <v>5471</v>
      </c>
      <c r="O1627" s="2" t="s">
        <v>1368</v>
      </c>
    </row>
    <row r="1628" ht="15.75" customHeight="1">
      <c r="A1628" s="2">
        <v>2014.0</v>
      </c>
      <c r="B1628" s="2" t="s">
        <v>5454</v>
      </c>
      <c r="C1628" s="2" t="s">
        <v>12129</v>
      </c>
      <c r="K1628" s="2" t="s">
        <v>5455</v>
      </c>
      <c r="L1628" s="2" t="s">
        <v>5456</v>
      </c>
      <c r="O1628" s="2" t="s">
        <v>1368</v>
      </c>
    </row>
    <row r="1629" ht="15.75" customHeight="1">
      <c r="A1629" s="2">
        <v>2009.0</v>
      </c>
      <c r="B1629" s="2" t="s">
        <v>5573</v>
      </c>
      <c r="C1629" s="2" t="s">
        <v>12129</v>
      </c>
      <c r="K1629" s="2" t="s">
        <v>5574</v>
      </c>
      <c r="L1629" s="2" t="s">
        <v>5577</v>
      </c>
      <c r="O1629" s="2" t="s">
        <v>1368</v>
      </c>
    </row>
    <row r="1630" ht="15.75" customHeight="1">
      <c r="A1630" s="2">
        <v>1999.0</v>
      </c>
      <c r="B1630" s="2" t="s">
        <v>5447</v>
      </c>
      <c r="C1630" s="2" t="s">
        <v>12129</v>
      </c>
      <c r="K1630" s="2" t="s">
        <v>5448</v>
      </c>
      <c r="L1630" s="2" t="s">
        <v>5449</v>
      </c>
      <c r="O1630" s="2" t="s">
        <v>1368</v>
      </c>
    </row>
    <row r="1631" ht="15.75" customHeight="1">
      <c r="A1631" s="2">
        <v>2001.0</v>
      </c>
      <c r="B1631" s="2" t="s">
        <v>5447</v>
      </c>
      <c r="C1631" s="2" t="s">
        <v>12129</v>
      </c>
      <c r="K1631" s="2" t="s">
        <v>5462</v>
      </c>
      <c r="L1631" s="2" t="s">
        <v>5463</v>
      </c>
      <c r="O1631" s="2" t="s">
        <v>1368</v>
      </c>
    </row>
    <row r="1632" ht="15.75" customHeight="1">
      <c r="A1632" s="2">
        <v>2009.0</v>
      </c>
      <c r="B1632" s="2" t="s">
        <v>5411</v>
      </c>
      <c r="C1632" s="2" t="s">
        <v>12129</v>
      </c>
      <c r="K1632" s="2" t="s">
        <v>5412</v>
      </c>
      <c r="O1632" s="2" t="s">
        <v>1368</v>
      </c>
    </row>
    <row r="1633" ht="15.75" customHeight="1">
      <c r="A1633" s="2">
        <v>2017.0</v>
      </c>
      <c r="B1633" s="2" t="s">
        <v>5587</v>
      </c>
      <c r="C1633" s="2" t="s">
        <v>12129</v>
      </c>
      <c r="K1633" s="2" t="s">
        <v>5588</v>
      </c>
      <c r="L1633" s="2" t="s">
        <v>5589</v>
      </c>
      <c r="O1633" s="2" t="s">
        <v>1368</v>
      </c>
    </row>
    <row r="1634" ht="15.75" customHeight="1">
      <c r="A1634" s="2">
        <v>1992.0</v>
      </c>
      <c r="B1634" s="2" t="s">
        <v>5569</v>
      </c>
      <c r="C1634" s="2" t="s">
        <v>12129</v>
      </c>
      <c r="K1634" s="2" t="s">
        <v>5570</v>
      </c>
      <c r="O1634" s="2" t="s">
        <v>1368</v>
      </c>
    </row>
    <row r="1635" ht="15.75" customHeight="1">
      <c r="A1635" s="2">
        <v>2009.0</v>
      </c>
      <c r="B1635" s="2" t="s">
        <v>5563</v>
      </c>
      <c r="C1635" s="2" t="s">
        <v>12129</v>
      </c>
      <c r="K1635" s="2" t="s">
        <v>5564</v>
      </c>
      <c r="O1635" s="2" t="s">
        <v>1368</v>
      </c>
    </row>
    <row r="1636" ht="15.75" customHeight="1">
      <c r="A1636" s="2">
        <v>2012.0</v>
      </c>
      <c r="B1636" s="2" t="s">
        <v>5556</v>
      </c>
      <c r="C1636" s="2" t="s">
        <v>12129</v>
      </c>
      <c r="K1636" s="2" t="s">
        <v>5557</v>
      </c>
      <c r="L1636" s="2" t="s">
        <v>5560</v>
      </c>
      <c r="O1636" s="2" t="s">
        <v>1368</v>
      </c>
    </row>
    <row r="1637" ht="15.75" customHeight="1">
      <c r="A1637" s="2">
        <v>2017.0</v>
      </c>
      <c r="B1637" s="2" t="s">
        <v>5616</v>
      </c>
      <c r="C1637" s="2" t="s">
        <v>12129</v>
      </c>
      <c r="K1637" s="2" t="s">
        <v>5617</v>
      </c>
      <c r="L1637" s="2" t="s">
        <v>5618</v>
      </c>
      <c r="O1637" s="2" t="s">
        <v>1368</v>
      </c>
    </row>
    <row r="1638" ht="15.75" customHeight="1">
      <c r="A1638" s="2">
        <v>2009.0</v>
      </c>
      <c r="B1638" s="2" t="s">
        <v>5580</v>
      </c>
      <c r="C1638" s="2" t="s">
        <v>12129</v>
      </c>
      <c r="K1638" s="2" t="s">
        <v>5581</v>
      </c>
      <c r="L1638" s="2" t="s">
        <v>5584</v>
      </c>
      <c r="O1638" s="2" t="s">
        <v>1368</v>
      </c>
    </row>
    <row r="1639" ht="15.75" customHeight="1">
      <c r="A1639" s="2">
        <v>2004.0</v>
      </c>
      <c r="B1639" s="2" t="s">
        <v>5394</v>
      </c>
      <c r="C1639" s="2" t="s">
        <v>12129</v>
      </c>
      <c r="K1639" s="2" t="s">
        <v>5395</v>
      </c>
      <c r="L1639" s="2" t="s">
        <v>5397</v>
      </c>
      <c r="O1639" s="2" t="s">
        <v>1368</v>
      </c>
    </row>
    <row r="1640" ht="15.75" customHeight="1">
      <c r="A1640" s="2">
        <v>2015.0</v>
      </c>
      <c r="B1640" s="2" t="s">
        <v>5607</v>
      </c>
      <c r="C1640" s="2" t="s">
        <v>12129</v>
      </c>
      <c r="K1640" s="2" t="s">
        <v>5608</v>
      </c>
      <c r="L1640" s="2" t="s">
        <v>5611</v>
      </c>
      <c r="O1640" s="2" t="s">
        <v>1368</v>
      </c>
    </row>
    <row r="1641" ht="15.75" customHeight="1">
      <c r="A1641" s="2">
        <v>2010.0</v>
      </c>
      <c r="B1641" s="2" t="s">
        <v>5441</v>
      </c>
      <c r="C1641" s="2" t="s">
        <v>12129</v>
      </c>
      <c r="K1641" s="2" t="s">
        <v>5442</v>
      </c>
      <c r="O1641" s="2" t="s">
        <v>1368</v>
      </c>
    </row>
    <row r="1642" ht="15.75" customHeight="1">
      <c r="A1642" s="2">
        <v>2003.0</v>
      </c>
      <c r="B1642" s="2" t="s">
        <v>5602</v>
      </c>
      <c r="C1642" s="2" t="s">
        <v>12129</v>
      </c>
      <c r="K1642" s="2" t="s">
        <v>5603</v>
      </c>
      <c r="O1642" s="2" t="s">
        <v>1368</v>
      </c>
    </row>
    <row r="1643" ht="15.75" customHeight="1">
      <c r="A1643" s="2">
        <v>2012.0</v>
      </c>
      <c r="B1643" s="2" t="s">
        <v>5403</v>
      </c>
      <c r="C1643" s="2" t="s">
        <v>12129</v>
      </c>
      <c r="K1643" s="2" t="s">
        <v>5404</v>
      </c>
      <c r="L1643" s="2" t="s">
        <v>5406</v>
      </c>
      <c r="O1643" s="2" t="s">
        <v>1368</v>
      </c>
    </row>
    <row r="1644" ht="15.75" customHeight="1">
      <c r="A1644" s="2">
        <v>2015.0</v>
      </c>
      <c r="B1644" s="2" t="s">
        <v>5593</v>
      </c>
      <c r="C1644" s="2" t="s">
        <v>12129</v>
      </c>
      <c r="K1644" s="2" t="s">
        <v>5594</v>
      </c>
      <c r="L1644" s="2" t="s">
        <v>5597</v>
      </c>
      <c r="O1644" s="2" t="s">
        <v>1368</v>
      </c>
    </row>
    <row r="1645" ht="15.75" customHeight="1">
      <c r="A1645" s="2">
        <v>2010.0</v>
      </c>
      <c r="B1645" s="2" t="s">
        <v>5623</v>
      </c>
      <c r="C1645" s="2" t="s">
        <v>12129</v>
      </c>
      <c r="K1645" s="2" t="s">
        <v>5624</v>
      </c>
      <c r="O1645" s="2" t="s">
        <v>1368</v>
      </c>
    </row>
    <row r="1646" ht="15.75" customHeight="1">
      <c r="A1646" s="2">
        <v>2016.0</v>
      </c>
      <c r="B1646" s="2" t="s">
        <v>5483</v>
      </c>
      <c r="C1646" s="2" t="s">
        <v>12129</v>
      </c>
      <c r="K1646" s="2" t="s">
        <v>5484</v>
      </c>
      <c r="L1646" s="2" t="s">
        <v>5485</v>
      </c>
      <c r="O1646" s="2" t="s">
        <v>2244</v>
      </c>
    </row>
    <row r="1647" ht="15.75" customHeight="1">
      <c r="A1647" s="2">
        <v>2002.0</v>
      </c>
      <c r="C1647" s="2" t="s">
        <v>12129</v>
      </c>
      <c r="K1647" s="2" t="s">
        <v>8573</v>
      </c>
      <c r="O1647" s="2" t="s">
        <v>1368</v>
      </c>
    </row>
    <row r="1648" ht="15.75" customHeight="1">
      <c r="A1648" s="2">
        <v>1998.0</v>
      </c>
      <c r="C1648" s="2" t="s">
        <v>12129</v>
      </c>
      <c r="K1648" s="2" t="s">
        <v>11443</v>
      </c>
      <c r="O1648" s="2" t="s">
        <v>1368</v>
      </c>
    </row>
  </sheetData>
  <autoFilter ref="$A$1:$O$1648">
    <sortState ref="A1:O1648">
      <sortCondition ref="B1:B1648"/>
      <sortCondition ref="L1:L1648"/>
    </sortState>
  </autoFilter>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8.0"/>
    <col customWidth="1" min="2" max="2" width="22.88"/>
    <col customWidth="1" min="3" max="3" width="34.38"/>
    <col customWidth="1" min="4" max="17" width="8.0"/>
    <col customWidth="1" min="18" max="18" width="11.25"/>
    <col customWidth="1" min="19" max="19" width="10.25"/>
    <col customWidth="1" min="20" max="20" width="8.0"/>
    <col customWidth="1" min="21" max="27" width="14.25"/>
  </cols>
  <sheetData>
    <row r="1" ht="73.5" customHeight="1">
      <c r="A1" s="21" t="s">
        <v>11</v>
      </c>
      <c r="B1" s="21" t="s">
        <v>12</v>
      </c>
      <c r="C1" s="21" t="s">
        <v>13</v>
      </c>
      <c r="D1" s="21" t="s">
        <v>1301</v>
      </c>
      <c r="E1" s="21" t="s">
        <v>15</v>
      </c>
      <c r="F1" s="21" t="s">
        <v>12089</v>
      </c>
      <c r="G1" s="21" t="s">
        <v>12090</v>
      </c>
      <c r="H1" s="21" t="s">
        <v>16</v>
      </c>
      <c r="I1" s="21" t="s">
        <v>1299</v>
      </c>
      <c r="J1" s="21" t="s">
        <v>12106</v>
      </c>
      <c r="K1" s="21" t="s">
        <v>1293</v>
      </c>
      <c r="L1" s="21" t="s">
        <v>12109</v>
      </c>
      <c r="M1" s="21" t="s">
        <v>12110</v>
      </c>
      <c r="N1" s="21" t="s">
        <v>1276</v>
      </c>
      <c r="O1" s="21" t="s">
        <v>17</v>
      </c>
      <c r="P1" s="21" t="s">
        <v>18</v>
      </c>
      <c r="Q1" s="21" t="s">
        <v>19</v>
      </c>
      <c r="R1" s="21" t="s">
        <v>12122</v>
      </c>
      <c r="S1" s="21" t="s">
        <v>20</v>
      </c>
      <c r="T1" s="21" t="s">
        <v>21</v>
      </c>
      <c r="U1" s="21" t="s">
        <v>15389</v>
      </c>
      <c r="V1" s="22" t="s">
        <v>15390</v>
      </c>
      <c r="W1" s="18" t="s">
        <v>15391</v>
      </c>
      <c r="X1" s="19" t="s">
        <v>15392</v>
      </c>
      <c r="Y1" s="20" t="s">
        <v>15393</v>
      </c>
      <c r="Z1" s="17" t="s">
        <v>15394</v>
      </c>
      <c r="AA1" s="16" t="s">
        <v>15395</v>
      </c>
    </row>
    <row r="2" ht="12.75" customHeight="1">
      <c r="A2" s="2" t="s">
        <v>23</v>
      </c>
      <c r="B2" s="2" t="s">
        <v>213</v>
      </c>
      <c r="C2" s="2" t="s">
        <v>214</v>
      </c>
      <c r="D2" s="2" t="s">
        <v>3263</v>
      </c>
      <c r="E2" s="2" t="s">
        <v>35</v>
      </c>
      <c r="F2" s="2" t="s">
        <v>12129</v>
      </c>
      <c r="G2" s="2" t="s">
        <v>15407</v>
      </c>
      <c r="H2" s="2" t="s">
        <v>216</v>
      </c>
      <c r="I2" s="2" t="s">
        <v>15408</v>
      </c>
      <c r="J2" s="2" t="s">
        <v>15409</v>
      </c>
      <c r="K2" s="2" t="s">
        <v>215</v>
      </c>
      <c r="L2" s="2" t="s">
        <v>219</v>
      </c>
      <c r="M2" s="2" t="s">
        <v>12436</v>
      </c>
      <c r="N2" s="2">
        <v>2016.0</v>
      </c>
      <c r="O2" s="2" t="s">
        <v>217</v>
      </c>
      <c r="P2" s="15" t="str">
        <f>HYPERLINK("http://dx.doi.org/10.5670/oceanog.2016.36","http://dx.doi.org/10.5670/oceanog.2016.36")</f>
        <v>http://dx.doi.org/10.5670/oceanog.2016.36</v>
      </c>
      <c r="Q2" s="2" t="s">
        <v>219</v>
      </c>
      <c r="R2" s="2" t="s">
        <v>219</v>
      </c>
      <c r="S2" s="2" t="s">
        <v>12152</v>
      </c>
      <c r="T2" s="2" t="s">
        <v>220</v>
      </c>
      <c r="V2" s="23" t="s">
        <v>15399</v>
      </c>
      <c r="W2" s="23"/>
      <c r="X2" s="23"/>
      <c r="Y2" s="23"/>
      <c r="Z2" s="23"/>
      <c r="AA2" s="23" t="s">
        <v>15399</v>
      </c>
    </row>
    <row r="3" ht="12.75" customHeight="1">
      <c r="A3" s="2" t="s">
        <v>23</v>
      </c>
      <c r="B3" s="2" t="s">
        <v>353</v>
      </c>
      <c r="C3" s="2" t="s">
        <v>354</v>
      </c>
      <c r="D3" s="2" t="s">
        <v>3263</v>
      </c>
      <c r="E3" s="2" t="s">
        <v>35</v>
      </c>
      <c r="F3" s="2" t="s">
        <v>12129</v>
      </c>
      <c r="G3" s="2" t="s">
        <v>15410</v>
      </c>
      <c r="H3" s="2" t="s">
        <v>355</v>
      </c>
      <c r="I3" s="2" t="s">
        <v>15408</v>
      </c>
      <c r="J3" s="2" t="s">
        <v>15409</v>
      </c>
      <c r="K3" s="2" t="s">
        <v>215</v>
      </c>
      <c r="L3" s="2" t="s">
        <v>219</v>
      </c>
      <c r="M3" s="2" t="s">
        <v>12436</v>
      </c>
      <c r="N3" s="2">
        <v>2015.0</v>
      </c>
      <c r="O3" s="2" t="s">
        <v>356</v>
      </c>
      <c r="P3" s="15" t="str">
        <f>HYPERLINK("http://dx.doi.org/10.5670/oceanog.2015.29","http://dx.doi.org/10.5670/oceanog.2015.29")</f>
        <v>http://dx.doi.org/10.5670/oceanog.2015.29</v>
      </c>
      <c r="Q3" s="2" t="s">
        <v>219</v>
      </c>
      <c r="R3" s="2" t="s">
        <v>219</v>
      </c>
      <c r="S3" s="2" t="s">
        <v>12152</v>
      </c>
      <c r="T3" s="2" t="s">
        <v>358</v>
      </c>
      <c r="V3" s="23" t="s">
        <v>15399</v>
      </c>
      <c r="W3" s="23"/>
      <c r="X3" s="23"/>
      <c r="Y3" s="23"/>
      <c r="Z3" s="23"/>
      <c r="AA3" s="23" t="s">
        <v>15399</v>
      </c>
    </row>
    <row r="4" ht="12.75" customHeight="1">
      <c r="A4" s="2" t="s">
        <v>23</v>
      </c>
      <c r="B4" s="2" t="s">
        <v>423</v>
      </c>
      <c r="C4" s="2" t="s">
        <v>424</v>
      </c>
      <c r="D4" s="2" t="s">
        <v>3263</v>
      </c>
      <c r="E4" s="2" t="s">
        <v>266</v>
      </c>
      <c r="F4" s="2" t="s">
        <v>12129</v>
      </c>
      <c r="G4" s="2" t="s">
        <v>15411</v>
      </c>
      <c r="H4" s="2" t="s">
        <v>426</v>
      </c>
      <c r="I4" s="2" t="s">
        <v>12954</v>
      </c>
      <c r="J4" s="2" t="s">
        <v>12955</v>
      </c>
      <c r="K4" s="2" t="s">
        <v>15412</v>
      </c>
      <c r="L4" s="2" t="s">
        <v>3102</v>
      </c>
      <c r="M4" s="2" t="s">
        <v>12660</v>
      </c>
      <c r="N4" s="2">
        <v>2015.0</v>
      </c>
      <c r="O4" s="2" t="s">
        <v>427</v>
      </c>
      <c r="P4" s="15" t="str">
        <f>HYPERLINK("http://dx.doi.org/10.3390/su7022086","http://dx.doi.org/10.3390/su7022086")</f>
        <v>http://dx.doi.org/10.3390/su7022086</v>
      </c>
      <c r="Q4" s="2" t="s">
        <v>429</v>
      </c>
      <c r="R4" s="2" t="s">
        <v>15413</v>
      </c>
      <c r="S4" s="2" t="s">
        <v>12152</v>
      </c>
      <c r="T4" s="2" t="s">
        <v>430</v>
      </c>
      <c r="V4" s="23" t="s">
        <v>15399</v>
      </c>
      <c r="W4" s="23"/>
      <c r="X4" s="23"/>
      <c r="Y4" s="23" t="s">
        <v>15399</v>
      </c>
      <c r="Z4" s="23"/>
      <c r="AA4" s="23"/>
    </row>
    <row r="5" ht="12.75" customHeight="1">
      <c r="A5" s="2" t="s">
        <v>23</v>
      </c>
      <c r="B5" s="2" t="s">
        <v>139</v>
      </c>
      <c r="C5" s="2" t="s">
        <v>140</v>
      </c>
      <c r="D5" s="2" t="s">
        <v>3263</v>
      </c>
      <c r="E5" s="2" t="s">
        <v>27</v>
      </c>
      <c r="F5" s="2" t="s">
        <v>15414</v>
      </c>
      <c r="G5" s="2" t="s">
        <v>15415</v>
      </c>
      <c r="H5" s="2" t="s">
        <v>142</v>
      </c>
      <c r="I5" s="2" t="s">
        <v>15416</v>
      </c>
      <c r="J5" s="2" t="s">
        <v>15417</v>
      </c>
      <c r="K5" s="2" t="s">
        <v>15418</v>
      </c>
      <c r="L5" s="2" t="s">
        <v>15419</v>
      </c>
      <c r="M5" s="2" t="s">
        <v>12129</v>
      </c>
      <c r="N5" s="2">
        <v>2017.0</v>
      </c>
      <c r="O5" s="2" t="s">
        <v>143</v>
      </c>
      <c r="P5" s="15" t="str">
        <f>HYPERLINK("http://dx.doi.org/10.3389/fmars.2017.00158","http://dx.doi.org/10.3389/fmars.2017.00158")</f>
        <v>http://dx.doi.org/10.3389/fmars.2017.00158</v>
      </c>
      <c r="Q5" s="2" t="s">
        <v>145</v>
      </c>
      <c r="R5" s="2" t="s">
        <v>12303</v>
      </c>
      <c r="S5" s="2" t="s">
        <v>12152</v>
      </c>
      <c r="T5" s="2" t="s">
        <v>146</v>
      </c>
      <c r="V5" s="23" t="s">
        <v>15399</v>
      </c>
      <c r="W5" s="23"/>
      <c r="X5" s="23"/>
      <c r="Y5" s="23"/>
      <c r="Z5" s="23"/>
      <c r="AA5" s="23" t="s">
        <v>15399</v>
      </c>
    </row>
    <row r="6" ht="12.75" customHeight="1">
      <c r="A6" s="2" t="s">
        <v>23</v>
      </c>
      <c r="B6" s="2" t="s">
        <v>534</v>
      </c>
      <c r="C6" s="2" t="s">
        <v>535</v>
      </c>
      <c r="D6" s="2" t="s">
        <v>3263</v>
      </c>
      <c r="E6" s="2" t="s">
        <v>35</v>
      </c>
      <c r="F6" s="2" t="s">
        <v>15420</v>
      </c>
      <c r="G6" s="2" t="s">
        <v>15421</v>
      </c>
      <c r="H6" s="2" t="s">
        <v>536</v>
      </c>
      <c r="I6" s="2" t="s">
        <v>15416</v>
      </c>
      <c r="J6" s="2" t="s">
        <v>15417</v>
      </c>
      <c r="K6" s="2" t="s">
        <v>15418</v>
      </c>
      <c r="L6" s="2" t="s">
        <v>15419</v>
      </c>
      <c r="M6" s="2" t="s">
        <v>12129</v>
      </c>
      <c r="N6" s="2">
        <v>2014.0</v>
      </c>
      <c r="O6" s="2" t="s">
        <v>537</v>
      </c>
      <c r="P6" s="15" t="str">
        <f>HYPERLINK("http://dx.doi.org/10.3389/fmars.2014.00004","http://dx.doi.org/10.3389/fmars.2014.00004")</f>
        <v>http://dx.doi.org/10.3389/fmars.2014.00004</v>
      </c>
      <c r="Q6" s="2" t="s">
        <v>145</v>
      </c>
      <c r="R6" s="2" t="s">
        <v>12303</v>
      </c>
      <c r="S6" s="2" t="s">
        <v>12152</v>
      </c>
      <c r="T6" s="2" t="s">
        <v>539</v>
      </c>
      <c r="V6" s="23" t="s">
        <v>15399</v>
      </c>
      <c r="W6" s="23"/>
      <c r="X6" s="23"/>
      <c r="Y6" s="23"/>
      <c r="Z6" s="23"/>
      <c r="AA6" s="23" t="s">
        <v>15399</v>
      </c>
    </row>
    <row r="7" ht="12.75" customHeight="1">
      <c r="A7" s="2" t="s">
        <v>23</v>
      </c>
      <c r="B7" s="2" t="s">
        <v>1266</v>
      </c>
      <c r="C7" s="2" t="s">
        <v>1267</v>
      </c>
      <c r="D7" s="2" t="s">
        <v>3263</v>
      </c>
      <c r="E7" s="2" t="s">
        <v>35</v>
      </c>
      <c r="F7" s="2" t="s">
        <v>12129</v>
      </c>
      <c r="G7" s="2" t="s">
        <v>12129</v>
      </c>
      <c r="H7" s="2" t="s">
        <v>1269</v>
      </c>
      <c r="I7" s="2" t="s">
        <v>12243</v>
      </c>
      <c r="J7" s="2" t="s">
        <v>12244</v>
      </c>
      <c r="K7" s="2" t="s">
        <v>15422</v>
      </c>
      <c r="L7" s="2" t="s">
        <v>15423</v>
      </c>
      <c r="M7" s="2" t="s">
        <v>12148</v>
      </c>
      <c r="N7" s="2">
        <v>1987.0</v>
      </c>
      <c r="O7" s="2" t="s">
        <v>1270</v>
      </c>
      <c r="P7" s="15" t="str">
        <f>HYPERLINK("http://dx.doi.org/10.2134/jeq1987.00472425001600040016x","http://dx.doi.org/10.2134/jeq1987.00472425001600040016x")</f>
        <v>http://dx.doi.org/10.2134/jeq1987.00472425001600040016x</v>
      </c>
      <c r="Q7" s="2" t="s">
        <v>65</v>
      </c>
      <c r="R7" s="2" t="s">
        <v>12251</v>
      </c>
      <c r="S7" s="2" t="s">
        <v>12152</v>
      </c>
      <c r="T7" s="2" t="s">
        <v>1272</v>
      </c>
      <c r="V7" s="23" t="s">
        <v>15399</v>
      </c>
      <c r="W7" s="23" t="s">
        <v>15399</v>
      </c>
      <c r="X7" s="23"/>
      <c r="Y7" s="23"/>
      <c r="Z7" s="23"/>
      <c r="AA7" s="23"/>
    </row>
    <row r="8" ht="12.75" customHeight="1">
      <c r="A8" s="2" t="s">
        <v>23</v>
      </c>
      <c r="B8" s="2" t="s">
        <v>689</v>
      </c>
      <c r="C8" s="2" t="s">
        <v>690</v>
      </c>
      <c r="D8" s="2" t="s">
        <v>3263</v>
      </c>
      <c r="E8" s="2" t="s">
        <v>27</v>
      </c>
      <c r="F8" s="2" t="s">
        <v>12129</v>
      </c>
      <c r="G8" s="2" t="s">
        <v>15424</v>
      </c>
      <c r="H8" s="2" t="s">
        <v>692</v>
      </c>
      <c r="I8" s="2" t="s">
        <v>12243</v>
      </c>
      <c r="J8" s="2" t="s">
        <v>12244</v>
      </c>
      <c r="K8" s="2" t="s">
        <v>15425</v>
      </c>
      <c r="L8" s="2" t="s">
        <v>15426</v>
      </c>
      <c r="M8" s="2" t="s">
        <v>12249</v>
      </c>
      <c r="N8" s="2">
        <v>2012.0</v>
      </c>
      <c r="O8" s="2" t="s">
        <v>693</v>
      </c>
      <c r="P8" s="15" t="str">
        <f>HYPERLINK("http://dx.doi.org/10.1890/110049","http://dx.doi.org/10.1890/110049")</f>
        <v>http://dx.doi.org/10.1890/110049</v>
      </c>
      <c r="Q8" s="2" t="s">
        <v>695</v>
      </c>
      <c r="R8" s="2" t="s">
        <v>12251</v>
      </c>
      <c r="S8" s="2" t="s">
        <v>12152</v>
      </c>
      <c r="T8" s="2" t="s">
        <v>696</v>
      </c>
      <c r="V8" s="23" t="s">
        <v>15399</v>
      </c>
      <c r="W8" s="23" t="s">
        <v>15399</v>
      </c>
      <c r="X8" s="23"/>
      <c r="Y8" s="23"/>
      <c r="Z8" s="23"/>
      <c r="AA8" s="23"/>
    </row>
    <row r="9" ht="12.75" customHeight="1">
      <c r="A9" s="2" t="s">
        <v>23</v>
      </c>
      <c r="B9" s="2" t="s">
        <v>892</v>
      </c>
      <c r="C9" s="2" t="s">
        <v>893</v>
      </c>
      <c r="D9" s="2" t="s">
        <v>3263</v>
      </c>
      <c r="E9" s="2" t="s">
        <v>27</v>
      </c>
      <c r="F9" s="2" t="s">
        <v>12129</v>
      </c>
      <c r="G9" s="2" t="s">
        <v>15427</v>
      </c>
      <c r="H9" s="2" t="s">
        <v>894</v>
      </c>
      <c r="I9" s="2" t="s">
        <v>12243</v>
      </c>
      <c r="J9" s="2" t="s">
        <v>12244</v>
      </c>
      <c r="K9" s="2" t="s">
        <v>15425</v>
      </c>
      <c r="L9" s="2" t="s">
        <v>15426</v>
      </c>
      <c r="M9" s="2" t="s">
        <v>12561</v>
      </c>
      <c r="N9" s="2">
        <v>2010.0</v>
      </c>
      <c r="O9" s="2" t="s">
        <v>895</v>
      </c>
      <c r="P9" s="15" t="str">
        <f>HYPERLINK("http://dx.doi.org/10.1890/080083","http://dx.doi.org/10.1890/080083")</f>
        <v>http://dx.doi.org/10.1890/080083</v>
      </c>
      <c r="Q9" s="2" t="s">
        <v>695</v>
      </c>
      <c r="R9" s="2" t="s">
        <v>12251</v>
      </c>
      <c r="S9" s="2" t="s">
        <v>12152</v>
      </c>
      <c r="T9" s="2" t="s">
        <v>897</v>
      </c>
      <c r="V9" s="23" t="s">
        <v>15399</v>
      </c>
      <c r="W9" s="23"/>
      <c r="X9" s="23"/>
      <c r="Y9" s="23"/>
      <c r="Z9" s="23" t="s">
        <v>15399</v>
      </c>
      <c r="AA9" s="23"/>
    </row>
    <row r="10" ht="12.75" customHeight="1">
      <c r="A10" s="2" t="s">
        <v>23</v>
      </c>
      <c r="B10" s="2" t="s">
        <v>974</v>
      </c>
      <c r="C10" s="2" t="s">
        <v>975</v>
      </c>
      <c r="D10" s="2" t="s">
        <v>3263</v>
      </c>
      <c r="E10" s="2" t="s">
        <v>27</v>
      </c>
      <c r="F10" s="2" t="s">
        <v>12129</v>
      </c>
      <c r="G10" s="2" t="s">
        <v>15428</v>
      </c>
      <c r="H10" s="2" t="s">
        <v>976</v>
      </c>
      <c r="I10" s="2" t="s">
        <v>12243</v>
      </c>
      <c r="J10" s="2" t="s">
        <v>12244</v>
      </c>
      <c r="K10" s="2" t="s">
        <v>15425</v>
      </c>
      <c r="L10" s="2" t="s">
        <v>15426</v>
      </c>
      <c r="M10" s="2" t="s">
        <v>13078</v>
      </c>
      <c r="N10" s="2">
        <v>2009.0</v>
      </c>
      <c r="O10" s="2" t="s">
        <v>977</v>
      </c>
      <c r="P10" s="15" t="str">
        <f>HYPERLINK("http://dx.doi.org/10.1890/070193","http://dx.doi.org/10.1890/070193")</f>
        <v>http://dx.doi.org/10.1890/070193</v>
      </c>
      <c r="Q10" s="2" t="s">
        <v>695</v>
      </c>
      <c r="R10" s="2" t="s">
        <v>12251</v>
      </c>
      <c r="S10" s="2" t="s">
        <v>12152</v>
      </c>
      <c r="T10" s="2" t="s">
        <v>979</v>
      </c>
      <c r="V10" s="23" t="s">
        <v>15399</v>
      </c>
      <c r="W10" s="23"/>
      <c r="X10" s="23" t="s">
        <v>15399</v>
      </c>
      <c r="Y10" s="23"/>
      <c r="Z10" s="23"/>
      <c r="AA10" s="23"/>
    </row>
    <row r="11" ht="12.75" customHeight="1">
      <c r="A11" s="2" t="s">
        <v>23</v>
      </c>
      <c r="B11" s="2" t="s">
        <v>1098</v>
      </c>
      <c r="C11" s="2" t="s">
        <v>1099</v>
      </c>
      <c r="D11" s="2" t="s">
        <v>3263</v>
      </c>
      <c r="E11" s="2" t="s">
        <v>35</v>
      </c>
      <c r="F11" s="2" t="s">
        <v>15429</v>
      </c>
      <c r="G11" s="2" t="s">
        <v>15430</v>
      </c>
      <c r="H11" s="2" t="s">
        <v>1101</v>
      </c>
      <c r="I11" s="2" t="s">
        <v>12243</v>
      </c>
      <c r="J11" s="2" t="s">
        <v>12244</v>
      </c>
      <c r="K11" s="2" t="s">
        <v>1100</v>
      </c>
      <c r="L11" s="2" t="s">
        <v>814</v>
      </c>
      <c r="M11" s="2" t="s">
        <v>13127</v>
      </c>
      <c r="N11" s="2">
        <v>2005.0</v>
      </c>
      <c r="O11" s="2" t="s">
        <v>1102</v>
      </c>
      <c r="P11" s="15" t="str">
        <f>HYPERLINK("http://dx.doi.org/10.1890/03-0564","http://dx.doi.org/10.1890/03-0564")</f>
        <v>http://dx.doi.org/10.1890/03-0564</v>
      </c>
      <c r="Q11" s="2" t="s">
        <v>814</v>
      </c>
      <c r="R11" s="2" t="s">
        <v>12251</v>
      </c>
      <c r="S11" s="2" t="s">
        <v>12152</v>
      </c>
      <c r="T11" s="2" t="s">
        <v>1104</v>
      </c>
      <c r="V11" s="23" t="s">
        <v>15399</v>
      </c>
      <c r="W11" s="23" t="s">
        <v>15399</v>
      </c>
      <c r="X11" s="23"/>
      <c r="Y11" s="23"/>
      <c r="Z11" s="23"/>
      <c r="AA11" s="23"/>
    </row>
    <row r="12" ht="12.75" customHeight="1">
      <c r="A12" s="2" t="s">
        <v>23</v>
      </c>
      <c r="B12" s="2" t="s">
        <v>1184</v>
      </c>
      <c r="C12" s="2" t="s">
        <v>1185</v>
      </c>
      <c r="D12" s="2" t="s">
        <v>3263</v>
      </c>
      <c r="E12" s="2" t="s">
        <v>35</v>
      </c>
      <c r="F12" s="2" t="s">
        <v>15431</v>
      </c>
      <c r="G12" s="2" t="s">
        <v>15432</v>
      </c>
      <c r="H12" s="2" t="s">
        <v>1187</v>
      </c>
      <c r="I12" s="2" t="s">
        <v>15433</v>
      </c>
      <c r="J12" s="2" t="s">
        <v>12632</v>
      </c>
      <c r="K12" s="2" t="s">
        <v>1186</v>
      </c>
      <c r="L12" s="2" t="s">
        <v>2633</v>
      </c>
      <c r="M12" s="2" t="s">
        <v>12436</v>
      </c>
      <c r="N12" s="2">
        <v>2002.0</v>
      </c>
      <c r="O12" s="2" t="s">
        <v>1188</v>
      </c>
      <c r="P12" s="15" t="str">
        <f>HYPERLINK("http://dx.doi.org/10.1675/1524-4695(2002)025[0173:GCCASL]2.0.CO;2","http://dx.doi.org/10.1675/1524-4695(2002)025[0173:GCCASL]2.0.CO;2")</f>
        <v>http://dx.doi.org/10.1675/1524-4695(2002)025[0173:GCCASL]2.0.CO;2</v>
      </c>
      <c r="Q12" s="2" t="s">
        <v>270</v>
      </c>
      <c r="R12" s="2" t="s">
        <v>12509</v>
      </c>
      <c r="S12" s="2" t="s">
        <v>12152</v>
      </c>
      <c r="T12" s="2" t="s">
        <v>1190</v>
      </c>
      <c r="V12" s="23" t="s">
        <v>15399</v>
      </c>
      <c r="W12" s="23"/>
      <c r="X12" s="23"/>
      <c r="Y12" s="23"/>
      <c r="Z12" s="23"/>
      <c r="AA12" s="23" t="s">
        <v>15399</v>
      </c>
    </row>
    <row r="13" ht="12.75" customHeight="1">
      <c r="A13" s="2" t="s">
        <v>23</v>
      </c>
      <c r="B13" s="2" t="s">
        <v>1205</v>
      </c>
      <c r="C13" s="2" t="s">
        <v>1206</v>
      </c>
      <c r="D13" s="2" t="s">
        <v>3263</v>
      </c>
      <c r="E13" s="2" t="s">
        <v>35</v>
      </c>
      <c r="F13" s="2" t="s">
        <v>12129</v>
      </c>
      <c r="G13" s="2" t="s">
        <v>15434</v>
      </c>
      <c r="H13" s="2" t="s">
        <v>12129</v>
      </c>
      <c r="I13" s="2" t="s">
        <v>13792</v>
      </c>
      <c r="J13" s="2" t="s">
        <v>12295</v>
      </c>
      <c r="K13" s="2" t="s">
        <v>795</v>
      </c>
      <c r="L13" s="2" t="s">
        <v>6090</v>
      </c>
      <c r="M13" s="2" t="s">
        <v>12660</v>
      </c>
      <c r="N13" s="2">
        <v>2002.0</v>
      </c>
      <c r="O13" s="2" t="s">
        <v>1207</v>
      </c>
      <c r="P13" s="15" t="str">
        <f>HYPERLINK("http://dx.doi.org/10.1641/0006-3568(2002)052[0143:PCAUDF]2.0.CO;2","http://dx.doi.org/10.1641/0006-3568(2002)052[0143:PCAUDF]2.0.CO;2")</f>
        <v>http://dx.doi.org/10.1641/0006-3568(2002)052[0143:PCAUDF]2.0.CO;2</v>
      </c>
      <c r="Q13" s="2" t="s">
        <v>185</v>
      </c>
      <c r="R13" s="2" t="s">
        <v>13772</v>
      </c>
      <c r="S13" s="2" t="s">
        <v>12152</v>
      </c>
      <c r="T13" s="2" t="s">
        <v>1209</v>
      </c>
      <c r="V13" s="23" t="s">
        <v>15399</v>
      </c>
      <c r="W13" s="23"/>
      <c r="X13" s="23" t="s">
        <v>15399</v>
      </c>
      <c r="Y13" s="23"/>
      <c r="Z13" s="23"/>
      <c r="AA13" s="23" t="s">
        <v>15399</v>
      </c>
    </row>
    <row r="14" ht="12.75" customHeight="1">
      <c r="A14" s="2" t="s">
        <v>23</v>
      </c>
      <c r="B14" s="2" t="s">
        <v>1218</v>
      </c>
      <c r="C14" s="2" t="s">
        <v>1219</v>
      </c>
      <c r="D14" s="2" t="s">
        <v>3263</v>
      </c>
      <c r="E14" s="2" t="s">
        <v>35</v>
      </c>
      <c r="F14" s="2" t="s">
        <v>12129</v>
      </c>
      <c r="G14" s="2" t="s">
        <v>15435</v>
      </c>
      <c r="H14" s="2" t="s">
        <v>12129</v>
      </c>
      <c r="I14" s="2" t="s">
        <v>13792</v>
      </c>
      <c r="J14" s="2" t="s">
        <v>12295</v>
      </c>
      <c r="K14" s="2" t="s">
        <v>795</v>
      </c>
      <c r="L14" s="2" t="s">
        <v>6090</v>
      </c>
      <c r="M14" s="2" t="s">
        <v>13078</v>
      </c>
      <c r="N14" s="2">
        <v>2001.0</v>
      </c>
      <c r="O14" s="2" t="s">
        <v>1220</v>
      </c>
      <c r="P14" s="15" t="str">
        <f>HYPERLINK("http://dx.doi.org/10.1641/0006-3568(2001)051[0180:ADITNU]2.0.CO;2","http://dx.doi.org/10.1641/0006-3568(2001)051[0180:ADITNU]2.0.CO;2")</f>
        <v>http://dx.doi.org/10.1641/0006-3568(2001)051[0180:ADITNU]2.0.CO;2</v>
      </c>
      <c r="Q14" s="2" t="s">
        <v>185</v>
      </c>
      <c r="R14" s="2" t="s">
        <v>13772</v>
      </c>
      <c r="S14" s="2" t="s">
        <v>12152</v>
      </c>
      <c r="T14" s="2" t="s">
        <v>1222</v>
      </c>
      <c r="V14" s="23" t="s">
        <v>15399</v>
      </c>
      <c r="W14" s="23" t="s">
        <v>15399</v>
      </c>
      <c r="X14" s="23"/>
      <c r="Y14" s="23"/>
      <c r="Z14" s="23"/>
      <c r="AA14" s="23"/>
    </row>
    <row r="15" ht="12.75" customHeight="1">
      <c r="A15" s="2" t="s">
        <v>23</v>
      </c>
      <c r="B15" s="2" t="s">
        <v>793</v>
      </c>
      <c r="C15" s="2" t="s">
        <v>794</v>
      </c>
      <c r="D15" s="2" t="s">
        <v>3263</v>
      </c>
      <c r="E15" s="2" t="s">
        <v>35</v>
      </c>
      <c r="F15" s="2" t="s">
        <v>15436</v>
      </c>
      <c r="G15" s="2" t="s">
        <v>15437</v>
      </c>
      <c r="H15" s="2" t="s">
        <v>796</v>
      </c>
      <c r="I15" s="2" t="s">
        <v>15438</v>
      </c>
      <c r="J15" s="2" t="s">
        <v>12632</v>
      </c>
      <c r="K15" s="2" t="s">
        <v>795</v>
      </c>
      <c r="L15" s="2" t="s">
        <v>6090</v>
      </c>
      <c r="M15" s="2" t="s">
        <v>12764</v>
      </c>
      <c r="N15" s="2">
        <v>2010.0</v>
      </c>
      <c r="O15" s="2" t="s">
        <v>797</v>
      </c>
      <c r="P15" s="15" t="str">
        <f>HYPERLINK("http://dx.doi.org/10.1525/bio.2010.60.11.5","http://dx.doi.org/10.1525/bio.2010.60.11.5")</f>
        <v>http://dx.doi.org/10.1525/bio.2010.60.11.5</v>
      </c>
      <c r="Q15" s="2" t="s">
        <v>185</v>
      </c>
      <c r="R15" s="2" t="s">
        <v>13772</v>
      </c>
      <c r="S15" s="2" t="s">
        <v>12152</v>
      </c>
      <c r="T15" s="2" t="s">
        <v>799</v>
      </c>
      <c r="V15" s="23" t="s">
        <v>15399</v>
      </c>
      <c r="W15" s="23"/>
      <c r="X15" s="23"/>
      <c r="Y15" s="23"/>
      <c r="Z15" s="23" t="s">
        <v>15399</v>
      </c>
      <c r="AA15" s="23"/>
    </row>
    <row r="16" ht="12.75" customHeight="1">
      <c r="A16" s="2" t="s">
        <v>23</v>
      </c>
      <c r="B16" s="2" t="s">
        <v>360</v>
      </c>
      <c r="C16" s="2" t="s">
        <v>361</v>
      </c>
      <c r="D16" s="2" t="s">
        <v>3263</v>
      </c>
      <c r="E16" s="2" t="s">
        <v>35</v>
      </c>
      <c r="F16" s="2" t="s">
        <v>12129</v>
      </c>
      <c r="G16" s="2" t="s">
        <v>15439</v>
      </c>
      <c r="H16" s="2" t="s">
        <v>363</v>
      </c>
      <c r="I16" s="2" t="s">
        <v>12195</v>
      </c>
      <c r="J16" s="2" t="s">
        <v>12196</v>
      </c>
      <c r="K16" s="2" t="s">
        <v>362</v>
      </c>
      <c r="L16" s="2" t="s">
        <v>12198</v>
      </c>
      <c r="M16" s="2" t="s">
        <v>15440</v>
      </c>
      <c r="N16" s="2">
        <v>2015.0</v>
      </c>
      <c r="O16" s="2" t="s">
        <v>364</v>
      </c>
      <c r="P16" s="15" t="str">
        <f>HYPERLINK("http://dx.doi.org/10.1371/journal.pone.0127533","http://dx.doi.org/10.1371/journal.pone.0127533")</f>
        <v>http://dx.doi.org/10.1371/journal.pone.0127533</v>
      </c>
      <c r="Q16" s="2" t="s">
        <v>39</v>
      </c>
      <c r="R16" s="2" t="s">
        <v>12202</v>
      </c>
      <c r="S16" s="2" t="s">
        <v>12152</v>
      </c>
      <c r="T16" s="2" t="s">
        <v>366</v>
      </c>
      <c r="V16" s="23" t="s">
        <v>15399</v>
      </c>
      <c r="W16" s="23"/>
      <c r="X16" s="23"/>
      <c r="Y16" s="23"/>
      <c r="Z16" s="23"/>
      <c r="AA16" s="23" t="s">
        <v>15399</v>
      </c>
    </row>
    <row r="17" ht="12.75" customHeight="1">
      <c r="A17" s="2" t="s">
        <v>23</v>
      </c>
      <c r="B17" s="2" t="s">
        <v>448</v>
      </c>
      <c r="C17" s="2" t="s">
        <v>449</v>
      </c>
      <c r="D17" s="2" t="s">
        <v>3263</v>
      </c>
      <c r="E17" s="2" t="s">
        <v>35</v>
      </c>
      <c r="F17" s="2" t="s">
        <v>12129</v>
      </c>
      <c r="G17" s="2" t="s">
        <v>15441</v>
      </c>
      <c r="H17" s="2" t="s">
        <v>450</v>
      </c>
      <c r="I17" s="2" t="s">
        <v>12195</v>
      </c>
      <c r="J17" s="2" t="s">
        <v>12196</v>
      </c>
      <c r="K17" s="2" t="s">
        <v>362</v>
      </c>
      <c r="L17" s="2" t="s">
        <v>12198</v>
      </c>
      <c r="M17" s="2" t="s">
        <v>15442</v>
      </c>
      <c r="N17" s="2">
        <v>2014.0</v>
      </c>
      <c r="O17" s="2" t="s">
        <v>451</v>
      </c>
      <c r="P17" s="15" t="str">
        <f>HYPERLINK("http://dx.doi.org/10.1371/journal.pone.0111913","http://dx.doi.org/10.1371/journal.pone.0111913")</f>
        <v>http://dx.doi.org/10.1371/journal.pone.0111913</v>
      </c>
      <c r="Q17" s="2" t="s">
        <v>39</v>
      </c>
      <c r="R17" s="2" t="s">
        <v>12202</v>
      </c>
      <c r="S17" s="2" t="s">
        <v>12152</v>
      </c>
      <c r="T17" s="2" t="s">
        <v>453</v>
      </c>
      <c r="V17" s="23" t="s">
        <v>15399</v>
      </c>
      <c r="W17" s="23"/>
      <c r="X17" s="23"/>
      <c r="Y17" s="23" t="s">
        <v>15399</v>
      </c>
      <c r="Z17" s="23"/>
      <c r="AA17" s="23"/>
    </row>
    <row r="18" ht="12.75" customHeight="1">
      <c r="A18" s="2" t="s">
        <v>23</v>
      </c>
      <c r="B18" s="2" t="s">
        <v>593</v>
      </c>
      <c r="C18" s="2" t="s">
        <v>594</v>
      </c>
      <c r="D18" s="2" t="s">
        <v>3263</v>
      </c>
      <c r="E18" s="2" t="s">
        <v>35</v>
      </c>
      <c r="F18" s="2" t="s">
        <v>12129</v>
      </c>
      <c r="G18" s="2" t="s">
        <v>15443</v>
      </c>
      <c r="H18" s="2" t="s">
        <v>595</v>
      </c>
      <c r="I18" s="2" t="s">
        <v>12195</v>
      </c>
      <c r="J18" s="2" t="s">
        <v>12196</v>
      </c>
      <c r="K18" s="2" t="s">
        <v>362</v>
      </c>
      <c r="L18" s="2" t="s">
        <v>12198</v>
      </c>
      <c r="M18" s="2" t="s">
        <v>15444</v>
      </c>
      <c r="N18" s="2">
        <v>2013.0</v>
      </c>
      <c r="O18" s="2" t="s">
        <v>596</v>
      </c>
      <c r="P18" s="15" t="str">
        <f>HYPERLINK("http://dx.doi.org/10.1371/journal.pone.0062374","http://dx.doi.org/10.1371/journal.pone.0062374")</f>
        <v>http://dx.doi.org/10.1371/journal.pone.0062374</v>
      </c>
      <c r="Q18" s="2" t="s">
        <v>39</v>
      </c>
      <c r="R18" s="2" t="s">
        <v>12202</v>
      </c>
      <c r="S18" s="2" t="s">
        <v>12152</v>
      </c>
      <c r="T18" s="2" t="s">
        <v>598</v>
      </c>
      <c r="V18" s="23" t="s">
        <v>15399</v>
      </c>
      <c r="W18" s="23"/>
      <c r="X18" s="23"/>
      <c r="Y18" s="23" t="s">
        <v>15399</v>
      </c>
      <c r="Z18" s="23"/>
      <c r="AA18" s="23"/>
    </row>
    <row r="19" ht="12.75" customHeight="1">
      <c r="A19" s="2" t="s">
        <v>23</v>
      </c>
      <c r="B19" s="2" t="s">
        <v>786</v>
      </c>
      <c r="C19" s="2" t="s">
        <v>787</v>
      </c>
      <c r="D19" s="2" t="s">
        <v>3263</v>
      </c>
      <c r="E19" s="2" t="s">
        <v>35</v>
      </c>
      <c r="F19" s="2" t="s">
        <v>12129</v>
      </c>
      <c r="G19" s="2" t="s">
        <v>15445</v>
      </c>
      <c r="H19" s="2" t="s">
        <v>788</v>
      </c>
      <c r="I19" s="2" t="s">
        <v>12195</v>
      </c>
      <c r="J19" s="2" t="s">
        <v>12196</v>
      </c>
      <c r="K19" s="2" t="s">
        <v>362</v>
      </c>
      <c r="L19" s="2" t="s">
        <v>12198</v>
      </c>
      <c r="M19" s="2" t="s">
        <v>14309</v>
      </c>
      <c r="N19" s="2">
        <v>2010.0</v>
      </c>
      <c r="O19" s="2" t="s">
        <v>789</v>
      </c>
      <c r="P19" s="15" t="str">
        <f>HYPERLINK("http://dx.doi.org/10.1371/journal.pone.0014327","http://dx.doi.org/10.1371/journal.pone.0014327")</f>
        <v>http://dx.doi.org/10.1371/journal.pone.0014327</v>
      </c>
      <c r="Q19" s="2" t="s">
        <v>39</v>
      </c>
      <c r="R19" s="2" t="s">
        <v>12202</v>
      </c>
      <c r="S19" s="2" t="s">
        <v>12152</v>
      </c>
      <c r="T19" s="2" t="s">
        <v>791</v>
      </c>
      <c r="V19" s="23" t="s">
        <v>15399</v>
      </c>
      <c r="W19" s="23" t="s">
        <v>15399</v>
      </c>
      <c r="X19" s="23"/>
      <c r="Y19" s="23"/>
      <c r="Z19" s="23"/>
      <c r="AA19" s="23"/>
    </row>
    <row r="20" ht="12.75" customHeight="1">
      <c r="A20" s="2" t="s">
        <v>23</v>
      </c>
      <c r="B20" s="2" t="s">
        <v>869</v>
      </c>
      <c r="C20" s="2" t="s">
        <v>870</v>
      </c>
      <c r="D20" s="2" t="s">
        <v>3263</v>
      </c>
      <c r="E20" s="2" t="s">
        <v>35</v>
      </c>
      <c r="F20" s="2" t="s">
        <v>15446</v>
      </c>
      <c r="G20" s="2" t="s">
        <v>15447</v>
      </c>
      <c r="H20" s="2" t="s">
        <v>872</v>
      </c>
      <c r="I20" s="2" t="s">
        <v>15448</v>
      </c>
      <c r="J20" s="2" t="s">
        <v>15449</v>
      </c>
      <c r="K20" s="2" t="s">
        <v>15450</v>
      </c>
      <c r="L20" s="2" t="s">
        <v>15451</v>
      </c>
      <c r="M20" s="2" t="s">
        <v>12436</v>
      </c>
      <c r="N20" s="2">
        <v>2010.0</v>
      </c>
      <c r="O20" s="2" t="s">
        <v>873</v>
      </c>
      <c r="P20" s="15" t="str">
        <f>HYPERLINK("http://dx.doi.org/10.1289/ehp.0901623","http://dx.doi.org/10.1289/ehp.0901623")</f>
        <v>http://dx.doi.org/10.1289/ehp.0901623</v>
      </c>
      <c r="Q20" s="2" t="s">
        <v>875</v>
      </c>
      <c r="R20" s="2" t="s">
        <v>15452</v>
      </c>
      <c r="S20" s="2" t="s">
        <v>12152</v>
      </c>
      <c r="T20" s="2" t="s">
        <v>876</v>
      </c>
      <c r="V20" s="23" t="s">
        <v>15399</v>
      </c>
      <c r="W20" s="23"/>
      <c r="X20" s="23"/>
      <c r="Y20" s="23" t="s">
        <v>15399</v>
      </c>
      <c r="Z20" s="23"/>
      <c r="AA20" s="23"/>
    </row>
    <row r="21" ht="12.75" customHeight="1">
      <c r="A21" s="2" t="s">
        <v>23</v>
      </c>
      <c r="B21" s="2" t="s">
        <v>42</v>
      </c>
      <c r="C21" s="2" t="s">
        <v>43</v>
      </c>
      <c r="D21" s="2" t="s">
        <v>3263</v>
      </c>
      <c r="E21" s="2" t="s">
        <v>35</v>
      </c>
      <c r="F21" s="2" t="s">
        <v>12129</v>
      </c>
      <c r="G21" s="2" t="s">
        <v>15453</v>
      </c>
      <c r="H21" s="2" t="s">
        <v>12129</v>
      </c>
      <c r="I21" s="2" t="s">
        <v>15454</v>
      </c>
      <c r="J21" s="2" t="s">
        <v>15455</v>
      </c>
      <c r="K21" s="2" t="s">
        <v>15456</v>
      </c>
      <c r="L21" s="2" t="s">
        <v>15457</v>
      </c>
      <c r="M21" s="2" t="s">
        <v>13127</v>
      </c>
      <c r="N21" s="2">
        <v>2018.0</v>
      </c>
      <c r="O21" s="2" t="s">
        <v>45</v>
      </c>
      <c r="P21" s="15" t="str">
        <f>HYPERLINK("http://dx.doi.org/10.1175/BAMS-D-17-0116.1","http://dx.doi.org/10.1175/BAMS-D-17-0116.1")</f>
        <v>http://dx.doi.org/10.1175/BAMS-D-17-0116.1</v>
      </c>
      <c r="Q21" s="2" t="s">
        <v>47</v>
      </c>
      <c r="R21" s="2" t="s">
        <v>47</v>
      </c>
      <c r="S21" s="2" t="s">
        <v>12152</v>
      </c>
      <c r="T21" s="2" t="s">
        <v>48</v>
      </c>
      <c r="V21" s="23" t="s">
        <v>15399</v>
      </c>
      <c r="W21" s="23"/>
      <c r="X21" s="23"/>
      <c r="Y21" s="23"/>
      <c r="Z21" s="23"/>
      <c r="AA21" s="23" t="s">
        <v>15399</v>
      </c>
    </row>
    <row r="22" ht="12.75" customHeight="1">
      <c r="A22" s="2" t="s">
        <v>23</v>
      </c>
      <c r="B22" s="2" t="s">
        <v>92</v>
      </c>
      <c r="C22" s="2" t="s">
        <v>93</v>
      </c>
      <c r="D22" s="2" t="s">
        <v>3263</v>
      </c>
      <c r="E22" s="2" t="s">
        <v>35</v>
      </c>
      <c r="F22" s="2" t="s">
        <v>12129</v>
      </c>
      <c r="G22" s="2" t="s">
        <v>15458</v>
      </c>
      <c r="H22" s="2" t="s">
        <v>94</v>
      </c>
      <c r="I22" s="2" t="s">
        <v>15454</v>
      </c>
      <c r="J22" s="2" t="s">
        <v>15455</v>
      </c>
      <c r="K22" s="2" t="s">
        <v>15456</v>
      </c>
      <c r="L22" s="2" t="s">
        <v>15457</v>
      </c>
      <c r="M22" s="2" t="s">
        <v>12352</v>
      </c>
      <c r="N22" s="2">
        <v>2017.0</v>
      </c>
      <c r="O22" s="2" t="s">
        <v>95</v>
      </c>
      <c r="P22" s="15" t="str">
        <f>HYPERLINK("http://dx.doi.org/10.1175/BAMS-D-16-0009.1","http://dx.doi.org/10.1175/BAMS-D-16-0009.1")</f>
        <v>http://dx.doi.org/10.1175/BAMS-D-16-0009.1</v>
      </c>
      <c r="Q22" s="2" t="s">
        <v>47</v>
      </c>
      <c r="R22" s="2" t="s">
        <v>47</v>
      </c>
      <c r="S22" s="2" t="s">
        <v>12152</v>
      </c>
      <c r="T22" s="2" t="s">
        <v>97</v>
      </c>
      <c r="V22" s="23" t="s">
        <v>15399</v>
      </c>
      <c r="W22" s="23"/>
      <c r="X22" s="23"/>
      <c r="Y22" s="23"/>
      <c r="Z22" s="23"/>
      <c r="AA22" s="23" t="s">
        <v>15399</v>
      </c>
    </row>
    <row r="23" ht="12.75" customHeight="1">
      <c r="A23" s="2" t="s">
        <v>23</v>
      </c>
      <c r="B23" s="2" t="s">
        <v>391</v>
      </c>
      <c r="C23" s="2" t="s">
        <v>392</v>
      </c>
      <c r="D23" s="2" t="s">
        <v>3263</v>
      </c>
      <c r="E23" s="2" t="s">
        <v>35</v>
      </c>
      <c r="F23" s="2" t="s">
        <v>12129</v>
      </c>
      <c r="G23" s="2" t="s">
        <v>15459</v>
      </c>
      <c r="H23" s="2" t="s">
        <v>394</v>
      </c>
      <c r="I23" s="2" t="s">
        <v>15460</v>
      </c>
      <c r="J23" s="2" t="s">
        <v>14366</v>
      </c>
      <c r="K23" s="2" t="s">
        <v>15461</v>
      </c>
      <c r="L23" s="2" t="s">
        <v>15462</v>
      </c>
      <c r="M23" s="2" t="s">
        <v>13078</v>
      </c>
      <c r="N23" s="2">
        <v>2015.0</v>
      </c>
      <c r="O23" s="2" t="s">
        <v>395</v>
      </c>
      <c r="P23" s="15" t="str">
        <f>HYPERLINK("http://dx.doi.org/10.1162/REST_a_00438","http://dx.doi.org/10.1162/REST_a_00438")</f>
        <v>http://dx.doi.org/10.1162/REST_a_00438</v>
      </c>
      <c r="Q23" s="2" t="s">
        <v>397</v>
      </c>
      <c r="R23" s="2" t="s">
        <v>15463</v>
      </c>
      <c r="S23" s="2" t="s">
        <v>12152</v>
      </c>
      <c r="T23" s="2" t="s">
        <v>398</v>
      </c>
      <c r="V23" s="24" t="s">
        <v>15399</v>
      </c>
      <c r="W23" s="24"/>
      <c r="X23" s="24"/>
      <c r="Y23" s="24" t="s">
        <v>15399</v>
      </c>
      <c r="Z23" s="24"/>
      <c r="AA23" s="24"/>
    </row>
    <row r="24" ht="12.75" customHeight="1">
      <c r="A24" s="2" t="s">
        <v>23</v>
      </c>
      <c r="B24" s="2" t="s">
        <v>1059</v>
      </c>
      <c r="C24" s="2" t="s">
        <v>1060</v>
      </c>
      <c r="D24" s="2" t="s">
        <v>3263</v>
      </c>
      <c r="E24" s="2" t="s">
        <v>35</v>
      </c>
      <c r="F24" s="2" t="s">
        <v>15464</v>
      </c>
      <c r="G24" s="2" t="s">
        <v>12129</v>
      </c>
      <c r="H24" s="2" t="s">
        <v>1062</v>
      </c>
      <c r="I24" s="2" t="s">
        <v>12243</v>
      </c>
      <c r="J24" s="2" t="s">
        <v>12244</v>
      </c>
      <c r="K24" s="2" t="s">
        <v>15465</v>
      </c>
      <c r="L24" s="2" t="s">
        <v>15466</v>
      </c>
      <c r="M24" s="2" t="s">
        <v>15467</v>
      </c>
      <c r="N24" s="2">
        <v>2006.0</v>
      </c>
      <c r="O24" s="2" t="s">
        <v>1063</v>
      </c>
      <c r="P24" s="15" t="str">
        <f>HYPERLINK("http://dx.doi.org/10.1162/jiec.2006.10.4.133","http://dx.doi.org/10.1162/jiec.2006.10.4.133")</f>
        <v>http://dx.doi.org/10.1162/jiec.2006.10.4.133</v>
      </c>
      <c r="Q24" s="2" t="s">
        <v>194</v>
      </c>
      <c r="R24" s="2" t="s">
        <v>14349</v>
      </c>
      <c r="S24" s="2" t="s">
        <v>12152</v>
      </c>
      <c r="T24" s="2" t="s">
        <v>1065</v>
      </c>
      <c r="V24" s="23" t="s">
        <v>15399</v>
      </c>
      <c r="W24" s="23"/>
      <c r="X24" s="23" t="s">
        <v>15399</v>
      </c>
      <c r="Y24" s="23"/>
      <c r="Z24" s="23"/>
      <c r="AA24" s="23"/>
    </row>
    <row r="25" ht="12.75" customHeight="1">
      <c r="A25" s="2" t="s">
        <v>23</v>
      </c>
      <c r="B25" s="2" t="s">
        <v>981</v>
      </c>
      <c r="C25" s="2" t="s">
        <v>982</v>
      </c>
      <c r="D25" s="2" t="s">
        <v>3263</v>
      </c>
      <c r="E25" s="2" t="s">
        <v>637</v>
      </c>
      <c r="F25" s="2" t="s">
        <v>15468</v>
      </c>
      <c r="G25" s="2" t="s">
        <v>15469</v>
      </c>
      <c r="H25" s="2" t="s">
        <v>983</v>
      </c>
      <c r="I25" s="2" t="s">
        <v>15470</v>
      </c>
      <c r="J25" s="2" t="s">
        <v>15471</v>
      </c>
      <c r="K25" s="2" t="s">
        <v>15472</v>
      </c>
      <c r="L25" s="2" t="s">
        <v>15473</v>
      </c>
      <c r="M25" s="2" t="s">
        <v>12129</v>
      </c>
      <c r="N25" s="2">
        <v>2009.0</v>
      </c>
      <c r="O25" s="2" t="s">
        <v>984</v>
      </c>
      <c r="P25" s="15" t="str">
        <f>HYPERLINK("http://dx.doi.org/10.1146/annurev.marine.010908.163834","http://dx.doi.org/10.1146/annurev.marine.010908.163834")</f>
        <v>http://dx.doi.org/10.1146/annurev.marine.010908.163834</v>
      </c>
      <c r="Q25" s="2" t="s">
        <v>641</v>
      </c>
      <c r="R25" s="2" t="s">
        <v>641</v>
      </c>
      <c r="S25" s="2" t="s">
        <v>12152</v>
      </c>
      <c r="T25" s="2" t="s">
        <v>986</v>
      </c>
      <c r="V25" s="23" t="s">
        <v>15399</v>
      </c>
      <c r="W25" s="23"/>
      <c r="X25" s="23"/>
      <c r="Y25" s="23"/>
      <c r="Z25" s="23"/>
      <c r="AA25" s="23" t="s">
        <v>15399</v>
      </c>
    </row>
    <row r="26" ht="12.75" customHeight="1">
      <c r="A26" s="2" t="s">
        <v>633</v>
      </c>
      <c r="B26" s="2" t="s">
        <v>634</v>
      </c>
      <c r="C26" s="2" t="s">
        <v>635</v>
      </c>
      <c r="D26" s="2" t="s">
        <v>3263</v>
      </c>
      <c r="E26" s="2" t="s">
        <v>637</v>
      </c>
      <c r="F26" s="2" t="s">
        <v>15474</v>
      </c>
      <c r="G26" s="2" t="s">
        <v>15475</v>
      </c>
      <c r="H26" s="2" t="s">
        <v>638</v>
      </c>
      <c r="I26" s="2" t="s">
        <v>15470</v>
      </c>
      <c r="J26" s="2" t="s">
        <v>15471</v>
      </c>
      <c r="K26" s="2" t="s">
        <v>15472</v>
      </c>
      <c r="L26" s="2" t="s">
        <v>15473</v>
      </c>
      <c r="M26" s="2" t="s">
        <v>12129</v>
      </c>
      <c r="N26" s="2">
        <v>2013.0</v>
      </c>
      <c r="O26" s="2" t="s">
        <v>639</v>
      </c>
      <c r="P26" s="15" t="str">
        <f>HYPERLINK("http://dx.doi.org/10.1146/annurev-marine-121211-172406","http://dx.doi.org/10.1146/annurev-marine-121211-172406")</f>
        <v>http://dx.doi.org/10.1146/annurev-marine-121211-172406</v>
      </c>
      <c r="Q26" s="2" t="s">
        <v>641</v>
      </c>
      <c r="R26" s="2" t="s">
        <v>641</v>
      </c>
      <c r="S26" s="2" t="s">
        <v>12152</v>
      </c>
      <c r="T26" s="2" t="s">
        <v>642</v>
      </c>
      <c r="V26" s="23" t="s">
        <v>15399</v>
      </c>
      <c r="W26" s="23"/>
      <c r="X26" s="23"/>
      <c r="Y26" s="23"/>
      <c r="Z26" s="23"/>
      <c r="AA26" s="23" t="s">
        <v>15399</v>
      </c>
    </row>
    <row r="27" ht="12.75" customHeight="1">
      <c r="A27" s="2" t="s">
        <v>23</v>
      </c>
      <c r="B27" s="2" t="s">
        <v>921</v>
      </c>
      <c r="C27" s="2" t="s">
        <v>922</v>
      </c>
      <c r="D27" s="2" t="s">
        <v>3263</v>
      </c>
      <c r="E27" s="2" t="s">
        <v>637</v>
      </c>
      <c r="F27" s="2" t="s">
        <v>15476</v>
      </c>
      <c r="G27" s="2" t="s">
        <v>15477</v>
      </c>
      <c r="H27" s="2" t="s">
        <v>924</v>
      </c>
      <c r="I27" s="2" t="s">
        <v>15470</v>
      </c>
      <c r="J27" s="2" t="s">
        <v>15471</v>
      </c>
      <c r="K27" s="2" t="s">
        <v>15472</v>
      </c>
      <c r="L27" s="2" t="s">
        <v>15473</v>
      </c>
      <c r="M27" s="2" t="s">
        <v>12129</v>
      </c>
      <c r="N27" s="2">
        <v>2010.0</v>
      </c>
      <c r="O27" s="2" t="s">
        <v>925</v>
      </c>
      <c r="P27" s="15" t="str">
        <f>HYPERLINK("http://dx.doi.org/10.1146/annurev-marine-120308-081105","http://dx.doi.org/10.1146/annurev-marine-120308-081105")</f>
        <v>http://dx.doi.org/10.1146/annurev-marine-120308-081105</v>
      </c>
      <c r="Q27" s="2" t="s">
        <v>641</v>
      </c>
      <c r="R27" s="2" t="s">
        <v>641</v>
      </c>
      <c r="S27" s="2" t="s">
        <v>12152</v>
      </c>
      <c r="T27" s="2" t="s">
        <v>927</v>
      </c>
      <c r="V27" s="23" t="s">
        <v>15399</v>
      </c>
      <c r="W27" s="23"/>
      <c r="X27" s="23"/>
      <c r="Y27" s="23"/>
      <c r="Z27" s="23"/>
      <c r="AA27" s="23" t="s">
        <v>15399</v>
      </c>
    </row>
    <row r="28" ht="12.75" customHeight="1">
      <c r="A28" s="2" t="s">
        <v>633</v>
      </c>
      <c r="B28" s="2" t="s">
        <v>929</v>
      </c>
      <c r="C28" s="2" t="s">
        <v>930</v>
      </c>
      <c r="D28" s="2" t="s">
        <v>3263</v>
      </c>
      <c r="E28" s="2" t="s">
        <v>637</v>
      </c>
      <c r="F28" s="2" t="s">
        <v>15478</v>
      </c>
      <c r="G28" s="2" t="s">
        <v>15479</v>
      </c>
      <c r="H28" s="2" t="s">
        <v>932</v>
      </c>
      <c r="I28" s="2" t="s">
        <v>15470</v>
      </c>
      <c r="J28" s="2" t="s">
        <v>15471</v>
      </c>
      <c r="K28" s="2" t="s">
        <v>15480</v>
      </c>
      <c r="L28" s="2" t="s">
        <v>15481</v>
      </c>
      <c r="M28" s="2" t="s">
        <v>12129</v>
      </c>
      <c r="N28" s="2">
        <v>2010.0</v>
      </c>
      <c r="O28" s="2" t="s">
        <v>933</v>
      </c>
      <c r="P28" s="15" t="str">
        <f>HYPERLINK("http://dx.doi.org/10.1146/annurev-environ-033009-095548","http://dx.doi.org/10.1146/annurev-environ-033009-095548")</f>
        <v>http://dx.doi.org/10.1146/annurev-environ-033009-095548</v>
      </c>
      <c r="Q28" s="2" t="s">
        <v>783</v>
      </c>
      <c r="R28" s="2" t="s">
        <v>12251</v>
      </c>
      <c r="S28" s="2" t="s">
        <v>12152</v>
      </c>
      <c r="T28" s="2" t="s">
        <v>935</v>
      </c>
      <c r="V28" s="23" t="s">
        <v>15399</v>
      </c>
      <c r="W28" s="23"/>
      <c r="X28" s="23"/>
      <c r="Y28" s="23"/>
      <c r="Z28" s="23" t="s">
        <v>15399</v>
      </c>
      <c r="AA28" s="23"/>
    </row>
    <row r="29" ht="12.75" customHeight="1">
      <c r="A29" s="2" t="s">
        <v>633</v>
      </c>
      <c r="B29" s="2" t="s">
        <v>777</v>
      </c>
      <c r="C29" s="2" t="s">
        <v>778</v>
      </c>
      <c r="D29" s="2" t="s">
        <v>3263</v>
      </c>
      <c r="E29" s="2" t="s">
        <v>637</v>
      </c>
      <c r="F29" s="2" t="s">
        <v>15482</v>
      </c>
      <c r="G29" s="2" t="s">
        <v>15483</v>
      </c>
      <c r="H29" s="2" t="s">
        <v>780</v>
      </c>
      <c r="I29" s="2" t="s">
        <v>15470</v>
      </c>
      <c r="J29" s="2" t="s">
        <v>15471</v>
      </c>
      <c r="K29" s="2" t="s">
        <v>15480</v>
      </c>
      <c r="L29" s="2" t="s">
        <v>15481</v>
      </c>
      <c r="M29" s="2" t="s">
        <v>12129</v>
      </c>
      <c r="N29" s="2">
        <v>2011.0</v>
      </c>
      <c r="O29" s="2" t="s">
        <v>781</v>
      </c>
      <c r="P29" s="15" t="str">
        <f>HYPERLINK("http://dx.doi.org/10.1146/annurev-environ-021810-094524","http://dx.doi.org/10.1146/annurev-environ-021810-094524")</f>
        <v>http://dx.doi.org/10.1146/annurev-environ-021810-094524</v>
      </c>
      <c r="Q29" s="2" t="s">
        <v>783</v>
      </c>
      <c r="R29" s="2" t="s">
        <v>12251</v>
      </c>
      <c r="S29" s="2" t="s">
        <v>12152</v>
      </c>
      <c r="T29" s="2" t="s">
        <v>784</v>
      </c>
      <c r="V29" s="23" t="s">
        <v>15399</v>
      </c>
      <c r="W29" s="23"/>
      <c r="X29" s="23"/>
      <c r="Y29" s="23" t="s">
        <v>15399</v>
      </c>
      <c r="Z29" s="23"/>
      <c r="AA29" s="23"/>
    </row>
    <row r="30" ht="12.75" customHeight="1">
      <c r="A30" s="2" t="s">
        <v>23</v>
      </c>
      <c r="B30" s="2" t="s">
        <v>322</v>
      </c>
      <c r="C30" s="2" t="s">
        <v>323</v>
      </c>
      <c r="D30" s="2" t="s">
        <v>3263</v>
      </c>
      <c r="E30" s="2" t="s">
        <v>27</v>
      </c>
      <c r="F30" s="2" t="s">
        <v>12129</v>
      </c>
      <c r="G30" s="2" t="s">
        <v>15484</v>
      </c>
      <c r="H30" s="2" t="s">
        <v>325</v>
      </c>
      <c r="I30" s="2" t="s">
        <v>15485</v>
      </c>
      <c r="J30" s="2" t="s">
        <v>12632</v>
      </c>
      <c r="K30" s="2" t="s">
        <v>324</v>
      </c>
      <c r="L30" s="2" t="s">
        <v>1510</v>
      </c>
      <c r="M30" s="2" t="s">
        <v>15486</v>
      </c>
      <c r="N30" s="2">
        <v>2015.0</v>
      </c>
      <c r="O30" s="2" t="s">
        <v>326</v>
      </c>
      <c r="P30" s="15" t="str">
        <f>HYPERLINK("http://dx.doi.org/10.1126/science.aac4722","http://dx.doi.org/10.1126/science.aac4722")</f>
        <v>http://dx.doi.org/10.1126/science.aac4722</v>
      </c>
      <c r="Q30" s="2" t="s">
        <v>39</v>
      </c>
      <c r="R30" s="2" t="s">
        <v>12202</v>
      </c>
      <c r="S30" s="2" t="s">
        <v>12152</v>
      </c>
      <c r="T30" s="2" t="s">
        <v>328</v>
      </c>
      <c r="V30" s="23" t="s">
        <v>15399</v>
      </c>
      <c r="W30" s="23"/>
      <c r="X30" s="23"/>
      <c r="Y30" s="23"/>
      <c r="Z30" s="23"/>
      <c r="AA30" s="23" t="s">
        <v>15399</v>
      </c>
    </row>
    <row r="31" ht="12.75" customHeight="1">
      <c r="A31" s="2" t="s">
        <v>23</v>
      </c>
      <c r="B31" s="2" t="s">
        <v>346</v>
      </c>
      <c r="C31" s="2" t="s">
        <v>347</v>
      </c>
      <c r="D31" s="2" t="s">
        <v>3263</v>
      </c>
      <c r="E31" s="2" t="s">
        <v>35</v>
      </c>
      <c r="F31" s="2" t="s">
        <v>12129</v>
      </c>
      <c r="G31" s="2" t="s">
        <v>15487</v>
      </c>
      <c r="H31" s="2" t="s">
        <v>348</v>
      </c>
      <c r="I31" s="2" t="s">
        <v>15485</v>
      </c>
      <c r="J31" s="2" t="s">
        <v>12632</v>
      </c>
      <c r="K31" s="2" t="s">
        <v>324</v>
      </c>
      <c r="L31" s="2" t="s">
        <v>1510</v>
      </c>
      <c r="M31" s="2" t="s">
        <v>15488</v>
      </c>
      <c r="N31" s="2">
        <v>2015.0</v>
      </c>
      <c r="O31" s="2" t="s">
        <v>349</v>
      </c>
      <c r="P31" s="15" t="str">
        <f>HYPERLINK("http://dx.doi.org/10.1126/science.aaa8913","http://dx.doi.org/10.1126/science.aaa8913")</f>
        <v>http://dx.doi.org/10.1126/science.aaa8913</v>
      </c>
      <c r="Q31" s="2" t="s">
        <v>39</v>
      </c>
      <c r="R31" s="2" t="s">
        <v>12202</v>
      </c>
      <c r="S31" s="2" t="s">
        <v>12152</v>
      </c>
      <c r="T31" s="2" t="s">
        <v>351</v>
      </c>
      <c r="V31" s="23" t="s">
        <v>15399</v>
      </c>
      <c r="W31" s="23"/>
      <c r="X31" s="23"/>
      <c r="Y31" s="23"/>
      <c r="Z31" s="23" t="s">
        <v>15399</v>
      </c>
      <c r="AA31" s="23"/>
    </row>
    <row r="32" ht="12.75" customHeight="1">
      <c r="A32" s="2" t="s">
        <v>23</v>
      </c>
      <c r="B32" s="2" t="s">
        <v>407</v>
      </c>
      <c r="C32" s="2" t="s">
        <v>408</v>
      </c>
      <c r="D32" s="2" t="s">
        <v>3263</v>
      </c>
      <c r="E32" s="2" t="s">
        <v>35</v>
      </c>
      <c r="F32" s="2" t="s">
        <v>12129</v>
      </c>
      <c r="G32" s="2" t="s">
        <v>15489</v>
      </c>
      <c r="H32" s="2" t="s">
        <v>409</v>
      </c>
      <c r="I32" s="2" t="s">
        <v>15485</v>
      </c>
      <c r="J32" s="2" t="s">
        <v>12632</v>
      </c>
      <c r="K32" s="2" t="s">
        <v>324</v>
      </c>
      <c r="L32" s="2" t="s">
        <v>1510</v>
      </c>
      <c r="M32" s="2" t="s">
        <v>15490</v>
      </c>
      <c r="N32" s="2">
        <v>2015.0</v>
      </c>
      <c r="O32" s="2" t="s">
        <v>410</v>
      </c>
      <c r="P32" s="15" t="str">
        <f>HYPERLINK("http://dx.doi.org/10.1126/science.1260352","http://dx.doi.org/10.1126/science.1260352")</f>
        <v>http://dx.doi.org/10.1126/science.1260352</v>
      </c>
      <c r="Q32" s="2" t="s">
        <v>39</v>
      </c>
      <c r="R32" s="2" t="s">
        <v>12202</v>
      </c>
      <c r="S32" s="2" t="s">
        <v>12152</v>
      </c>
      <c r="T32" s="2" t="s">
        <v>412</v>
      </c>
      <c r="V32" s="23" t="s">
        <v>15399</v>
      </c>
      <c r="W32" s="23"/>
      <c r="X32" s="23"/>
      <c r="Y32" s="23" t="s">
        <v>15399</v>
      </c>
      <c r="Z32" s="23"/>
      <c r="AA32" s="23"/>
    </row>
    <row r="33" ht="12.75" customHeight="1">
      <c r="A33" s="2" t="s">
        <v>23</v>
      </c>
      <c r="B33" s="2" t="s">
        <v>488</v>
      </c>
      <c r="C33" s="2" t="s">
        <v>489</v>
      </c>
      <c r="D33" s="2" t="s">
        <v>3263</v>
      </c>
      <c r="E33" s="2" t="s">
        <v>27</v>
      </c>
      <c r="F33" s="2" t="s">
        <v>12129</v>
      </c>
      <c r="G33" s="2" t="s">
        <v>15491</v>
      </c>
      <c r="H33" s="2" t="s">
        <v>490</v>
      </c>
      <c r="I33" s="2" t="s">
        <v>15485</v>
      </c>
      <c r="J33" s="2" t="s">
        <v>12632</v>
      </c>
      <c r="K33" s="2" t="s">
        <v>324</v>
      </c>
      <c r="L33" s="2" t="s">
        <v>1510</v>
      </c>
      <c r="M33" s="2" t="s">
        <v>15492</v>
      </c>
      <c r="N33" s="2">
        <v>2014.0</v>
      </c>
      <c r="O33" s="2" t="s">
        <v>491</v>
      </c>
      <c r="P33" s="15" t="str">
        <f>HYPERLINK("http://dx.doi.org/10.1126/science.1248525","http://dx.doi.org/10.1126/science.1248525")</f>
        <v>http://dx.doi.org/10.1126/science.1248525</v>
      </c>
      <c r="Q33" s="2" t="s">
        <v>39</v>
      </c>
      <c r="R33" s="2" t="s">
        <v>12202</v>
      </c>
      <c r="S33" s="2" t="s">
        <v>12152</v>
      </c>
      <c r="T33" s="2" t="s">
        <v>493</v>
      </c>
      <c r="V33" s="23" t="s">
        <v>15399</v>
      </c>
      <c r="W33" s="23" t="s">
        <v>15399</v>
      </c>
      <c r="X33" s="23"/>
      <c r="Y33" s="23"/>
      <c r="Z33" s="23"/>
      <c r="AA33" s="23"/>
    </row>
    <row r="34" ht="12.75" customHeight="1">
      <c r="A34" s="2" t="s">
        <v>23</v>
      </c>
      <c r="B34" s="2" t="s">
        <v>824</v>
      </c>
      <c r="C34" s="2" t="s">
        <v>825</v>
      </c>
      <c r="D34" s="2" t="s">
        <v>3263</v>
      </c>
      <c r="E34" s="2" t="s">
        <v>35</v>
      </c>
      <c r="F34" s="2" t="s">
        <v>12129</v>
      </c>
      <c r="G34" s="2" t="s">
        <v>15493</v>
      </c>
      <c r="H34" s="2" t="s">
        <v>826</v>
      </c>
      <c r="I34" s="2" t="s">
        <v>15485</v>
      </c>
      <c r="J34" s="2" t="s">
        <v>12632</v>
      </c>
      <c r="K34" s="2" t="s">
        <v>324</v>
      </c>
      <c r="L34" s="2" t="s">
        <v>1510</v>
      </c>
      <c r="M34" s="2" t="s">
        <v>15494</v>
      </c>
      <c r="N34" s="2">
        <v>2010.0</v>
      </c>
      <c r="O34" s="2" t="s">
        <v>827</v>
      </c>
      <c r="P34" s="15" t="str">
        <f>HYPERLINK("http://dx.doi.org/10.1126/science.1192321","http://dx.doi.org/10.1126/science.1192321")</f>
        <v>http://dx.doi.org/10.1126/science.1192321</v>
      </c>
      <c r="Q34" s="2" t="s">
        <v>39</v>
      </c>
      <c r="R34" s="2" t="s">
        <v>12202</v>
      </c>
      <c r="S34" s="2" t="s">
        <v>12152</v>
      </c>
      <c r="T34" s="2" t="s">
        <v>829</v>
      </c>
      <c r="V34" s="23" t="s">
        <v>15399</v>
      </c>
      <c r="W34" s="23"/>
      <c r="X34" s="23"/>
      <c r="Y34" s="23" t="s">
        <v>15399</v>
      </c>
      <c r="Z34" s="23"/>
      <c r="AA34" s="23"/>
    </row>
    <row r="35" ht="12.75" customHeight="1">
      <c r="A35" s="2" t="s">
        <v>23</v>
      </c>
      <c r="B35" s="2" t="s">
        <v>855</v>
      </c>
      <c r="C35" s="2" t="s">
        <v>856</v>
      </c>
      <c r="D35" s="2" t="s">
        <v>3263</v>
      </c>
      <c r="E35" s="2" t="s">
        <v>27</v>
      </c>
      <c r="F35" s="2" t="s">
        <v>12129</v>
      </c>
      <c r="G35" s="2" t="s">
        <v>15495</v>
      </c>
      <c r="H35" s="2" t="s">
        <v>857</v>
      </c>
      <c r="I35" s="2" t="s">
        <v>15485</v>
      </c>
      <c r="J35" s="2" t="s">
        <v>12632</v>
      </c>
      <c r="K35" s="2" t="s">
        <v>324</v>
      </c>
      <c r="L35" s="2" t="s">
        <v>1510</v>
      </c>
      <c r="M35" s="2" t="s">
        <v>15496</v>
      </c>
      <c r="N35" s="2">
        <v>2010.0</v>
      </c>
      <c r="O35" s="2" t="s">
        <v>858</v>
      </c>
      <c r="P35" s="15" t="str">
        <f>HYPERLINK("http://dx.doi.org/10.1126/science.1189930","http://dx.doi.org/10.1126/science.1189930")</f>
        <v>http://dx.doi.org/10.1126/science.1189930</v>
      </c>
      <c r="Q35" s="2" t="s">
        <v>39</v>
      </c>
      <c r="R35" s="2" t="s">
        <v>12202</v>
      </c>
      <c r="S35" s="2" t="s">
        <v>12152</v>
      </c>
      <c r="T35" s="2" t="s">
        <v>860</v>
      </c>
      <c r="V35" s="23" t="s">
        <v>15399</v>
      </c>
      <c r="W35" s="23"/>
      <c r="X35" s="23"/>
      <c r="Y35" s="23"/>
      <c r="Z35" s="23"/>
      <c r="AA35" s="23" t="s">
        <v>15399</v>
      </c>
    </row>
    <row r="36" ht="12.75" customHeight="1">
      <c r="A36" s="2" t="s">
        <v>23</v>
      </c>
      <c r="B36" s="2" t="s">
        <v>878</v>
      </c>
      <c r="C36" s="2" t="s">
        <v>879</v>
      </c>
      <c r="D36" s="2" t="s">
        <v>3263</v>
      </c>
      <c r="E36" s="2" t="s">
        <v>35</v>
      </c>
      <c r="F36" s="2" t="s">
        <v>12129</v>
      </c>
      <c r="G36" s="2" t="s">
        <v>15497</v>
      </c>
      <c r="H36" s="2" t="s">
        <v>880</v>
      </c>
      <c r="I36" s="2" t="s">
        <v>15485</v>
      </c>
      <c r="J36" s="2" t="s">
        <v>12632</v>
      </c>
      <c r="K36" s="2" t="s">
        <v>324</v>
      </c>
      <c r="L36" s="2" t="s">
        <v>1510</v>
      </c>
      <c r="M36" s="2" t="s">
        <v>15498</v>
      </c>
      <c r="N36" s="2">
        <v>2010.0</v>
      </c>
      <c r="O36" s="2" t="s">
        <v>881</v>
      </c>
      <c r="P36" s="15" t="str">
        <f>HYPERLINK("http://dx.doi.org/10.1126/science.1187512","http://dx.doi.org/10.1126/science.1187512")</f>
        <v>http://dx.doi.org/10.1126/science.1187512</v>
      </c>
      <c r="Q36" s="2" t="s">
        <v>39</v>
      </c>
      <c r="R36" s="2" t="s">
        <v>12202</v>
      </c>
      <c r="S36" s="2" t="s">
        <v>12152</v>
      </c>
      <c r="T36" s="2" t="s">
        <v>883</v>
      </c>
      <c r="V36" s="23" t="s">
        <v>15399</v>
      </c>
      <c r="W36" s="23"/>
      <c r="X36" s="23" t="s">
        <v>15399</v>
      </c>
      <c r="Y36" s="23"/>
      <c r="Z36" s="23"/>
      <c r="AA36" s="23"/>
    </row>
    <row r="37" ht="12.75" customHeight="1">
      <c r="A37" s="2" t="s">
        <v>23</v>
      </c>
      <c r="B37" s="2" t="s">
        <v>862</v>
      </c>
      <c r="C37" s="2" t="s">
        <v>863</v>
      </c>
      <c r="D37" s="2" t="s">
        <v>3263</v>
      </c>
      <c r="E37" s="2" t="s">
        <v>27</v>
      </c>
      <c r="F37" s="2" t="s">
        <v>12129</v>
      </c>
      <c r="G37" s="2" t="s">
        <v>15499</v>
      </c>
      <c r="H37" s="2" t="s">
        <v>864</v>
      </c>
      <c r="I37" s="2" t="s">
        <v>15485</v>
      </c>
      <c r="J37" s="2" t="s">
        <v>12632</v>
      </c>
      <c r="K37" s="2" t="s">
        <v>324</v>
      </c>
      <c r="L37" s="2" t="s">
        <v>1510</v>
      </c>
      <c r="M37" s="2" t="s">
        <v>15496</v>
      </c>
      <c r="N37" s="2">
        <v>2010.0</v>
      </c>
      <c r="O37" s="2" t="s">
        <v>865</v>
      </c>
      <c r="P37" s="15" t="str">
        <f>HYPERLINK("http://dx.doi.org/10.1126/science.1185782","http://dx.doi.org/10.1126/science.1185782")</f>
        <v>http://dx.doi.org/10.1126/science.1185782</v>
      </c>
      <c r="Q37" s="2" t="s">
        <v>39</v>
      </c>
      <c r="R37" s="2" t="s">
        <v>12202</v>
      </c>
      <c r="S37" s="2" t="s">
        <v>12152</v>
      </c>
      <c r="T37" s="2" t="s">
        <v>867</v>
      </c>
      <c r="V37" s="23" t="s">
        <v>15399</v>
      </c>
      <c r="W37" s="23"/>
      <c r="X37" s="23"/>
      <c r="Y37" s="23"/>
      <c r="Z37" s="23"/>
      <c r="AA37" s="23" t="s">
        <v>15399</v>
      </c>
    </row>
    <row r="38" ht="12.75" customHeight="1">
      <c r="A38" s="2" t="s">
        <v>23</v>
      </c>
      <c r="B38" s="2" t="s">
        <v>914</v>
      </c>
      <c r="C38" s="2" t="s">
        <v>915</v>
      </c>
      <c r="D38" s="2" t="s">
        <v>3263</v>
      </c>
      <c r="E38" s="2" t="s">
        <v>35</v>
      </c>
      <c r="F38" s="2" t="s">
        <v>12129</v>
      </c>
      <c r="G38" s="2" t="s">
        <v>15500</v>
      </c>
      <c r="H38" s="2" t="s">
        <v>916</v>
      </c>
      <c r="I38" s="2" t="s">
        <v>15485</v>
      </c>
      <c r="J38" s="2" t="s">
        <v>12632</v>
      </c>
      <c r="K38" s="2" t="s">
        <v>324</v>
      </c>
      <c r="L38" s="2" t="s">
        <v>1510</v>
      </c>
      <c r="M38" s="2" t="s">
        <v>15501</v>
      </c>
      <c r="N38" s="2">
        <v>2010.0</v>
      </c>
      <c r="O38" s="2" t="s">
        <v>917</v>
      </c>
      <c r="P38" s="15" t="str">
        <f>HYPERLINK("http://dx.doi.org/10.1126/science.1180568","http://dx.doi.org/10.1126/science.1180568")</f>
        <v>http://dx.doi.org/10.1126/science.1180568</v>
      </c>
      <c r="Q38" s="2" t="s">
        <v>39</v>
      </c>
      <c r="R38" s="2" t="s">
        <v>12202</v>
      </c>
      <c r="S38" s="2" t="s">
        <v>12152</v>
      </c>
      <c r="T38" s="2" t="s">
        <v>919</v>
      </c>
      <c r="V38" s="23" t="s">
        <v>15399</v>
      </c>
      <c r="W38" s="23"/>
      <c r="X38" s="23"/>
      <c r="Y38" s="23"/>
      <c r="Z38" s="23"/>
      <c r="AA38" s="23" t="s">
        <v>15399</v>
      </c>
    </row>
    <row r="39" ht="12.75" customHeight="1">
      <c r="A39" s="2" t="s">
        <v>23</v>
      </c>
      <c r="B39" s="2" t="s">
        <v>960</v>
      </c>
      <c r="C39" s="2" t="s">
        <v>961</v>
      </c>
      <c r="D39" s="2" t="s">
        <v>3263</v>
      </c>
      <c r="E39" s="2" t="s">
        <v>35</v>
      </c>
      <c r="F39" s="2" t="s">
        <v>12129</v>
      </c>
      <c r="G39" s="2" t="s">
        <v>15502</v>
      </c>
      <c r="H39" s="2" t="s">
        <v>962</v>
      </c>
      <c r="I39" s="2" t="s">
        <v>15485</v>
      </c>
      <c r="J39" s="2" t="s">
        <v>12632</v>
      </c>
      <c r="K39" s="2" t="s">
        <v>324</v>
      </c>
      <c r="L39" s="2" t="s">
        <v>1510</v>
      </c>
      <c r="M39" s="2" t="s">
        <v>15503</v>
      </c>
      <c r="N39" s="2">
        <v>2009.0</v>
      </c>
      <c r="O39" s="2" t="s">
        <v>963</v>
      </c>
      <c r="P39" s="15" t="str">
        <f>HYPERLINK("http://dx.doi.org/10.1126/science.1173146","http://dx.doi.org/10.1126/science.1173146")</f>
        <v>http://dx.doi.org/10.1126/science.1173146</v>
      </c>
      <c r="Q39" s="2" t="s">
        <v>39</v>
      </c>
      <c r="R39" s="2" t="s">
        <v>12202</v>
      </c>
      <c r="S39" s="2" t="s">
        <v>12152</v>
      </c>
      <c r="T39" s="2" t="s">
        <v>965</v>
      </c>
      <c r="V39" s="23" t="s">
        <v>15399</v>
      </c>
      <c r="W39" s="23"/>
      <c r="X39" s="23"/>
      <c r="Y39" s="23"/>
      <c r="Z39" s="23"/>
      <c r="AA39" s="23"/>
    </row>
    <row r="40" ht="12.75" customHeight="1">
      <c r="A40" s="2" t="s">
        <v>23</v>
      </c>
      <c r="B40" s="2" t="s">
        <v>1020</v>
      </c>
      <c r="C40" s="2" t="s">
        <v>1021</v>
      </c>
      <c r="D40" s="2" t="s">
        <v>3263</v>
      </c>
      <c r="E40" s="2" t="s">
        <v>35</v>
      </c>
      <c r="F40" s="2" t="s">
        <v>12129</v>
      </c>
      <c r="G40" s="2" t="s">
        <v>15504</v>
      </c>
      <c r="H40" s="2" t="s">
        <v>1022</v>
      </c>
      <c r="I40" s="2" t="s">
        <v>15485</v>
      </c>
      <c r="J40" s="2" t="s">
        <v>12632</v>
      </c>
      <c r="K40" s="2" t="s">
        <v>324</v>
      </c>
      <c r="L40" s="2" t="s">
        <v>1510</v>
      </c>
      <c r="M40" s="2" t="s">
        <v>13918</v>
      </c>
      <c r="N40" s="2">
        <v>2008.0</v>
      </c>
      <c r="O40" s="2" t="s">
        <v>1023</v>
      </c>
      <c r="P40" s="15" t="str">
        <f>HYPERLINK("http://dx.doi.org/10.1126/science.1149345","http://dx.doi.org/10.1126/science.1149345")</f>
        <v>http://dx.doi.org/10.1126/science.1149345</v>
      </c>
      <c r="Q40" s="2" t="s">
        <v>39</v>
      </c>
      <c r="R40" s="2" t="s">
        <v>12202</v>
      </c>
      <c r="S40" s="2" t="s">
        <v>12152</v>
      </c>
      <c r="T40" s="2" t="s">
        <v>1025</v>
      </c>
      <c r="V40" s="23" t="s">
        <v>15399</v>
      </c>
      <c r="W40" s="23"/>
      <c r="X40" s="23"/>
      <c r="Y40" s="23"/>
      <c r="Z40" s="23"/>
      <c r="AA40" s="23"/>
    </row>
    <row r="41" ht="12.75" customHeight="1">
      <c r="A41" s="2" t="s">
        <v>23</v>
      </c>
      <c r="B41" s="2" t="s">
        <v>1091</v>
      </c>
      <c r="C41" s="2" t="s">
        <v>1092</v>
      </c>
      <c r="D41" s="2" t="s">
        <v>3263</v>
      </c>
      <c r="E41" s="2" t="s">
        <v>27</v>
      </c>
      <c r="F41" s="2" t="s">
        <v>12129</v>
      </c>
      <c r="G41" s="2" t="s">
        <v>15505</v>
      </c>
      <c r="H41" s="2" t="s">
        <v>1093</v>
      </c>
      <c r="I41" s="2" t="s">
        <v>15485</v>
      </c>
      <c r="J41" s="2" t="s">
        <v>12632</v>
      </c>
      <c r="K41" s="2" t="s">
        <v>324</v>
      </c>
      <c r="L41" s="2" t="s">
        <v>1510</v>
      </c>
      <c r="M41" s="2" t="s">
        <v>14967</v>
      </c>
      <c r="N41" s="2">
        <v>2005.0</v>
      </c>
      <c r="O41" s="2" t="s">
        <v>1094</v>
      </c>
      <c r="P41" s="15" t="str">
        <f>HYPERLINK("http://dx.doi.org/10.1126/science.1111772","http://dx.doi.org/10.1126/science.1111772")</f>
        <v>http://dx.doi.org/10.1126/science.1111772</v>
      </c>
      <c r="Q41" s="2" t="s">
        <v>39</v>
      </c>
      <c r="R41" s="2" t="s">
        <v>12202</v>
      </c>
      <c r="S41" s="2" t="s">
        <v>12152</v>
      </c>
      <c r="T41" s="2" t="s">
        <v>1096</v>
      </c>
      <c r="V41" s="23" t="s">
        <v>15399</v>
      </c>
      <c r="W41" s="23" t="s">
        <v>15399</v>
      </c>
      <c r="X41" s="23"/>
      <c r="Y41" s="23"/>
      <c r="Z41" s="23"/>
      <c r="AA41" s="23"/>
    </row>
    <row r="42" ht="12.75" customHeight="1">
      <c r="A42" s="2" t="s">
        <v>23</v>
      </c>
      <c r="B42" s="2" t="s">
        <v>1139</v>
      </c>
      <c r="C42" s="2" t="s">
        <v>1140</v>
      </c>
      <c r="D42" s="2" t="s">
        <v>3263</v>
      </c>
      <c r="E42" s="2" t="s">
        <v>35</v>
      </c>
      <c r="F42" s="2" t="s">
        <v>12129</v>
      </c>
      <c r="G42" s="2" t="s">
        <v>15506</v>
      </c>
      <c r="H42" s="2" t="s">
        <v>1141</v>
      </c>
      <c r="I42" s="2" t="s">
        <v>15485</v>
      </c>
      <c r="J42" s="2" t="s">
        <v>12632</v>
      </c>
      <c r="K42" s="2" t="s">
        <v>324</v>
      </c>
      <c r="L42" s="2" t="s">
        <v>1510</v>
      </c>
      <c r="M42" s="2" t="s">
        <v>15507</v>
      </c>
      <c r="N42" s="2">
        <v>2004.0</v>
      </c>
      <c r="O42" s="2" t="s">
        <v>1142</v>
      </c>
      <c r="P42" s="15" t="str">
        <f>HYPERLINK("http://dx.doi.org/10.1126/science.1097329","http://dx.doi.org/10.1126/science.1097329")</f>
        <v>http://dx.doi.org/10.1126/science.1097329</v>
      </c>
      <c r="Q42" s="2" t="s">
        <v>39</v>
      </c>
      <c r="R42" s="2" t="s">
        <v>12202</v>
      </c>
      <c r="S42" s="2" t="s">
        <v>12152</v>
      </c>
      <c r="T42" s="2" t="s">
        <v>1144</v>
      </c>
      <c r="V42" s="23" t="s">
        <v>15399</v>
      </c>
      <c r="W42" s="23"/>
      <c r="X42" s="23"/>
      <c r="Y42" s="23"/>
      <c r="Z42" s="23"/>
      <c r="AA42" s="23" t="s">
        <v>15399</v>
      </c>
    </row>
    <row r="43" ht="12.75" customHeight="1">
      <c r="A43" s="2" t="s">
        <v>23</v>
      </c>
      <c r="B43" s="2" t="s">
        <v>1192</v>
      </c>
      <c r="C43" s="2" t="s">
        <v>1193</v>
      </c>
      <c r="D43" s="2" t="s">
        <v>3263</v>
      </c>
      <c r="E43" s="2" t="s">
        <v>35</v>
      </c>
      <c r="F43" s="2" t="s">
        <v>12129</v>
      </c>
      <c r="G43" s="2" t="s">
        <v>15508</v>
      </c>
      <c r="H43" s="2" t="s">
        <v>1194</v>
      </c>
      <c r="I43" s="2" t="s">
        <v>15485</v>
      </c>
      <c r="J43" s="2" t="s">
        <v>12632</v>
      </c>
      <c r="K43" s="2" t="s">
        <v>324</v>
      </c>
      <c r="L43" s="2" t="s">
        <v>1510</v>
      </c>
      <c r="M43" s="2" t="s">
        <v>15509</v>
      </c>
      <c r="N43" s="2">
        <v>2002.0</v>
      </c>
      <c r="O43" s="2" t="s">
        <v>1195</v>
      </c>
      <c r="P43" s="15" t="str">
        <f>HYPERLINK("http://dx.doi.org/10.1126/science.1071828","http://dx.doi.org/10.1126/science.1071828")</f>
        <v>http://dx.doi.org/10.1126/science.1071828</v>
      </c>
      <c r="Q43" s="2" t="s">
        <v>39</v>
      </c>
      <c r="R43" s="2" t="s">
        <v>12202</v>
      </c>
      <c r="S43" s="2" t="s">
        <v>12152</v>
      </c>
      <c r="T43" s="2" t="s">
        <v>1197</v>
      </c>
      <c r="V43" s="23" t="s">
        <v>15399</v>
      </c>
      <c r="W43" s="23"/>
      <c r="X43" s="23"/>
      <c r="Y43" s="23"/>
      <c r="Z43" s="23"/>
      <c r="AA43" s="23" t="s">
        <v>15399</v>
      </c>
    </row>
    <row r="44" ht="12.75" customHeight="1">
      <c r="A44" s="2" t="s">
        <v>23</v>
      </c>
      <c r="B44" s="2" t="s">
        <v>84</v>
      </c>
      <c r="C44" s="2" t="s">
        <v>85</v>
      </c>
      <c r="D44" s="2" t="s">
        <v>3263</v>
      </c>
      <c r="E44" s="2" t="s">
        <v>35</v>
      </c>
      <c r="F44" s="2" t="s">
        <v>12129</v>
      </c>
      <c r="G44" s="2" t="s">
        <v>15510</v>
      </c>
      <c r="H44" s="2" t="s">
        <v>87</v>
      </c>
      <c r="I44" s="2" t="s">
        <v>15485</v>
      </c>
      <c r="J44" s="2" t="s">
        <v>12632</v>
      </c>
      <c r="K44" s="2" t="s">
        <v>15511</v>
      </c>
      <c r="L44" s="2" t="s">
        <v>5964</v>
      </c>
      <c r="M44" s="2" t="s">
        <v>12352</v>
      </c>
      <c r="N44" s="2">
        <v>2017.0</v>
      </c>
      <c r="O44" s="2" t="s">
        <v>88</v>
      </c>
      <c r="P44" s="15" t="str">
        <f>HYPERLINK("http://dx.doi.org/10.1126/sciadv.1700782","http://dx.doi.org/10.1126/sciadv.1700782")</f>
        <v>http://dx.doi.org/10.1126/sciadv.1700782</v>
      </c>
      <c r="Q44" s="2" t="s">
        <v>39</v>
      </c>
      <c r="R44" s="2" t="s">
        <v>12202</v>
      </c>
      <c r="S44" s="2" t="s">
        <v>12152</v>
      </c>
      <c r="T44" s="2" t="s">
        <v>90</v>
      </c>
      <c r="V44" s="23" t="s">
        <v>15399</v>
      </c>
      <c r="W44" s="23"/>
      <c r="X44" s="23"/>
      <c r="Y44" s="23" t="s">
        <v>15399</v>
      </c>
      <c r="Z44" s="23"/>
      <c r="AA44" s="23"/>
    </row>
    <row r="45" ht="12.75" customHeight="1">
      <c r="A45" s="2" t="s">
        <v>23</v>
      </c>
      <c r="B45" s="2" t="s">
        <v>148</v>
      </c>
      <c r="C45" s="2" t="s">
        <v>149</v>
      </c>
      <c r="D45" s="2" t="s">
        <v>3263</v>
      </c>
      <c r="E45" s="2" t="s">
        <v>35</v>
      </c>
      <c r="F45" s="2" t="s">
        <v>12129</v>
      </c>
      <c r="G45" s="2" t="s">
        <v>15512</v>
      </c>
      <c r="H45" s="2" t="s">
        <v>150</v>
      </c>
      <c r="I45" s="2" t="s">
        <v>15485</v>
      </c>
      <c r="J45" s="2" t="s">
        <v>12632</v>
      </c>
      <c r="K45" s="2" t="s">
        <v>15511</v>
      </c>
      <c r="L45" s="2" t="s">
        <v>5964</v>
      </c>
      <c r="M45" s="2" t="s">
        <v>13127</v>
      </c>
      <c r="N45" s="2">
        <v>2017.0</v>
      </c>
      <c r="O45" s="2" t="s">
        <v>151</v>
      </c>
      <c r="P45" s="15" t="str">
        <f>HYPERLINK("http://dx.doi.org/10.1126/sciadv.1600821","http://dx.doi.org/10.1126/sciadv.1600821")</f>
        <v>http://dx.doi.org/10.1126/sciadv.1600821</v>
      </c>
      <c r="Q45" s="2" t="s">
        <v>39</v>
      </c>
      <c r="R45" s="2" t="s">
        <v>12202</v>
      </c>
      <c r="S45" s="2" t="s">
        <v>12152</v>
      </c>
      <c r="T45" s="2" t="s">
        <v>153</v>
      </c>
      <c r="V45" s="23" t="s">
        <v>15399</v>
      </c>
      <c r="W45" s="23" t="s">
        <v>15399</v>
      </c>
      <c r="X45" s="23"/>
      <c r="Y45" s="23"/>
      <c r="Z45" s="23"/>
      <c r="AA45" s="23"/>
    </row>
    <row r="46" ht="12.75" customHeight="1">
      <c r="A46" s="2" t="s">
        <v>23</v>
      </c>
      <c r="B46" s="2" t="s">
        <v>172</v>
      </c>
      <c r="C46" s="2" t="s">
        <v>173</v>
      </c>
      <c r="D46" s="2" t="s">
        <v>3263</v>
      </c>
      <c r="E46" s="2" t="s">
        <v>35</v>
      </c>
      <c r="F46" s="2" t="s">
        <v>12129</v>
      </c>
      <c r="G46" s="2" t="s">
        <v>15513</v>
      </c>
      <c r="H46" s="2" t="s">
        <v>174</v>
      </c>
      <c r="I46" s="2" t="s">
        <v>15485</v>
      </c>
      <c r="J46" s="2" t="s">
        <v>12632</v>
      </c>
      <c r="K46" s="2" t="s">
        <v>15511</v>
      </c>
      <c r="L46" s="2" t="s">
        <v>5964</v>
      </c>
      <c r="M46" s="2" t="s">
        <v>12787</v>
      </c>
      <c r="N46" s="2">
        <v>2016.0</v>
      </c>
      <c r="O46" s="2" t="s">
        <v>175</v>
      </c>
      <c r="P46" s="15" t="str">
        <f>HYPERLINK("http://dx.doi.org/10.1126/sciadv.1501923","http://dx.doi.org/10.1126/sciadv.1501923")</f>
        <v>http://dx.doi.org/10.1126/sciadv.1501923</v>
      </c>
      <c r="Q46" s="2" t="s">
        <v>39</v>
      </c>
      <c r="R46" s="2" t="s">
        <v>12202</v>
      </c>
      <c r="S46" s="2" t="s">
        <v>12152</v>
      </c>
      <c r="T46" s="2" t="s">
        <v>177</v>
      </c>
      <c r="V46" s="23" t="s">
        <v>15399</v>
      </c>
      <c r="W46" s="23"/>
      <c r="X46" s="23"/>
      <c r="Y46" s="23"/>
      <c r="Z46" s="23"/>
      <c r="AA46" s="23" t="s">
        <v>15399</v>
      </c>
    </row>
    <row r="47" ht="12.75" customHeight="1">
      <c r="A47" s="2" t="s">
        <v>23</v>
      </c>
      <c r="B47" s="2" t="s">
        <v>231</v>
      </c>
      <c r="C47" s="2" t="s">
        <v>232</v>
      </c>
      <c r="D47" s="2" t="s">
        <v>3263</v>
      </c>
      <c r="E47" s="2" t="s">
        <v>35</v>
      </c>
      <c r="F47" s="2" t="s">
        <v>12129</v>
      </c>
      <c r="G47" s="2" t="s">
        <v>15514</v>
      </c>
      <c r="H47" s="2" t="s">
        <v>233</v>
      </c>
      <c r="I47" s="2" t="s">
        <v>15485</v>
      </c>
      <c r="J47" s="2" t="s">
        <v>12632</v>
      </c>
      <c r="K47" s="2" t="s">
        <v>15511</v>
      </c>
      <c r="L47" s="2" t="s">
        <v>5964</v>
      </c>
      <c r="M47" s="2" t="s">
        <v>13078</v>
      </c>
      <c r="N47" s="2">
        <v>2016.0</v>
      </c>
      <c r="O47" s="2" t="s">
        <v>234</v>
      </c>
      <c r="P47" s="15" t="str">
        <f>HYPERLINK("http://dx.doi.org/10.1126/sciadv.1500965","http://dx.doi.org/10.1126/sciadv.1500965")</f>
        <v>http://dx.doi.org/10.1126/sciadv.1500965</v>
      </c>
      <c r="Q47" s="2" t="s">
        <v>39</v>
      </c>
      <c r="R47" s="2" t="s">
        <v>12202</v>
      </c>
      <c r="S47" s="2" t="s">
        <v>12152</v>
      </c>
      <c r="T47" s="2" t="s">
        <v>236</v>
      </c>
      <c r="V47" s="23" t="s">
        <v>15399</v>
      </c>
      <c r="W47" s="23" t="s">
        <v>15399</v>
      </c>
      <c r="X47" s="23"/>
      <c r="Y47" s="23"/>
      <c r="Z47" s="23"/>
      <c r="AA47" s="23"/>
    </row>
    <row r="48" ht="12.75" customHeight="1">
      <c r="A48" s="2" t="s">
        <v>23</v>
      </c>
      <c r="B48" s="2" t="s">
        <v>400</v>
      </c>
      <c r="C48" s="2" t="s">
        <v>401</v>
      </c>
      <c r="D48" s="2" t="s">
        <v>3263</v>
      </c>
      <c r="E48" s="2" t="s">
        <v>35</v>
      </c>
      <c r="F48" s="2" t="s">
        <v>12129</v>
      </c>
      <c r="G48" s="2" t="s">
        <v>15515</v>
      </c>
      <c r="H48" s="2" t="s">
        <v>402</v>
      </c>
      <c r="I48" s="2" t="s">
        <v>15485</v>
      </c>
      <c r="J48" s="2" t="s">
        <v>12632</v>
      </c>
      <c r="K48" s="2" t="s">
        <v>15511</v>
      </c>
      <c r="L48" s="2" t="s">
        <v>5964</v>
      </c>
      <c r="M48" s="2" t="s">
        <v>13078</v>
      </c>
      <c r="N48" s="2">
        <v>2015.0</v>
      </c>
      <c r="O48" s="2" t="s">
        <v>403</v>
      </c>
      <c r="P48" s="15" t="str">
        <f>HYPERLINK("http://dx.doi.org/10.1126/sciadv.1500052","http://dx.doi.org/10.1126/sciadv.1500052")</f>
        <v>http://dx.doi.org/10.1126/sciadv.1500052</v>
      </c>
      <c r="Q48" s="2" t="s">
        <v>39</v>
      </c>
      <c r="R48" s="2" t="s">
        <v>12202</v>
      </c>
      <c r="S48" s="2" t="s">
        <v>12152</v>
      </c>
      <c r="T48" s="2" t="s">
        <v>405</v>
      </c>
      <c r="V48" s="23" t="s">
        <v>15399</v>
      </c>
      <c r="W48" s="23" t="s">
        <v>15399</v>
      </c>
      <c r="X48" s="23"/>
      <c r="Y48" s="23"/>
      <c r="Z48" s="23"/>
      <c r="AA48" s="23"/>
    </row>
    <row r="49" ht="12.75" customHeight="1">
      <c r="A49" s="2" t="s">
        <v>23</v>
      </c>
      <c r="B49" s="2" t="s">
        <v>658</v>
      </c>
      <c r="C49" s="2" t="s">
        <v>659</v>
      </c>
      <c r="D49" s="2" t="s">
        <v>3263</v>
      </c>
      <c r="E49" s="2" t="s">
        <v>35</v>
      </c>
      <c r="F49" s="2" t="s">
        <v>15516</v>
      </c>
      <c r="G49" s="2" t="s">
        <v>15517</v>
      </c>
      <c r="H49" s="2" t="s">
        <v>661</v>
      </c>
      <c r="I49" s="2" t="s">
        <v>12243</v>
      </c>
      <c r="J49" s="2" t="s">
        <v>12244</v>
      </c>
      <c r="K49" s="2" t="s">
        <v>15518</v>
      </c>
      <c r="L49" s="2" t="s">
        <v>15519</v>
      </c>
      <c r="M49" s="2" t="s">
        <v>12787</v>
      </c>
      <c r="N49" s="2">
        <v>2012.0</v>
      </c>
      <c r="O49" s="2" t="s">
        <v>662</v>
      </c>
      <c r="P49" s="15" t="str">
        <f>HYPERLINK("http://dx.doi.org/10.1111/j.1757-1707.2012.01172.x","http://dx.doi.org/10.1111/j.1757-1707.2012.01172.x")</f>
        <v>http://dx.doi.org/10.1111/j.1757-1707.2012.01172.x</v>
      </c>
      <c r="Q49" s="2" t="s">
        <v>664</v>
      </c>
      <c r="R49" s="2" t="s">
        <v>15520</v>
      </c>
      <c r="S49" s="2" t="s">
        <v>12152</v>
      </c>
      <c r="T49" s="2" t="s">
        <v>665</v>
      </c>
      <c r="V49" s="23" t="s">
        <v>15399</v>
      </c>
      <c r="W49" s="23" t="s">
        <v>15399</v>
      </c>
      <c r="X49" s="23"/>
      <c r="Y49" s="23"/>
      <c r="Z49" s="23"/>
      <c r="AA49" s="23"/>
    </row>
    <row r="50" ht="12.75" customHeight="1">
      <c r="A50" s="2" t="s">
        <v>23</v>
      </c>
      <c r="B50" s="2" t="s">
        <v>609</v>
      </c>
      <c r="C50" s="2" t="s">
        <v>610</v>
      </c>
      <c r="D50" s="2" t="s">
        <v>3263</v>
      </c>
      <c r="E50" s="2" t="s">
        <v>35</v>
      </c>
      <c r="F50" s="2" t="s">
        <v>12129</v>
      </c>
      <c r="G50" s="2" t="s">
        <v>12129</v>
      </c>
      <c r="H50" s="2" t="s">
        <v>12129</v>
      </c>
      <c r="I50" s="2" t="s">
        <v>12243</v>
      </c>
      <c r="J50" s="2" t="s">
        <v>12244</v>
      </c>
      <c r="K50" s="2" t="s">
        <v>15521</v>
      </c>
      <c r="L50" s="2" t="s">
        <v>15522</v>
      </c>
      <c r="M50" s="2" t="s">
        <v>12660</v>
      </c>
      <c r="N50" s="2">
        <v>2013.0</v>
      </c>
      <c r="O50" s="2" t="s">
        <v>612</v>
      </c>
      <c r="P50" s="15" t="str">
        <f>HYPERLINK("http://dx.doi.org/10.1111/j.1728-4457.2013.00561.x","http://dx.doi.org/10.1111/j.1728-4457.2013.00561.x")</f>
        <v>http://dx.doi.org/10.1111/j.1728-4457.2013.00561.x</v>
      </c>
      <c r="Q50" s="2" t="s">
        <v>614</v>
      </c>
      <c r="R50" s="2" t="s">
        <v>614</v>
      </c>
      <c r="S50" s="2" t="s">
        <v>12152</v>
      </c>
      <c r="T50" s="2" t="s">
        <v>615</v>
      </c>
      <c r="V50" s="23" t="s">
        <v>15399</v>
      </c>
      <c r="W50" s="23" t="s">
        <v>15399</v>
      </c>
      <c r="X50" s="23"/>
      <c r="Y50" s="23"/>
      <c r="Z50" s="23"/>
      <c r="AA50" s="23"/>
    </row>
    <row r="51" ht="12.75" customHeight="1">
      <c r="A51" s="2" t="s">
        <v>23</v>
      </c>
      <c r="B51" s="2" t="s">
        <v>808</v>
      </c>
      <c r="C51" s="2" t="s">
        <v>809</v>
      </c>
      <c r="D51" s="2" t="s">
        <v>3263</v>
      </c>
      <c r="E51" s="2" t="s">
        <v>27</v>
      </c>
      <c r="F51" s="2" t="s">
        <v>15523</v>
      </c>
      <c r="G51" s="2" t="s">
        <v>15524</v>
      </c>
      <c r="H51" s="2" t="s">
        <v>811</v>
      </c>
      <c r="I51" s="2" t="s">
        <v>12243</v>
      </c>
      <c r="J51" s="2" t="s">
        <v>12244</v>
      </c>
      <c r="K51" s="2" t="s">
        <v>15525</v>
      </c>
      <c r="L51" s="2" t="s">
        <v>15526</v>
      </c>
      <c r="M51" s="2" t="s">
        <v>12787</v>
      </c>
      <c r="N51" s="2">
        <v>2010.0</v>
      </c>
      <c r="O51" s="2" t="s">
        <v>812</v>
      </c>
      <c r="P51" s="15" t="str">
        <f>HYPERLINK("http://dx.doi.org/10.1111/j.1461-0248.2010.01518.x","http://dx.doi.org/10.1111/j.1461-0248.2010.01518.x")</f>
        <v>http://dx.doi.org/10.1111/j.1461-0248.2010.01518.x</v>
      </c>
      <c r="Q51" s="2" t="s">
        <v>814</v>
      </c>
      <c r="R51" s="2" t="s">
        <v>12251</v>
      </c>
      <c r="S51" s="2" t="s">
        <v>12152</v>
      </c>
      <c r="T51" s="2" t="s">
        <v>815</v>
      </c>
      <c r="V51" s="23" t="s">
        <v>15399</v>
      </c>
      <c r="W51" s="23"/>
      <c r="X51" s="23"/>
      <c r="Y51" s="23"/>
      <c r="Z51" s="23"/>
      <c r="AA51" s="23" t="s">
        <v>15399</v>
      </c>
    </row>
    <row r="52" ht="12.75" customHeight="1">
      <c r="A52" s="2" t="s">
        <v>23</v>
      </c>
      <c r="B52" s="2" t="s">
        <v>1146</v>
      </c>
      <c r="C52" s="2" t="s">
        <v>1147</v>
      </c>
      <c r="D52" s="2" t="s">
        <v>3263</v>
      </c>
      <c r="E52" s="2" t="s">
        <v>27</v>
      </c>
      <c r="F52" s="2" t="s">
        <v>15527</v>
      </c>
      <c r="G52" s="2" t="s">
        <v>15528</v>
      </c>
      <c r="H52" s="2" t="s">
        <v>1149</v>
      </c>
      <c r="I52" s="2" t="s">
        <v>12243</v>
      </c>
      <c r="J52" s="2" t="s">
        <v>12244</v>
      </c>
      <c r="K52" s="2" t="s">
        <v>12373</v>
      </c>
      <c r="L52" s="2" t="s">
        <v>12374</v>
      </c>
      <c r="M52" s="2" t="s">
        <v>12660</v>
      </c>
      <c r="N52" s="2">
        <v>2004.0</v>
      </c>
      <c r="O52" s="2" t="s">
        <v>1150</v>
      </c>
      <c r="P52" s="15" t="str">
        <f>HYPERLINK("http://dx.doi.org/10.1111/j.1365-2664.2004.00859.x","http://dx.doi.org/10.1111/j.1365-2664.2004.00859.x")</f>
        <v>http://dx.doi.org/10.1111/j.1365-2664.2004.00859.x</v>
      </c>
      <c r="Q52" s="2" t="s">
        <v>1121</v>
      </c>
      <c r="R52" s="2" t="s">
        <v>12376</v>
      </c>
      <c r="S52" s="2" t="s">
        <v>12152</v>
      </c>
      <c r="T52" s="2" t="s">
        <v>1152</v>
      </c>
      <c r="V52" s="23" t="s">
        <v>15399</v>
      </c>
      <c r="W52" s="23"/>
      <c r="X52" s="23" t="s">
        <v>15399</v>
      </c>
      <c r="Y52" s="23"/>
      <c r="Z52" s="23"/>
      <c r="AA52" s="23"/>
    </row>
    <row r="53" ht="12.75" customHeight="1">
      <c r="A53" s="2" t="s">
        <v>23</v>
      </c>
      <c r="B53" s="2" t="s">
        <v>769</v>
      </c>
      <c r="C53" s="2" t="s">
        <v>770</v>
      </c>
      <c r="D53" s="2" t="s">
        <v>3263</v>
      </c>
      <c r="E53" s="2" t="s">
        <v>27</v>
      </c>
      <c r="F53" s="2" t="s">
        <v>15529</v>
      </c>
      <c r="G53" s="2" t="s">
        <v>15530</v>
      </c>
      <c r="H53" s="2" t="s">
        <v>772</v>
      </c>
      <c r="I53" s="2" t="s">
        <v>12243</v>
      </c>
      <c r="J53" s="2" t="s">
        <v>12244</v>
      </c>
      <c r="K53" s="2" t="s">
        <v>12785</v>
      </c>
      <c r="L53" s="2" t="s">
        <v>12786</v>
      </c>
      <c r="M53" s="2" t="s">
        <v>12660</v>
      </c>
      <c r="N53" s="2">
        <v>2011.0</v>
      </c>
      <c r="O53" s="2" t="s">
        <v>773</v>
      </c>
      <c r="P53" s="15" t="str">
        <f>HYPERLINK("http://dx.doi.org/10.1111/j.1365-2486.2010.02279.x","http://dx.doi.org/10.1111/j.1365-2486.2010.02279.x")</f>
        <v>http://dx.doi.org/10.1111/j.1365-2486.2010.02279.x</v>
      </c>
      <c r="Q53" s="2" t="s">
        <v>252</v>
      </c>
      <c r="R53" s="2" t="s">
        <v>12376</v>
      </c>
      <c r="S53" s="2" t="s">
        <v>12152</v>
      </c>
      <c r="T53" s="2" t="s">
        <v>775</v>
      </c>
      <c r="V53" s="23" t="s">
        <v>15399</v>
      </c>
      <c r="W53" s="23" t="s">
        <v>15399</v>
      </c>
      <c r="X53" s="23"/>
      <c r="Y53" s="23"/>
      <c r="Z53" s="23"/>
      <c r="AA53" s="23"/>
    </row>
    <row r="54" ht="12.75" customHeight="1">
      <c r="A54" s="2" t="s">
        <v>23</v>
      </c>
      <c r="B54" s="2" t="s">
        <v>121</v>
      </c>
      <c r="C54" s="2" t="s">
        <v>122</v>
      </c>
      <c r="D54" s="2" t="s">
        <v>3263</v>
      </c>
      <c r="E54" s="2" t="s">
        <v>35</v>
      </c>
      <c r="F54" s="2" t="s">
        <v>15531</v>
      </c>
      <c r="G54" s="2" t="s">
        <v>15532</v>
      </c>
      <c r="H54" s="2" t="s">
        <v>124</v>
      </c>
      <c r="I54" s="2" t="s">
        <v>12243</v>
      </c>
      <c r="J54" s="2" t="s">
        <v>12244</v>
      </c>
      <c r="K54" s="2" t="s">
        <v>12910</v>
      </c>
      <c r="L54" s="2" t="s">
        <v>12911</v>
      </c>
      <c r="M54" s="2" t="s">
        <v>12660</v>
      </c>
      <c r="N54" s="2">
        <v>2017.0</v>
      </c>
      <c r="O54" s="2" t="s">
        <v>125</v>
      </c>
      <c r="P54" s="15" t="str">
        <f>HYPERLINK("http://dx.doi.org/10.1111/fwb.12864","http://dx.doi.org/10.1111/fwb.12864")</f>
        <v>http://dx.doi.org/10.1111/fwb.12864</v>
      </c>
      <c r="Q54" s="2" t="s">
        <v>127</v>
      </c>
      <c r="R54" s="2" t="s">
        <v>12303</v>
      </c>
      <c r="S54" s="2" t="s">
        <v>12152</v>
      </c>
      <c r="T54" s="2" t="s">
        <v>128</v>
      </c>
      <c r="V54" s="23" t="s">
        <v>15399</v>
      </c>
      <c r="W54" s="23"/>
      <c r="X54" s="23" t="s">
        <v>15399</v>
      </c>
      <c r="Y54" s="23"/>
      <c r="Z54" s="23"/>
      <c r="AA54" s="23"/>
    </row>
    <row r="55" ht="12.75" customHeight="1">
      <c r="A55" s="2" t="s">
        <v>23</v>
      </c>
      <c r="B55" s="2" t="s">
        <v>179</v>
      </c>
      <c r="C55" s="2" t="s">
        <v>180</v>
      </c>
      <c r="D55" s="2" t="s">
        <v>3263</v>
      </c>
      <c r="E55" s="2" t="s">
        <v>35</v>
      </c>
      <c r="F55" s="2" t="s">
        <v>15533</v>
      </c>
      <c r="G55" s="2" t="s">
        <v>15534</v>
      </c>
      <c r="H55" s="2" t="s">
        <v>182</v>
      </c>
      <c r="I55" s="2" t="s">
        <v>12243</v>
      </c>
      <c r="J55" s="2" t="s">
        <v>12244</v>
      </c>
      <c r="K55" s="2" t="s">
        <v>15535</v>
      </c>
      <c r="L55" s="2" t="s">
        <v>15536</v>
      </c>
      <c r="M55" s="2" t="s">
        <v>12787</v>
      </c>
      <c r="N55" s="2">
        <v>2016.0</v>
      </c>
      <c r="O55" s="2" t="s">
        <v>183</v>
      </c>
      <c r="P55" s="15" t="str">
        <f>HYPERLINK("http://dx.doi.org/10.1111/brv.12207","http://dx.doi.org/10.1111/brv.12207")</f>
        <v>http://dx.doi.org/10.1111/brv.12207</v>
      </c>
      <c r="Q55" s="2" t="s">
        <v>185</v>
      </c>
      <c r="R55" s="2" t="s">
        <v>13772</v>
      </c>
      <c r="S55" s="2" t="s">
        <v>12152</v>
      </c>
      <c r="T55" s="2" t="s">
        <v>186</v>
      </c>
      <c r="V55" s="23" t="s">
        <v>15399</v>
      </c>
      <c r="W55" s="23"/>
      <c r="X55" s="23"/>
      <c r="Y55" s="23" t="s">
        <v>15399</v>
      </c>
      <c r="Z55" s="23"/>
      <c r="AA55" s="23"/>
    </row>
    <row r="56" ht="12.75" customHeight="1">
      <c r="A56" s="2" t="s">
        <v>23</v>
      </c>
      <c r="B56" s="2" t="s">
        <v>455</v>
      </c>
      <c r="C56" s="2" t="s">
        <v>456</v>
      </c>
      <c r="D56" s="2" t="s">
        <v>3263</v>
      </c>
      <c r="E56" s="2" t="s">
        <v>27</v>
      </c>
      <c r="F56" s="2" t="s">
        <v>15537</v>
      </c>
      <c r="G56" s="2" t="s">
        <v>15538</v>
      </c>
      <c r="H56" s="2" t="s">
        <v>458</v>
      </c>
      <c r="I56" s="2" t="s">
        <v>14600</v>
      </c>
      <c r="J56" s="2" t="s">
        <v>12170</v>
      </c>
      <c r="K56" s="2" t="s">
        <v>14603</v>
      </c>
      <c r="L56" s="2" t="s">
        <v>14604</v>
      </c>
      <c r="M56" s="2" t="s">
        <v>15539</v>
      </c>
      <c r="N56" s="2">
        <v>2014.0</v>
      </c>
      <c r="O56" s="2" t="s">
        <v>459</v>
      </c>
      <c r="P56" s="15" t="str">
        <f>HYPERLINK("http://dx.doi.org/10.1098/rstb.2013.0580","http://dx.doi.org/10.1098/rstb.2013.0580")</f>
        <v>http://dx.doi.org/10.1098/rstb.2013.0580</v>
      </c>
      <c r="Q56" s="2" t="s">
        <v>185</v>
      </c>
      <c r="R56" s="2" t="s">
        <v>13772</v>
      </c>
      <c r="S56" s="2" t="s">
        <v>12152</v>
      </c>
      <c r="T56" s="2" t="s">
        <v>461</v>
      </c>
      <c r="V56" s="23" t="s">
        <v>15399</v>
      </c>
      <c r="W56" s="23"/>
      <c r="X56" s="23"/>
      <c r="Y56" s="23" t="s">
        <v>15399</v>
      </c>
      <c r="Z56" s="23"/>
      <c r="AA56" s="23"/>
    </row>
    <row r="57" ht="12.75" customHeight="1">
      <c r="A57" s="2" t="s">
        <v>23</v>
      </c>
      <c r="B57" s="2" t="s">
        <v>967</v>
      </c>
      <c r="C57" s="2" t="s">
        <v>968</v>
      </c>
      <c r="D57" s="2" t="s">
        <v>3263</v>
      </c>
      <c r="E57" s="2" t="s">
        <v>35</v>
      </c>
      <c r="F57" s="2" t="s">
        <v>15540</v>
      </c>
      <c r="G57" s="2" t="s">
        <v>15541</v>
      </c>
      <c r="H57" s="2" t="s">
        <v>969</v>
      </c>
      <c r="I57" s="2" t="s">
        <v>14600</v>
      </c>
      <c r="J57" s="2" t="s">
        <v>12170</v>
      </c>
      <c r="K57" s="2" t="s">
        <v>14603</v>
      </c>
      <c r="L57" s="2" t="s">
        <v>14604</v>
      </c>
      <c r="M57" s="2" t="s">
        <v>15542</v>
      </c>
      <c r="N57" s="2">
        <v>2009.0</v>
      </c>
      <c r="O57" s="2" t="s">
        <v>970</v>
      </c>
      <c r="P57" s="15" t="str">
        <f>HYPERLINK("http://dx.doi.org/10.1098/rstb.2008.0205","http://dx.doi.org/10.1098/rstb.2008.0205")</f>
        <v>http://dx.doi.org/10.1098/rstb.2008.0205</v>
      </c>
      <c r="Q57" s="2" t="s">
        <v>185</v>
      </c>
      <c r="R57" s="2" t="s">
        <v>13772</v>
      </c>
      <c r="S57" s="2" t="s">
        <v>12152</v>
      </c>
      <c r="T57" s="2" t="s">
        <v>972</v>
      </c>
      <c r="V57" s="23" t="s">
        <v>15399</v>
      </c>
      <c r="W57" s="23"/>
      <c r="X57" s="23"/>
      <c r="Y57" s="23" t="s">
        <v>15399</v>
      </c>
      <c r="Z57" s="23"/>
      <c r="AA57" s="23"/>
    </row>
    <row r="58" ht="12.75" customHeight="1">
      <c r="A58" s="2" t="s">
        <v>23</v>
      </c>
      <c r="B58" s="2" t="s">
        <v>1067</v>
      </c>
      <c r="C58" s="2" t="s">
        <v>1068</v>
      </c>
      <c r="D58" s="2" t="s">
        <v>3263</v>
      </c>
      <c r="E58" s="2" t="s">
        <v>266</v>
      </c>
      <c r="F58" s="2" t="s">
        <v>15543</v>
      </c>
      <c r="G58" s="2" t="s">
        <v>15544</v>
      </c>
      <c r="H58" s="2" t="s">
        <v>1070</v>
      </c>
      <c r="I58" s="2" t="s">
        <v>14600</v>
      </c>
      <c r="J58" s="2" t="s">
        <v>12170</v>
      </c>
      <c r="K58" s="2" t="s">
        <v>15545</v>
      </c>
      <c r="L58" s="2" t="s">
        <v>15546</v>
      </c>
      <c r="M58" s="2" t="s">
        <v>12275</v>
      </c>
      <c r="N58" s="2">
        <v>2006.0</v>
      </c>
      <c r="O58" s="2" t="s">
        <v>1071</v>
      </c>
      <c r="P58" s="15" t="str">
        <f>HYPERLINK("http://dx.doi.org/10.1098/rsta.2006.1816","http://dx.doi.org/10.1098/rsta.2006.1816")</f>
        <v>http://dx.doi.org/10.1098/rsta.2006.1816</v>
      </c>
      <c r="Q58" s="2" t="s">
        <v>39</v>
      </c>
      <c r="R58" s="2" t="s">
        <v>12202</v>
      </c>
      <c r="S58" s="2" t="s">
        <v>12152</v>
      </c>
      <c r="T58" s="2" t="s">
        <v>1073</v>
      </c>
      <c r="V58" s="23" t="s">
        <v>15399</v>
      </c>
      <c r="W58" s="23"/>
      <c r="X58" s="23"/>
      <c r="Y58" s="23"/>
      <c r="Z58" s="23"/>
      <c r="AA58" s="23" t="s">
        <v>15399</v>
      </c>
    </row>
    <row r="59" ht="12.75" customHeight="1">
      <c r="A59" s="2" t="s">
        <v>23</v>
      </c>
      <c r="B59" s="2" t="s">
        <v>130</v>
      </c>
      <c r="C59" s="2" t="s">
        <v>131</v>
      </c>
      <c r="D59" s="2" t="s">
        <v>3263</v>
      </c>
      <c r="E59" s="2" t="s">
        <v>35</v>
      </c>
      <c r="F59" s="2" t="s">
        <v>15547</v>
      </c>
      <c r="G59" s="2" t="s">
        <v>15548</v>
      </c>
      <c r="H59" s="2" t="s">
        <v>133</v>
      </c>
      <c r="I59" s="2" t="s">
        <v>14600</v>
      </c>
      <c r="J59" s="2" t="s">
        <v>12170</v>
      </c>
      <c r="K59" s="2" t="s">
        <v>15549</v>
      </c>
      <c r="L59" s="2" t="s">
        <v>15550</v>
      </c>
      <c r="M59" s="2" t="s">
        <v>13987</v>
      </c>
      <c r="N59" s="2">
        <v>2017.0</v>
      </c>
      <c r="O59" s="2" t="s">
        <v>134</v>
      </c>
      <c r="P59" s="15" t="str">
        <f>HYPERLINK("http://dx.doi.org/10.1098/rsbl.2016.0774","http://dx.doi.org/10.1098/rsbl.2016.0774")</f>
        <v>http://dx.doi.org/10.1098/rsbl.2016.0774</v>
      </c>
      <c r="Q59" s="2" t="s">
        <v>136</v>
      </c>
      <c r="R59" s="2" t="s">
        <v>14803</v>
      </c>
      <c r="S59" s="2" t="s">
        <v>12152</v>
      </c>
      <c r="T59" s="2" t="s">
        <v>137</v>
      </c>
      <c r="V59" s="23" t="s">
        <v>15399</v>
      </c>
      <c r="W59" s="23"/>
      <c r="X59" s="23"/>
      <c r="Y59" s="23"/>
      <c r="Z59" s="23"/>
      <c r="AA59" s="23" t="s">
        <v>15399</v>
      </c>
    </row>
    <row r="60" ht="12.75" customHeight="1">
      <c r="A60" s="2" t="s">
        <v>23</v>
      </c>
      <c r="B60" s="2" t="s">
        <v>617</v>
      </c>
      <c r="C60" s="2" t="s">
        <v>618</v>
      </c>
      <c r="D60" s="2" t="s">
        <v>3263</v>
      </c>
      <c r="E60" s="2" t="s">
        <v>35</v>
      </c>
      <c r="F60" s="2" t="s">
        <v>15551</v>
      </c>
      <c r="G60" s="2" t="s">
        <v>15552</v>
      </c>
      <c r="H60" s="2" t="s">
        <v>619</v>
      </c>
      <c r="I60" s="2" t="s">
        <v>12392</v>
      </c>
      <c r="J60" s="2" t="s">
        <v>12393</v>
      </c>
      <c r="K60" s="2" t="s">
        <v>12395</v>
      </c>
      <c r="L60" s="2" t="s">
        <v>5884</v>
      </c>
      <c r="M60" s="2" t="s">
        <v>15553</v>
      </c>
      <c r="N60" s="2">
        <v>2013.0</v>
      </c>
      <c r="O60" s="2" t="s">
        <v>620</v>
      </c>
      <c r="P60" s="15" t="str">
        <f>HYPERLINK("http://dx.doi.org/10.1088/1748-9326/8/1/014003","http://dx.doi.org/10.1088/1748-9326/8/1/014003")</f>
        <v>http://dx.doi.org/10.1088/1748-9326/8/1/014003</v>
      </c>
      <c r="Q60" s="2" t="s">
        <v>319</v>
      </c>
      <c r="R60" s="2" t="s">
        <v>12397</v>
      </c>
      <c r="S60" s="2" t="s">
        <v>12152</v>
      </c>
      <c r="T60" s="2" t="s">
        <v>622</v>
      </c>
      <c r="V60" s="23" t="s">
        <v>15399</v>
      </c>
      <c r="W60" s="23"/>
      <c r="X60" s="23"/>
      <c r="Y60" s="23" t="s">
        <v>15399</v>
      </c>
      <c r="Z60" s="23"/>
      <c r="AA60" s="23"/>
    </row>
    <row r="61" ht="12.75" customHeight="1">
      <c r="A61" s="2" t="s">
        <v>23</v>
      </c>
      <c r="B61" s="2" t="s">
        <v>667</v>
      </c>
      <c r="C61" s="2" t="s">
        <v>668</v>
      </c>
      <c r="D61" s="2" t="s">
        <v>3263</v>
      </c>
      <c r="E61" s="2" t="s">
        <v>35</v>
      </c>
      <c r="F61" s="2" t="s">
        <v>15554</v>
      </c>
      <c r="G61" s="2" t="s">
        <v>15555</v>
      </c>
      <c r="H61" s="2" t="s">
        <v>669</v>
      </c>
      <c r="I61" s="2" t="s">
        <v>15556</v>
      </c>
      <c r="J61" s="2" t="s">
        <v>12393</v>
      </c>
      <c r="K61" s="2" t="s">
        <v>12395</v>
      </c>
      <c r="L61" s="2" t="s">
        <v>5884</v>
      </c>
      <c r="M61" s="2" t="s">
        <v>12148</v>
      </c>
      <c r="N61" s="2">
        <v>2012.0</v>
      </c>
      <c r="O61" s="2" t="s">
        <v>670</v>
      </c>
      <c r="P61" s="15" t="str">
        <f>HYPERLINK("http://dx.doi.org/10.1088/1748-9326/7/4/044009","http://dx.doi.org/10.1088/1748-9326/7/4/044009")</f>
        <v>http://dx.doi.org/10.1088/1748-9326/7/4/044009</v>
      </c>
      <c r="Q61" s="2" t="s">
        <v>319</v>
      </c>
      <c r="R61" s="2" t="s">
        <v>12397</v>
      </c>
      <c r="S61" s="2" t="s">
        <v>12152</v>
      </c>
      <c r="T61" s="2" t="s">
        <v>672</v>
      </c>
      <c r="V61" s="23" t="s">
        <v>15399</v>
      </c>
      <c r="W61" s="23" t="s">
        <v>15399</v>
      </c>
      <c r="X61" s="23"/>
      <c r="Y61" s="23"/>
      <c r="Z61" s="23"/>
      <c r="AA61" s="23"/>
    </row>
    <row r="62" ht="12.75" customHeight="1">
      <c r="A62" s="2" t="s">
        <v>23</v>
      </c>
      <c r="B62" s="2" t="s">
        <v>730</v>
      </c>
      <c r="C62" s="2" t="s">
        <v>731</v>
      </c>
      <c r="D62" s="2" t="s">
        <v>3263</v>
      </c>
      <c r="E62" s="2" t="s">
        <v>35</v>
      </c>
      <c r="F62" s="2" t="s">
        <v>15557</v>
      </c>
      <c r="G62" s="2" t="s">
        <v>15558</v>
      </c>
      <c r="H62" s="2" t="s">
        <v>732</v>
      </c>
      <c r="I62" s="2" t="s">
        <v>12392</v>
      </c>
      <c r="J62" s="2" t="s">
        <v>12393</v>
      </c>
      <c r="K62" s="2" t="s">
        <v>12395</v>
      </c>
      <c r="L62" s="2" t="s">
        <v>5884</v>
      </c>
      <c r="M62" s="2" t="s">
        <v>12148</v>
      </c>
      <c r="N62" s="2">
        <v>2011.0</v>
      </c>
      <c r="O62" s="2" t="s">
        <v>733</v>
      </c>
      <c r="P62" s="15" t="str">
        <f>HYPERLINK("http://dx.doi.org/10.1088/1748-9326/6/4/045201","http://dx.doi.org/10.1088/1748-9326/6/4/045201")</f>
        <v>http://dx.doi.org/10.1088/1748-9326/6/4/045201</v>
      </c>
      <c r="Q62" s="2" t="s">
        <v>319</v>
      </c>
      <c r="R62" s="2" t="s">
        <v>12397</v>
      </c>
      <c r="S62" s="2" t="s">
        <v>12152</v>
      </c>
      <c r="T62" s="2" t="s">
        <v>735</v>
      </c>
      <c r="V62" s="23" t="s">
        <v>15399</v>
      </c>
      <c r="W62" s="23" t="s">
        <v>15399</v>
      </c>
      <c r="X62" s="23"/>
      <c r="Y62" s="23"/>
      <c r="Z62" s="23"/>
      <c r="AA62" s="23"/>
    </row>
    <row r="63" ht="12.75" customHeight="1">
      <c r="A63" s="2" t="s">
        <v>23</v>
      </c>
      <c r="B63" s="2" t="s">
        <v>313</v>
      </c>
      <c r="C63" s="2" t="s">
        <v>314</v>
      </c>
      <c r="D63" s="2" t="s">
        <v>3263</v>
      </c>
      <c r="E63" s="2" t="s">
        <v>35</v>
      </c>
      <c r="F63" s="2" t="s">
        <v>15559</v>
      </c>
      <c r="G63" s="2" t="s">
        <v>15560</v>
      </c>
      <c r="H63" s="2" t="s">
        <v>316</v>
      </c>
      <c r="I63" s="2" t="s">
        <v>15556</v>
      </c>
      <c r="J63" s="2" t="s">
        <v>12393</v>
      </c>
      <c r="K63" s="2" t="s">
        <v>12395</v>
      </c>
      <c r="L63" s="2" t="s">
        <v>5884</v>
      </c>
      <c r="M63" s="2" t="s">
        <v>12249</v>
      </c>
      <c r="N63" s="2">
        <v>2015.0</v>
      </c>
      <c r="O63" s="2" t="s">
        <v>317</v>
      </c>
      <c r="P63" s="15" t="str">
        <f>HYPERLINK("http://dx.doi.org/10.1088/1748-9326/10/9/094015","http://dx.doi.org/10.1088/1748-9326/10/9/094015")</f>
        <v>http://dx.doi.org/10.1088/1748-9326/10/9/094015</v>
      </c>
      <c r="Q63" s="2" t="s">
        <v>319</v>
      </c>
      <c r="R63" s="2" t="s">
        <v>12397</v>
      </c>
      <c r="S63" s="2" t="s">
        <v>12152</v>
      </c>
      <c r="T63" s="2" t="s">
        <v>320</v>
      </c>
      <c r="V63" s="23" t="s">
        <v>15399</v>
      </c>
      <c r="W63" s="23"/>
      <c r="X63" s="23"/>
      <c r="Y63" s="23"/>
      <c r="Z63" s="23"/>
      <c r="AA63" s="23" t="s">
        <v>15399</v>
      </c>
    </row>
    <row r="64" ht="12.75" customHeight="1">
      <c r="A64" s="2" t="s">
        <v>23</v>
      </c>
      <c r="B64" s="2" t="s">
        <v>238</v>
      </c>
      <c r="C64" s="2" t="s">
        <v>239</v>
      </c>
      <c r="D64" s="2" t="s">
        <v>3263</v>
      </c>
      <c r="E64" s="2" t="s">
        <v>27</v>
      </c>
      <c r="F64" s="2" t="s">
        <v>15561</v>
      </c>
      <c r="G64" s="2" t="s">
        <v>15562</v>
      </c>
      <c r="H64" s="2" t="s">
        <v>241</v>
      </c>
      <c r="I64" s="2" t="s">
        <v>13096</v>
      </c>
      <c r="J64" s="2" t="s">
        <v>13097</v>
      </c>
      <c r="K64" s="2" t="s">
        <v>15563</v>
      </c>
      <c r="L64" s="2" t="s">
        <v>15564</v>
      </c>
      <c r="M64" s="2" t="s">
        <v>15565</v>
      </c>
      <c r="N64" s="2">
        <v>2016.0</v>
      </c>
      <c r="O64" s="2" t="s">
        <v>242</v>
      </c>
      <c r="P64" s="15" t="str">
        <f>HYPERLINK("http://dx.doi.org/10.1080/10643389.2015.1096876","http://dx.doi.org/10.1080/10643389.2015.1096876")</f>
        <v>http://dx.doi.org/10.1080/10643389.2015.1096876</v>
      </c>
      <c r="Q64" s="2" t="s">
        <v>65</v>
      </c>
      <c r="R64" s="2" t="s">
        <v>12251</v>
      </c>
      <c r="S64" s="2" t="s">
        <v>12152</v>
      </c>
      <c r="T64" s="2" t="s">
        <v>244</v>
      </c>
      <c r="V64" s="23" t="s">
        <v>15399</v>
      </c>
      <c r="W64" s="23"/>
      <c r="X64" s="23"/>
      <c r="Y64" s="23" t="s">
        <v>15399</v>
      </c>
      <c r="Z64" s="23"/>
      <c r="AA64" s="23"/>
    </row>
    <row r="65" ht="12.75" customHeight="1">
      <c r="A65" s="2" t="s">
        <v>23</v>
      </c>
      <c r="B65" s="2" t="s">
        <v>32</v>
      </c>
      <c r="C65" s="2" t="s">
        <v>33</v>
      </c>
      <c r="D65" s="2" t="s">
        <v>3263</v>
      </c>
      <c r="E65" s="2" t="s">
        <v>35</v>
      </c>
      <c r="F65" s="2" t="s">
        <v>12129</v>
      </c>
      <c r="G65" s="2" t="s">
        <v>15566</v>
      </c>
      <c r="H65" s="2" t="s">
        <v>36</v>
      </c>
      <c r="I65" s="2" t="s">
        <v>12631</v>
      </c>
      <c r="J65" s="2" t="s">
        <v>12632</v>
      </c>
      <c r="K65" s="2" t="s">
        <v>12634</v>
      </c>
      <c r="L65" s="2" t="s">
        <v>12635</v>
      </c>
      <c r="M65" s="2" t="s">
        <v>15567</v>
      </c>
      <c r="N65" s="2">
        <v>2018.0</v>
      </c>
      <c r="O65" s="2" t="s">
        <v>37</v>
      </c>
      <c r="P65" s="15" t="str">
        <f>HYPERLINK("http://dx.doi.org/10.1073/pnas.1719429115","http://dx.doi.org/10.1073/pnas.1719429115")</f>
        <v>http://dx.doi.org/10.1073/pnas.1719429115</v>
      </c>
      <c r="Q65" s="2" t="s">
        <v>39</v>
      </c>
      <c r="R65" s="2" t="s">
        <v>12202</v>
      </c>
      <c r="S65" s="2" t="s">
        <v>12152</v>
      </c>
      <c r="T65" s="2" t="s">
        <v>40</v>
      </c>
      <c r="V65" s="23" t="s">
        <v>15399</v>
      </c>
      <c r="W65" s="23"/>
      <c r="X65" s="23"/>
      <c r="Y65" s="23"/>
      <c r="Z65" s="23" t="s">
        <v>15399</v>
      </c>
      <c r="AA65" s="23"/>
    </row>
    <row r="66" ht="12.75" customHeight="1">
      <c r="A66" s="2" t="s">
        <v>23</v>
      </c>
      <c r="B66" s="2" t="s">
        <v>68</v>
      </c>
      <c r="C66" s="2" t="s">
        <v>69</v>
      </c>
      <c r="D66" s="2" t="s">
        <v>3263</v>
      </c>
      <c r="E66" s="2" t="s">
        <v>35</v>
      </c>
      <c r="F66" s="2" t="s">
        <v>15568</v>
      </c>
      <c r="G66" s="2" t="s">
        <v>15569</v>
      </c>
      <c r="H66" s="2" t="s">
        <v>70</v>
      </c>
      <c r="I66" s="2" t="s">
        <v>12631</v>
      </c>
      <c r="J66" s="2" t="s">
        <v>12632</v>
      </c>
      <c r="K66" s="2" t="s">
        <v>12634</v>
      </c>
      <c r="L66" s="2" t="s">
        <v>12635</v>
      </c>
      <c r="M66" s="2" t="s">
        <v>15570</v>
      </c>
      <c r="N66" s="2">
        <v>2017.0</v>
      </c>
      <c r="O66" s="2" t="s">
        <v>71</v>
      </c>
      <c r="P66" s="15" t="str">
        <f>HYPERLINK("http://dx.doi.org/10.1073/pnas.1716222114","http://dx.doi.org/10.1073/pnas.1716222114")</f>
        <v>http://dx.doi.org/10.1073/pnas.1716222114</v>
      </c>
      <c r="Q66" s="2" t="s">
        <v>39</v>
      </c>
      <c r="R66" s="2" t="s">
        <v>12202</v>
      </c>
      <c r="S66" s="2" t="s">
        <v>12152</v>
      </c>
      <c r="T66" s="2" t="s">
        <v>73</v>
      </c>
      <c r="V66" s="23" t="s">
        <v>15399</v>
      </c>
      <c r="W66" s="23"/>
      <c r="X66" s="23"/>
      <c r="Y66" s="23"/>
      <c r="Z66" s="23"/>
      <c r="AA66" s="23" t="s">
        <v>15399</v>
      </c>
    </row>
    <row r="67" ht="12.75" customHeight="1">
      <c r="A67" s="2" t="s">
        <v>23</v>
      </c>
      <c r="B67" s="2" t="s">
        <v>107</v>
      </c>
      <c r="C67" s="2" t="s">
        <v>108</v>
      </c>
      <c r="D67" s="2" t="s">
        <v>3263</v>
      </c>
      <c r="E67" s="2" t="s">
        <v>35</v>
      </c>
      <c r="F67" s="2" t="s">
        <v>15571</v>
      </c>
      <c r="G67" s="2" t="s">
        <v>15572</v>
      </c>
      <c r="H67" s="2" t="s">
        <v>109</v>
      </c>
      <c r="I67" s="2" t="s">
        <v>12631</v>
      </c>
      <c r="J67" s="2" t="s">
        <v>12632</v>
      </c>
      <c r="K67" s="2" t="s">
        <v>12634</v>
      </c>
      <c r="L67" s="2" t="s">
        <v>12635</v>
      </c>
      <c r="M67" s="2" t="s">
        <v>15573</v>
      </c>
      <c r="N67" s="2">
        <v>2017.0</v>
      </c>
      <c r="O67" s="2" t="s">
        <v>110</v>
      </c>
      <c r="P67" s="15" t="str">
        <f>HYPERLINK("http://dx.doi.org/10.1073/pnas.1621517114","http://dx.doi.org/10.1073/pnas.1621517114")</f>
        <v>http://dx.doi.org/10.1073/pnas.1621517114</v>
      </c>
      <c r="Q67" s="2" t="s">
        <v>39</v>
      </c>
      <c r="R67" s="2" t="s">
        <v>12202</v>
      </c>
      <c r="S67" s="2" t="s">
        <v>12152</v>
      </c>
      <c r="T67" s="2" t="s">
        <v>112</v>
      </c>
      <c r="V67" s="23" t="s">
        <v>15399</v>
      </c>
      <c r="W67" s="23"/>
      <c r="X67" s="23"/>
      <c r="Y67" s="23" t="s">
        <v>15399</v>
      </c>
      <c r="Z67" s="23"/>
      <c r="AA67" s="23"/>
    </row>
    <row r="68" ht="12.75" customHeight="1">
      <c r="A68" s="2" t="s">
        <v>23</v>
      </c>
      <c r="B68" s="2" t="s">
        <v>375</v>
      </c>
      <c r="C68" s="2" t="s">
        <v>376</v>
      </c>
      <c r="D68" s="2" t="s">
        <v>3263</v>
      </c>
      <c r="E68" s="2" t="s">
        <v>35</v>
      </c>
      <c r="F68" s="2" t="s">
        <v>15574</v>
      </c>
      <c r="G68" s="2" t="s">
        <v>15575</v>
      </c>
      <c r="H68" s="2" t="s">
        <v>377</v>
      </c>
      <c r="I68" s="2" t="s">
        <v>12631</v>
      </c>
      <c r="J68" s="2" t="s">
        <v>12632</v>
      </c>
      <c r="K68" s="2" t="s">
        <v>12634</v>
      </c>
      <c r="L68" s="2" t="s">
        <v>12635</v>
      </c>
      <c r="M68" s="2" t="s">
        <v>15576</v>
      </c>
      <c r="N68" s="2">
        <v>2015.0</v>
      </c>
      <c r="O68" s="2" t="s">
        <v>378</v>
      </c>
      <c r="P68" s="15" t="str">
        <f>HYPERLINK("http://dx.doi.org/10.1073/pnas.1504345112","http://dx.doi.org/10.1073/pnas.1504345112")</f>
        <v>http://dx.doi.org/10.1073/pnas.1504345112</v>
      </c>
      <c r="Q68" s="2" t="s">
        <v>39</v>
      </c>
      <c r="R68" s="2" t="s">
        <v>12202</v>
      </c>
      <c r="S68" s="2" t="s">
        <v>12152</v>
      </c>
      <c r="T68" s="2" t="s">
        <v>380</v>
      </c>
      <c r="V68" s="23" t="s">
        <v>15399</v>
      </c>
      <c r="W68" s="23"/>
      <c r="X68" s="23" t="s">
        <v>15399</v>
      </c>
      <c r="Y68" s="23"/>
      <c r="Z68" s="23"/>
      <c r="AA68" s="23"/>
    </row>
    <row r="69" ht="12.75" customHeight="1">
      <c r="A69" s="2" t="s">
        <v>23</v>
      </c>
      <c r="B69" s="2" t="s">
        <v>368</v>
      </c>
      <c r="C69" s="2" t="s">
        <v>369</v>
      </c>
      <c r="D69" s="2" t="s">
        <v>3263</v>
      </c>
      <c r="E69" s="2" t="s">
        <v>35</v>
      </c>
      <c r="F69" s="2" t="s">
        <v>15577</v>
      </c>
      <c r="G69" s="2" t="s">
        <v>15578</v>
      </c>
      <c r="H69" s="2" t="s">
        <v>370</v>
      </c>
      <c r="I69" s="2" t="s">
        <v>12631</v>
      </c>
      <c r="J69" s="2" t="s">
        <v>12632</v>
      </c>
      <c r="K69" s="2" t="s">
        <v>12634</v>
      </c>
      <c r="L69" s="2" t="s">
        <v>12635</v>
      </c>
      <c r="M69" s="2" t="s">
        <v>15579</v>
      </c>
      <c r="N69" s="2">
        <v>2015.0</v>
      </c>
      <c r="O69" s="2" t="s">
        <v>371</v>
      </c>
      <c r="P69" s="15" t="str">
        <f>HYPERLINK("http://dx.doi.org/10.1073/pnas.1500232112","http://dx.doi.org/10.1073/pnas.1500232112")</f>
        <v>http://dx.doi.org/10.1073/pnas.1500232112</v>
      </c>
      <c r="Q69" s="2" t="s">
        <v>39</v>
      </c>
      <c r="R69" s="2" t="s">
        <v>12202</v>
      </c>
      <c r="S69" s="2" t="s">
        <v>12152</v>
      </c>
      <c r="T69" s="2" t="s">
        <v>373</v>
      </c>
      <c r="V69" s="23" t="s">
        <v>15399</v>
      </c>
      <c r="W69" s="23"/>
      <c r="X69" s="23"/>
      <c r="Y69" s="23" t="s">
        <v>15399</v>
      </c>
      <c r="Z69" s="23"/>
      <c r="AA69" s="23"/>
    </row>
    <row r="70" ht="12.75" customHeight="1">
      <c r="A70" s="2" t="s">
        <v>23</v>
      </c>
      <c r="B70" s="2" t="s">
        <v>481</v>
      </c>
      <c r="C70" s="2" t="s">
        <v>482</v>
      </c>
      <c r="D70" s="2" t="s">
        <v>3263</v>
      </c>
      <c r="E70" s="2" t="s">
        <v>35</v>
      </c>
      <c r="F70" s="2" t="s">
        <v>15580</v>
      </c>
      <c r="G70" s="2" t="s">
        <v>15581</v>
      </c>
      <c r="H70" s="2" t="s">
        <v>483</v>
      </c>
      <c r="I70" s="2" t="s">
        <v>12631</v>
      </c>
      <c r="J70" s="2" t="s">
        <v>12632</v>
      </c>
      <c r="K70" s="2" t="s">
        <v>12634</v>
      </c>
      <c r="L70" s="2" t="s">
        <v>12635</v>
      </c>
      <c r="M70" s="2" t="s">
        <v>12935</v>
      </c>
      <c r="N70" s="2">
        <v>2014.0</v>
      </c>
      <c r="O70" s="2" t="s">
        <v>484</v>
      </c>
      <c r="P70" s="15" t="str">
        <f>HYPERLINK("http://dx.doi.org/10.1073/pnas.1321082111","http://dx.doi.org/10.1073/pnas.1321082111")</f>
        <v>http://dx.doi.org/10.1073/pnas.1321082111</v>
      </c>
      <c r="Q70" s="2" t="s">
        <v>39</v>
      </c>
      <c r="R70" s="2" t="s">
        <v>12202</v>
      </c>
      <c r="S70" s="2" t="s">
        <v>12152</v>
      </c>
      <c r="T70" s="2" t="s">
        <v>486</v>
      </c>
      <c r="V70" s="23" t="s">
        <v>15399</v>
      </c>
      <c r="W70" s="23"/>
      <c r="X70" s="23"/>
      <c r="Y70" s="23" t="s">
        <v>15399</v>
      </c>
      <c r="Z70" s="23"/>
      <c r="AA70" s="23"/>
    </row>
    <row r="71" ht="12.75" customHeight="1">
      <c r="A71" s="2" t="s">
        <v>23</v>
      </c>
      <c r="B71" s="2" t="s">
        <v>579</v>
      </c>
      <c r="C71" s="2" t="s">
        <v>580</v>
      </c>
      <c r="D71" s="2" t="s">
        <v>3263</v>
      </c>
      <c r="E71" s="2" t="s">
        <v>35</v>
      </c>
      <c r="F71" s="2" t="s">
        <v>15582</v>
      </c>
      <c r="G71" s="2" t="s">
        <v>15583</v>
      </c>
      <c r="H71" s="2" t="s">
        <v>581</v>
      </c>
      <c r="I71" s="2" t="s">
        <v>12631</v>
      </c>
      <c r="J71" s="2" t="s">
        <v>12632</v>
      </c>
      <c r="K71" s="2" t="s">
        <v>12634</v>
      </c>
      <c r="L71" s="2" t="s">
        <v>12635</v>
      </c>
      <c r="M71" s="2" t="s">
        <v>15584</v>
      </c>
      <c r="N71" s="2">
        <v>2013.0</v>
      </c>
      <c r="O71" s="2" t="s">
        <v>582</v>
      </c>
      <c r="P71" s="15" t="str">
        <f>HYPERLINK("http://dx.doi.org/10.1073/pnas.1305618110","http://dx.doi.org/10.1073/pnas.1305618110")</f>
        <v>http://dx.doi.org/10.1073/pnas.1305618110</v>
      </c>
      <c r="Q71" s="2" t="s">
        <v>39</v>
      </c>
      <c r="R71" s="2" t="s">
        <v>12202</v>
      </c>
      <c r="S71" s="2" t="s">
        <v>12152</v>
      </c>
      <c r="T71" s="2" t="s">
        <v>584</v>
      </c>
      <c r="V71" s="23" t="s">
        <v>15399</v>
      </c>
      <c r="W71" s="23"/>
      <c r="X71" s="23"/>
      <c r="Y71" s="23" t="s">
        <v>15399</v>
      </c>
      <c r="Z71" s="23"/>
      <c r="AA71" s="23"/>
    </row>
    <row r="72" ht="12.75" customHeight="1">
      <c r="A72" s="2" t="s">
        <v>23</v>
      </c>
      <c r="B72" s="2" t="s">
        <v>511</v>
      </c>
      <c r="C72" s="2" t="s">
        <v>512</v>
      </c>
      <c r="D72" s="2" t="s">
        <v>3263</v>
      </c>
      <c r="E72" s="2" t="s">
        <v>35</v>
      </c>
      <c r="F72" s="2" t="s">
        <v>15585</v>
      </c>
      <c r="G72" s="2" t="s">
        <v>15586</v>
      </c>
      <c r="H72" s="2" t="s">
        <v>513</v>
      </c>
      <c r="I72" s="2" t="s">
        <v>12631</v>
      </c>
      <c r="J72" s="2" t="s">
        <v>12632</v>
      </c>
      <c r="K72" s="2" t="s">
        <v>12634</v>
      </c>
      <c r="L72" s="2" t="s">
        <v>12635</v>
      </c>
      <c r="M72" s="2" t="s">
        <v>15587</v>
      </c>
      <c r="N72" s="2">
        <v>2014.0</v>
      </c>
      <c r="O72" s="2" t="s">
        <v>514</v>
      </c>
      <c r="P72" s="15" t="str">
        <f>HYPERLINK("http://dx.doi.org/10.1073/pnas.1222475110","http://dx.doi.org/10.1073/pnas.1222475110")</f>
        <v>http://dx.doi.org/10.1073/pnas.1222475110</v>
      </c>
      <c r="Q72" s="2" t="s">
        <v>39</v>
      </c>
      <c r="R72" s="2" t="s">
        <v>12202</v>
      </c>
      <c r="S72" s="2" t="s">
        <v>12152</v>
      </c>
      <c r="T72" s="2" t="s">
        <v>516</v>
      </c>
      <c r="V72" s="23" t="s">
        <v>15399</v>
      </c>
      <c r="W72" s="23"/>
      <c r="X72" s="23" t="s">
        <v>15399</v>
      </c>
      <c r="Y72" s="23"/>
      <c r="Z72" s="23"/>
      <c r="AA72" s="23"/>
    </row>
    <row r="73" ht="12.75" customHeight="1">
      <c r="A73" s="2" t="s">
        <v>23</v>
      </c>
      <c r="B73" s="2" t="s">
        <v>586</v>
      </c>
      <c r="C73" s="2" t="s">
        <v>587</v>
      </c>
      <c r="D73" s="2" t="s">
        <v>3263</v>
      </c>
      <c r="E73" s="2" t="s">
        <v>35</v>
      </c>
      <c r="F73" s="2" t="s">
        <v>15588</v>
      </c>
      <c r="G73" s="2" t="s">
        <v>15589</v>
      </c>
      <c r="H73" s="2" t="s">
        <v>588</v>
      </c>
      <c r="I73" s="2" t="s">
        <v>12631</v>
      </c>
      <c r="J73" s="2" t="s">
        <v>12632</v>
      </c>
      <c r="K73" s="2" t="s">
        <v>12634</v>
      </c>
      <c r="L73" s="2" t="s">
        <v>12635</v>
      </c>
      <c r="M73" s="2" t="s">
        <v>15496</v>
      </c>
      <c r="N73" s="2">
        <v>2013.0</v>
      </c>
      <c r="O73" s="2" t="s">
        <v>589</v>
      </c>
      <c r="P73" s="15" t="str">
        <f>HYPERLINK("http://dx.doi.org/10.1073/pnas.1211349110","http://dx.doi.org/10.1073/pnas.1211349110")</f>
        <v>http://dx.doi.org/10.1073/pnas.1211349110</v>
      </c>
      <c r="Q73" s="2" t="s">
        <v>39</v>
      </c>
      <c r="R73" s="2" t="s">
        <v>12202</v>
      </c>
      <c r="S73" s="2" t="s">
        <v>12152</v>
      </c>
      <c r="T73" s="2" t="s">
        <v>591</v>
      </c>
      <c r="V73" s="23" t="s">
        <v>15399</v>
      </c>
      <c r="W73" s="23"/>
      <c r="X73" s="23"/>
      <c r="Y73" s="23"/>
      <c r="Z73" s="23"/>
      <c r="AA73" s="23"/>
    </row>
    <row r="74" ht="12.75" customHeight="1">
      <c r="A74" s="2" t="s">
        <v>23</v>
      </c>
      <c r="B74" s="2" t="s">
        <v>723</v>
      </c>
      <c r="C74" s="2" t="s">
        <v>724</v>
      </c>
      <c r="D74" s="2" t="s">
        <v>3263</v>
      </c>
      <c r="E74" s="2" t="s">
        <v>35</v>
      </c>
      <c r="F74" s="2" t="s">
        <v>15590</v>
      </c>
      <c r="G74" s="2" t="s">
        <v>15591</v>
      </c>
      <c r="H74" s="2" t="s">
        <v>725</v>
      </c>
      <c r="I74" s="2" t="s">
        <v>12631</v>
      </c>
      <c r="J74" s="2" t="s">
        <v>12632</v>
      </c>
      <c r="K74" s="2" t="s">
        <v>12634</v>
      </c>
      <c r="L74" s="2" t="s">
        <v>12635</v>
      </c>
      <c r="M74" s="2" t="s">
        <v>15592</v>
      </c>
      <c r="N74" s="2">
        <v>2012.0</v>
      </c>
      <c r="O74" s="2" t="s">
        <v>726</v>
      </c>
      <c r="P74" s="15" t="str">
        <f>HYPERLINK("http://dx.doi.org/10.1073/pnas.1111374109","http://dx.doi.org/10.1073/pnas.1111374109")</f>
        <v>http://dx.doi.org/10.1073/pnas.1111374109</v>
      </c>
      <c r="Q74" s="2" t="s">
        <v>39</v>
      </c>
      <c r="R74" s="2" t="s">
        <v>12202</v>
      </c>
      <c r="S74" s="2" t="s">
        <v>12152</v>
      </c>
      <c r="T74" s="2" t="s">
        <v>728</v>
      </c>
      <c r="V74" s="23" t="s">
        <v>15399</v>
      </c>
      <c r="W74" s="23" t="s">
        <v>15399</v>
      </c>
      <c r="X74" s="23"/>
      <c r="Y74" s="23"/>
      <c r="Z74" s="23"/>
      <c r="AA74" s="23"/>
    </row>
    <row r="75" ht="12.75" customHeight="1">
      <c r="A75" s="2" t="s">
        <v>23</v>
      </c>
      <c r="B75" s="2" t="s">
        <v>754</v>
      </c>
      <c r="C75" s="2" t="s">
        <v>755</v>
      </c>
      <c r="D75" s="2" t="s">
        <v>3263</v>
      </c>
      <c r="E75" s="2" t="s">
        <v>35</v>
      </c>
      <c r="F75" s="2" t="s">
        <v>15593</v>
      </c>
      <c r="G75" s="2" t="s">
        <v>15594</v>
      </c>
      <c r="H75" s="2" t="s">
        <v>756</v>
      </c>
      <c r="I75" s="2" t="s">
        <v>12631</v>
      </c>
      <c r="J75" s="2" t="s">
        <v>12632</v>
      </c>
      <c r="K75" s="2" t="s">
        <v>12634</v>
      </c>
      <c r="L75" s="2" t="s">
        <v>12635</v>
      </c>
      <c r="M75" s="2" t="s">
        <v>15595</v>
      </c>
      <c r="N75" s="2">
        <v>2011.0</v>
      </c>
      <c r="O75" s="2" t="s">
        <v>757</v>
      </c>
      <c r="P75" s="15" t="str">
        <f>HYPERLINK("http://dx.doi.org/10.1073/pnas.1100480108","http://dx.doi.org/10.1073/pnas.1100480108")</f>
        <v>http://dx.doi.org/10.1073/pnas.1100480108</v>
      </c>
      <c r="Q75" s="2" t="s">
        <v>39</v>
      </c>
      <c r="R75" s="2" t="s">
        <v>12202</v>
      </c>
      <c r="S75" s="2" t="s">
        <v>12152</v>
      </c>
      <c r="T75" s="2" t="s">
        <v>759</v>
      </c>
      <c r="V75" s="23" t="s">
        <v>15399</v>
      </c>
      <c r="W75" s="23" t="s">
        <v>15399</v>
      </c>
      <c r="X75" s="23"/>
      <c r="Y75" s="23"/>
      <c r="Z75" s="23"/>
      <c r="AA75" s="23"/>
    </row>
    <row r="76" ht="12.75" customHeight="1">
      <c r="A76" s="2" t="s">
        <v>23</v>
      </c>
      <c r="B76" s="2" t="s">
        <v>840</v>
      </c>
      <c r="C76" s="2" t="s">
        <v>841</v>
      </c>
      <c r="D76" s="2" t="s">
        <v>3263</v>
      </c>
      <c r="E76" s="2" t="s">
        <v>35</v>
      </c>
      <c r="F76" s="2" t="s">
        <v>15596</v>
      </c>
      <c r="G76" s="2" t="s">
        <v>15597</v>
      </c>
      <c r="H76" s="2" t="s">
        <v>842</v>
      </c>
      <c r="I76" s="2" t="s">
        <v>12631</v>
      </c>
      <c r="J76" s="2" t="s">
        <v>12632</v>
      </c>
      <c r="K76" s="2" t="s">
        <v>12634</v>
      </c>
      <c r="L76" s="2" t="s">
        <v>12635</v>
      </c>
      <c r="M76" s="2" t="s">
        <v>15598</v>
      </c>
      <c r="N76" s="2">
        <v>2010.0</v>
      </c>
      <c r="O76" s="2" t="s">
        <v>843</v>
      </c>
      <c r="P76" s="15" t="str">
        <f>HYPERLINK("http://dx.doi.org/10.1073/pnas.0914471107","http://dx.doi.org/10.1073/pnas.0914471107")</f>
        <v>http://dx.doi.org/10.1073/pnas.0914471107</v>
      </c>
      <c r="Q76" s="2" t="s">
        <v>39</v>
      </c>
      <c r="R76" s="2" t="s">
        <v>12202</v>
      </c>
      <c r="S76" s="2" t="s">
        <v>12152</v>
      </c>
      <c r="T76" s="2" t="s">
        <v>845</v>
      </c>
      <c r="V76" s="24" t="s">
        <v>15399</v>
      </c>
      <c r="W76" s="24" t="s">
        <v>15399</v>
      </c>
      <c r="X76" s="24"/>
      <c r="Y76" s="24"/>
      <c r="Z76" s="24"/>
      <c r="AA76" s="24"/>
    </row>
    <row r="77" ht="12.75" customHeight="1">
      <c r="A77" s="2" t="s">
        <v>23</v>
      </c>
      <c r="B77" s="2" t="s">
        <v>817</v>
      </c>
      <c r="C77" s="2" t="s">
        <v>818</v>
      </c>
      <c r="D77" s="2" t="s">
        <v>3263</v>
      </c>
      <c r="E77" s="2" t="s">
        <v>35</v>
      </c>
      <c r="F77" s="2" t="s">
        <v>15599</v>
      </c>
      <c r="G77" s="2" t="s">
        <v>15600</v>
      </c>
      <c r="H77" s="2" t="s">
        <v>819</v>
      </c>
      <c r="I77" s="2" t="s">
        <v>12631</v>
      </c>
      <c r="J77" s="2" t="s">
        <v>12632</v>
      </c>
      <c r="K77" s="2" t="s">
        <v>12634</v>
      </c>
      <c r="L77" s="2" t="s">
        <v>12635</v>
      </c>
      <c r="M77" s="2" t="s">
        <v>15601</v>
      </c>
      <c r="N77" s="2">
        <v>2010.0</v>
      </c>
      <c r="O77" s="2" t="s">
        <v>820</v>
      </c>
      <c r="P77" s="15" t="str">
        <f>HYPERLINK("http://dx.doi.org/10.1073/pnas.0910275107","http://dx.doi.org/10.1073/pnas.0910275107")</f>
        <v>http://dx.doi.org/10.1073/pnas.0910275107</v>
      </c>
      <c r="Q77" s="2" t="s">
        <v>39</v>
      </c>
      <c r="R77" s="2" t="s">
        <v>12202</v>
      </c>
      <c r="S77" s="2" t="s">
        <v>12152</v>
      </c>
      <c r="T77" s="2" t="s">
        <v>822</v>
      </c>
      <c r="V77" s="23" t="s">
        <v>15399</v>
      </c>
      <c r="W77" s="23" t="s">
        <v>15399</v>
      </c>
      <c r="X77" s="23"/>
      <c r="Y77" s="23"/>
      <c r="Z77" s="23"/>
      <c r="AA77" s="23"/>
    </row>
    <row r="78" ht="12.75" customHeight="1">
      <c r="A78" s="2" t="s">
        <v>23</v>
      </c>
      <c r="B78" s="2" t="s">
        <v>1027</v>
      </c>
      <c r="C78" s="2" t="s">
        <v>1028</v>
      </c>
      <c r="D78" s="2" t="s">
        <v>3263</v>
      </c>
      <c r="E78" s="2" t="s">
        <v>35</v>
      </c>
      <c r="F78" s="2" t="s">
        <v>15602</v>
      </c>
      <c r="G78" s="2" t="s">
        <v>15603</v>
      </c>
      <c r="H78" s="2" t="s">
        <v>1029</v>
      </c>
      <c r="I78" s="2" t="s">
        <v>12631</v>
      </c>
      <c r="J78" s="2" t="s">
        <v>12632</v>
      </c>
      <c r="K78" s="2" t="s">
        <v>12634</v>
      </c>
      <c r="L78" s="2" t="s">
        <v>12635</v>
      </c>
      <c r="M78" s="2" t="s">
        <v>15604</v>
      </c>
      <c r="N78" s="2">
        <v>2007.0</v>
      </c>
      <c r="O78" s="2" t="s">
        <v>1030</v>
      </c>
      <c r="P78" s="15" t="str">
        <f>HYPERLINK("http://dx.doi.org/10.1073/pnas.0609568104","http://dx.doi.org/10.1073/pnas.0609568104")</f>
        <v>http://dx.doi.org/10.1073/pnas.0609568104</v>
      </c>
      <c r="Q78" s="2" t="s">
        <v>39</v>
      </c>
      <c r="R78" s="2" t="s">
        <v>12202</v>
      </c>
      <c r="S78" s="2" t="s">
        <v>12152</v>
      </c>
      <c r="T78" s="2" t="s">
        <v>1032</v>
      </c>
      <c r="V78" s="23" t="s">
        <v>15399</v>
      </c>
      <c r="W78" s="23"/>
      <c r="X78" s="23"/>
      <c r="Y78" s="23" t="s">
        <v>15399</v>
      </c>
      <c r="Z78" s="23"/>
      <c r="AA78" s="23"/>
    </row>
    <row r="79" ht="12.75" customHeight="1">
      <c r="A79" s="2" t="s">
        <v>23</v>
      </c>
      <c r="B79" s="2" t="s">
        <v>1248</v>
      </c>
      <c r="C79" s="2" t="s">
        <v>1249</v>
      </c>
      <c r="D79" s="2" t="s">
        <v>3263</v>
      </c>
      <c r="E79" s="2" t="s">
        <v>266</v>
      </c>
      <c r="F79" s="2" t="s">
        <v>15605</v>
      </c>
      <c r="G79" s="2" t="s">
        <v>15606</v>
      </c>
      <c r="H79" s="2" t="s">
        <v>1251</v>
      </c>
      <c r="I79" s="2" t="s">
        <v>12243</v>
      </c>
      <c r="J79" s="2" t="s">
        <v>12244</v>
      </c>
      <c r="K79" s="2" t="s">
        <v>12683</v>
      </c>
      <c r="L79" s="2" t="s">
        <v>12684</v>
      </c>
      <c r="M79" s="2" t="s">
        <v>15607</v>
      </c>
      <c r="N79" s="2">
        <v>1999.0</v>
      </c>
      <c r="O79" s="2" t="s">
        <v>1252</v>
      </c>
      <c r="P79" s="15" t="str">
        <f>HYPERLINK("http://dx.doi.org/10.1046/j.1365-2699.1999.00123.x","http://dx.doi.org/10.1046/j.1365-2699.1999.00123.x")</f>
        <v>http://dx.doi.org/10.1046/j.1365-2699.1999.00123.x</v>
      </c>
      <c r="Q79" s="2" t="s">
        <v>1254</v>
      </c>
      <c r="R79" s="2" t="s">
        <v>12686</v>
      </c>
      <c r="S79" s="2" t="s">
        <v>12152</v>
      </c>
      <c r="T79" s="2" t="s">
        <v>1255</v>
      </c>
      <c r="V79" s="23" t="s">
        <v>15399</v>
      </c>
      <c r="W79" s="23" t="s">
        <v>15399</v>
      </c>
      <c r="X79" s="23"/>
      <c r="Y79" s="23"/>
      <c r="Z79" s="23"/>
      <c r="AA79" s="23"/>
    </row>
    <row r="80" ht="12.75" customHeight="1">
      <c r="A80" s="2" t="s">
        <v>23</v>
      </c>
      <c r="B80" s="2" t="s">
        <v>155</v>
      </c>
      <c r="C80" s="2" t="s">
        <v>156</v>
      </c>
      <c r="D80" s="2" t="s">
        <v>3263</v>
      </c>
      <c r="E80" s="2" t="s">
        <v>35</v>
      </c>
      <c r="F80" s="2" t="s">
        <v>12129</v>
      </c>
      <c r="G80" s="2" t="s">
        <v>15608</v>
      </c>
      <c r="H80" s="2" t="s">
        <v>158</v>
      </c>
      <c r="I80" s="2" t="s">
        <v>12723</v>
      </c>
      <c r="J80" s="2" t="s">
        <v>12724</v>
      </c>
      <c r="K80" s="2" t="s">
        <v>15609</v>
      </c>
      <c r="L80" s="2" t="s">
        <v>15610</v>
      </c>
      <c r="M80" s="2" t="s">
        <v>15611</v>
      </c>
      <c r="N80" s="2">
        <v>2016.0</v>
      </c>
      <c r="O80" s="2" t="s">
        <v>159</v>
      </c>
      <c r="P80" s="15" t="str">
        <f>HYPERLINK("http://dx.doi.org/10.1038/srep38402","http://dx.doi.org/10.1038/srep38402")</f>
        <v>http://dx.doi.org/10.1038/srep38402</v>
      </c>
      <c r="Q80" s="2" t="s">
        <v>39</v>
      </c>
      <c r="R80" s="2" t="s">
        <v>12202</v>
      </c>
      <c r="S80" s="2" t="s">
        <v>12152</v>
      </c>
      <c r="T80" s="2" t="s">
        <v>161</v>
      </c>
      <c r="V80" s="23" t="s">
        <v>15399</v>
      </c>
      <c r="W80" s="23"/>
      <c r="X80" s="23"/>
      <c r="Y80" s="23"/>
      <c r="Z80" s="23"/>
      <c r="AA80" s="23" t="s">
        <v>15399</v>
      </c>
    </row>
    <row r="81" ht="12.75" customHeight="1">
      <c r="A81" s="2" t="s">
        <v>23</v>
      </c>
      <c r="B81" s="2" t="s">
        <v>299</v>
      </c>
      <c r="C81" s="2" t="s">
        <v>300</v>
      </c>
      <c r="D81" s="2" t="s">
        <v>3263</v>
      </c>
      <c r="E81" s="2" t="s">
        <v>35</v>
      </c>
      <c r="F81" s="2" t="s">
        <v>12129</v>
      </c>
      <c r="G81" s="2" t="s">
        <v>15612</v>
      </c>
      <c r="H81" s="2" t="s">
        <v>301</v>
      </c>
      <c r="I81" s="2" t="s">
        <v>12723</v>
      </c>
      <c r="J81" s="2" t="s">
        <v>12724</v>
      </c>
      <c r="K81" s="2" t="s">
        <v>15609</v>
      </c>
      <c r="L81" s="2" t="s">
        <v>15610</v>
      </c>
      <c r="M81" s="2" t="s">
        <v>15613</v>
      </c>
      <c r="N81" s="2">
        <v>2015.0</v>
      </c>
      <c r="O81" s="2" t="s">
        <v>302</v>
      </c>
      <c r="P81" s="15" t="str">
        <f>HYPERLINK("http://dx.doi.org/10.1038/srep14340","http://dx.doi.org/10.1038/srep14340")</f>
        <v>http://dx.doi.org/10.1038/srep14340</v>
      </c>
      <c r="Q81" s="2" t="s">
        <v>39</v>
      </c>
      <c r="R81" s="2" t="s">
        <v>12202</v>
      </c>
      <c r="S81" s="2" t="s">
        <v>12152</v>
      </c>
      <c r="T81" s="2" t="s">
        <v>304</v>
      </c>
      <c r="V81" s="23" t="s">
        <v>15399</v>
      </c>
      <c r="W81" s="23"/>
      <c r="X81" s="23"/>
      <c r="Y81" s="23" t="s">
        <v>15399</v>
      </c>
      <c r="Z81" s="23"/>
      <c r="AA81" s="23"/>
    </row>
    <row r="82" ht="12.75" customHeight="1">
      <c r="A82" s="2" t="s">
        <v>23</v>
      </c>
      <c r="B82" s="2" t="s">
        <v>197</v>
      </c>
      <c r="C82" s="2" t="s">
        <v>198</v>
      </c>
      <c r="D82" s="2" t="s">
        <v>3263</v>
      </c>
      <c r="E82" s="2" t="s">
        <v>200</v>
      </c>
      <c r="F82" s="2" t="s">
        <v>12129</v>
      </c>
      <c r="G82" s="2" t="s">
        <v>15614</v>
      </c>
      <c r="H82" s="2" t="s">
        <v>201</v>
      </c>
      <c r="I82" s="2" t="s">
        <v>15615</v>
      </c>
      <c r="J82" s="2" t="s">
        <v>12170</v>
      </c>
      <c r="K82" s="2" t="s">
        <v>15616</v>
      </c>
      <c r="L82" s="2" t="s">
        <v>15617</v>
      </c>
      <c r="M82" s="2" t="s">
        <v>15618</v>
      </c>
      <c r="N82" s="2">
        <v>2016.0</v>
      </c>
      <c r="O82" s="2" t="s">
        <v>202</v>
      </c>
      <c r="P82" s="15" t="str">
        <f>HYPERLINK("http://dx.doi.org/10.1038/sdata.2016.67","http://dx.doi.org/10.1038/sdata.2016.67")</f>
        <v>http://dx.doi.org/10.1038/sdata.2016.67</v>
      </c>
      <c r="Q82" s="2" t="s">
        <v>39</v>
      </c>
      <c r="R82" s="2" t="s">
        <v>12202</v>
      </c>
      <c r="S82" s="2" t="s">
        <v>12152</v>
      </c>
      <c r="T82" s="2" t="s">
        <v>204</v>
      </c>
      <c r="V82" s="23" t="s">
        <v>15399</v>
      </c>
      <c r="W82" s="23"/>
      <c r="X82" s="23"/>
      <c r="Y82" s="23"/>
      <c r="Z82" s="23"/>
      <c r="AA82" s="23"/>
    </row>
    <row r="83" ht="12.75" customHeight="1">
      <c r="A83" s="2" t="s">
        <v>23</v>
      </c>
      <c r="B83" s="2" t="s">
        <v>75</v>
      </c>
      <c r="C83" s="2" t="s">
        <v>76</v>
      </c>
      <c r="D83" s="2" t="s">
        <v>3263</v>
      </c>
      <c r="E83" s="2" t="s">
        <v>35</v>
      </c>
      <c r="F83" s="2" t="s">
        <v>12129</v>
      </c>
      <c r="G83" s="2" t="s">
        <v>15619</v>
      </c>
      <c r="H83" s="2" t="s">
        <v>78</v>
      </c>
      <c r="I83" s="2" t="s">
        <v>12723</v>
      </c>
      <c r="J83" s="2" t="s">
        <v>12724</v>
      </c>
      <c r="K83" s="2" t="s">
        <v>15620</v>
      </c>
      <c r="L83" s="2" t="s">
        <v>15621</v>
      </c>
      <c r="M83" s="2" t="s">
        <v>12352</v>
      </c>
      <c r="N83" s="2">
        <v>2017.0</v>
      </c>
      <c r="O83" s="2" t="s">
        <v>79</v>
      </c>
      <c r="P83" s="15" t="str">
        <f>HYPERLINK("http://dx.doi.org/10.1038/s41559-017-0186","http://dx.doi.org/10.1038/s41559-017-0186")</f>
        <v>http://dx.doi.org/10.1038/s41559-017-0186</v>
      </c>
      <c r="Q83" s="2" t="s">
        <v>81</v>
      </c>
      <c r="R83" s="2" t="s">
        <v>15622</v>
      </c>
      <c r="S83" s="2" t="s">
        <v>12152</v>
      </c>
      <c r="T83" s="2" t="s">
        <v>82</v>
      </c>
      <c r="V83" s="23" t="s">
        <v>15399</v>
      </c>
      <c r="W83" s="23"/>
      <c r="X83" s="23"/>
      <c r="Y83" s="23"/>
      <c r="Z83" s="23" t="s">
        <v>15399</v>
      </c>
      <c r="AA83" s="23"/>
    </row>
    <row r="84" ht="12.75" customHeight="1">
      <c r="A84" s="2" t="s">
        <v>23</v>
      </c>
      <c r="B84" s="2" t="s">
        <v>885</v>
      </c>
      <c r="C84" s="2" t="s">
        <v>886</v>
      </c>
      <c r="D84" s="2" t="s">
        <v>3263</v>
      </c>
      <c r="E84" s="2" t="s">
        <v>35</v>
      </c>
      <c r="F84" s="2" t="s">
        <v>12129</v>
      </c>
      <c r="G84" s="2" t="s">
        <v>15623</v>
      </c>
      <c r="H84" s="2" t="s">
        <v>887</v>
      </c>
      <c r="I84" s="2" t="s">
        <v>15615</v>
      </c>
      <c r="J84" s="2" t="s">
        <v>13961</v>
      </c>
      <c r="K84" s="2" t="s">
        <v>15624</v>
      </c>
      <c r="L84" s="2" t="s">
        <v>15625</v>
      </c>
      <c r="M84" s="2" t="s">
        <v>12459</v>
      </c>
      <c r="N84" s="2">
        <v>2010.0</v>
      </c>
      <c r="O84" s="2" t="s">
        <v>888</v>
      </c>
      <c r="P84" s="15" t="str">
        <f>HYPERLINK("http://dx.doi.org/10.1038/ngeo838","http://dx.doi.org/10.1038/ngeo838")</f>
        <v>http://dx.doi.org/10.1038/ngeo838</v>
      </c>
      <c r="Q84" s="2" t="s">
        <v>56</v>
      </c>
      <c r="R84" s="2" t="s">
        <v>14257</v>
      </c>
      <c r="S84" s="2" t="s">
        <v>12152</v>
      </c>
      <c r="T84" s="2" t="s">
        <v>890</v>
      </c>
      <c r="V84" s="23" t="s">
        <v>15399</v>
      </c>
      <c r="W84" s="23"/>
      <c r="X84" s="23"/>
      <c r="Y84" s="23" t="s">
        <v>15399</v>
      </c>
      <c r="Z84" s="23"/>
      <c r="AA84" s="23"/>
    </row>
    <row r="85" ht="12.75" customHeight="1">
      <c r="A85" s="2" t="s">
        <v>23</v>
      </c>
      <c r="B85" s="2" t="s">
        <v>907</v>
      </c>
      <c r="C85" s="2" t="s">
        <v>908</v>
      </c>
      <c r="D85" s="2" t="s">
        <v>3263</v>
      </c>
      <c r="E85" s="2" t="s">
        <v>27</v>
      </c>
      <c r="F85" s="2" t="s">
        <v>12129</v>
      </c>
      <c r="G85" s="2" t="s">
        <v>15626</v>
      </c>
      <c r="H85" s="2" t="s">
        <v>909</v>
      </c>
      <c r="I85" s="2" t="s">
        <v>15615</v>
      </c>
      <c r="J85" s="2" t="s">
        <v>13961</v>
      </c>
      <c r="K85" s="2" t="s">
        <v>15624</v>
      </c>
      <c r="L85" s="2" t="s">
        <v>15625</v>
      </c>
      <c r="M85" s="2" t="s">
        <v>13078</v>
      </c>
      <c r="N85" s="2">
        <v>2010.0</v>
      </c>
      <c r="O85" s="2" t="s">
        <v>910</v>
      </c>
      <c r="P85" s="15" t="str">
        <f>HYPERLINK("http://dx.doi.org/10.1038/NGEO779","http://dx.doi.org/10.1038/NGEO779")</f>
        <v>http://dx.doi.org/10.1038/NGEO779</v>
      </c>
      <c r="Q85" s="2" t="s">
        <v>56</v>
      </c>
      <c r="R85" s="2" t="s">
        <v>14257</v>
      </c>
      <c r="S85" s="2" t="s">
        <v>12152</v>
      </c>
      <c r="T85" s="2" t="s">
        <v>912</v>
      </c>
      <c r="V85" s="23" t="s">
        <v>15399</v>
      </c>
      <c r="W85" s="23"/>
      <c r="X85" s="23"/>
      <c r="Y85" s="23"/>
      <c r="Z85" s="23"/>
      <c r="AA85" s="23" t="s">
        <v>15399</v>
      </c>
    </row>
    <row r="86" ht="12.75" customHeight="1">
      <c r="A86" s="2" t="s">
        <v>23</v>
      </c>
      <c r="B86" s="2" t="s">
        <v>761</v>
      </c>
      <c r="C86" s="2" t="s">
        <v>762</v>
      </c>
      <c r="D86" s="2" t="s">
        <v>3263</v>
      </c>
      <c r="E86" s="2" t="s">
        <v>35</v>
      </c>
      <c r="F86" s="2" t="s">
        <v>12129</v>
      </c>
      <c r="G86" s="2" t="s">
        <v>15627</v>
      </c>
      <c r="H86" s="2" t="s">
        <v>764</v>
      </c>
      <c r="I86" s="2" t="s">
        <v>15615</v>
      </c>
      <c r="J86" s="2" t="s">
        <v>13961</v>
      </c>
      <c r="K86" s="2" t="s">
        <v>15624</v>
      </c>
      <c r="L86" s="2" t="s">
        <v>15625</v>
      </c>
      <c r="M86" s="2" t="s">
        <v>12660</v>
      </c>
      <c r="N86" s="2">
        <v>2011.0</v>
      </c>
      <c r="O86" s="2" t="s">
        <v>765</v>
      </c>
      <c r="P86" s="15" t="str">
        <f>HYPERLINK("http://dx.doi.org/10.1038/NGEO1057","http://dx.doi.org/10.1038/NGEO1057")</f>
        <v>http://dx.doi.org/10.1038/NGEO1057</v>
      </c>
      <c r="Q86" s="2" t="s">
        <v>56</v>
      </c>
      <c r="R86" s="2" t="s">
        <v>14257</v>
      </c>
      <c r="S86" s="2" t="s">
        <v>12152</v>
      </c>
      <c r="T86" s="2" t="s">
        <v>767</v>
      </c>
      <c r="V86" s="23" t="s">
        <v>15399</v>
      </c>
      <c r="W86" s="23"/>
      <c r="X86" s="23"/>
      <c r="Y86" s="23"/>
      <c r="Z86" s="23"/>
      <c r="AA86" s="23" t="s">
        <v>15399</v>
      </c>
    </row>
    <row r="87" ht="12.75" customHeight="1">
      <c r="A87" s="2" t="s">
        <v>23</v>
      </c>
      <c r="B87" s="2" t="s">
        <v>330</v>
      </c>
      <c r="C87" s="2" t="s">
        <v>331</v>
      </c>
      <c r="D87" s="2" t="s">
        <v>3263</v>
      </c>
      <c r="E87" s="2" t="s">
        <v>35</v>
      </c>
      <c r="F87" s="2" t="s">
        <v>12129</v>
      </c>
      <c r="G87" s="2" t="s">
        <v>15628</v>
      </c>
      <c r="H87" s="2" t="s">
        <v>332</v>
      </c>
      <c r="I87" s="2" t="s">
        <v>15615</v>
      </c>
      <c r="J87" s="2" t="s">
        <v>12170</v>
      </c>
      <c r="K87" s="2" t="s">
        <v>12746</v>
      </c>
      <c r="L87" s="2" t="s">
        <v>12747</v>
      </c>
      <c r="M87" s="2" t="s">
        <v>12352</v>
      </c>
      <c r="N87" s="2">
        <v>2015.0</v>
      </c>
      <c r="O87" s="2" t="s">
        <v>333</v>
      </c>
      <c r="P87" s="15" t="str">
        <f>HYPERLINK("http://dx.doi.org/10.1038/ncomms8615","http://dx.doi.org/10.1038/ncomms8615")</f>
        <v>http://dx.doi.org/10.1038/ncomms8615</v>
      </c>
      <c r="Q87" s="2" t="s">
        <v>39</v>
      </c>
      <c r="R87" s="2" t="s">
        <v>12202</v>
      </c>
      <c r="S87" s="2" t="s">
        <v>12152</v>
      </c>
      <c r="T87" s="2" t="s">
        <v>335</v>
      </c>
      <c r="V87" s="23" t="s">
        <v>15399</v>
      </c>
      <c r="W87" s="23"/>
      <c r="X87" s="23"/>
      <c r="Y87" s="23"/>
      <c r="Z87" s="23"/>
      <c r="AA87" s="23"/>
    </row>
    <row r="88" ht="12.75" customHeight="1">
      <c r="A88" s="2" t="s">
        <v>23</v>
      </c>
      <c r="B88" s="2" t="s">
        <v>99</v>
      </c>
      <c r="C88" s="2" t="s">
        <v>100</v>
      </c>
      <c r="D88" s="2" t="s">
        <v>3263</v>
      </c>
      <c r="E88" s="2" t="s">
        <v>35</v>
      </c>
      <c r="F88" s="2" t="s">
        <v>12129</v>
      </c>
      <c r="G88" s="2" t="s">
        <v>15629</v>
      </c>
      <c r="H88" s="2" t="s">
        <v>102</v>
      </c>
      <c r="I88" s="2" t="s">
        <v>15615</v>
      </c>
      <c r="J88" s="2" t="s">
        <v>12170</v>
      </c>
      <c r="K88" s="2" t="s">
        <v>12746</v>
      </c>
      <c r="L88" s="2" t="s">
        <v>12747</v>
      </c>
      <c r="M88" s="2" t="s">
        <v>14470</v>
      </c>
      <c r="N88" s="2">
        <v>2017.0</v>
      </c>
      <c r="O88" s="2" t="s">
        <v>103</v>
      </c>
      <c r="P88" s="15" t="str">
        <f>HYPERLINK("http://dx.doi.org/10.1038/ncomms15611","http://dx.doi.org/10.1038/ncomms15611")</f>
        <v>http://dx.doi.org/10.1038/ncomms15611</v>
      </c>
      <c r="Q88" s="2" t="s">
        <v>39</v>
      </c>
      <c r="R88" s="2" t="s">
        <v>12202</v>
      </c>
      <c r="S88" s="2" t="s">
        <v>12152</v>
      </c>
      <c r="T88" s="2" t="s">
        <v>105</v>
      </c>
      <c r="V88" s="23" t="s">
        <v>15399</v>
      </c>
      <c r="W88" s="23"/>
      <c r="X88" s="23"/>
      <c r="Y88" s="23" t="s">
        <v>15399</v>
      </c>
      <c r="Z88" s="23"/>
      <c r="AA88" s="23"/>
    </row>
    <row r="89" ht="12.75" customHeight="1">
      <c r="A89" s="2" t="s">
        <v>23</v>
      </c>
      <c r="B89" s="2" t="s">
        <v>114</v>
      </c>
      <c r="C89" s="2" t="s">
        <v>115</v>
      </c>
      <c r="D89" s="2" t="s">
        <v>3263</v>
      </c>
      <c r="E89" s="2" t="s">
        <v>35</v>
      </c>
      <c r="F89" s="2" t="s">
        <v>12129</v>
      </c>
      <c r="G89" s="2" t="s">
        <v>15630</v>
      </c>
      <c r="H89" s="2" t="s">
        <v>116</v>
      </c>
      <c r="I89" s="2" t="s">
        <v>12723</v>
      </c>
      <c r="J89" s="2" t="s">
        <v>12724</v>
      </c>
      <c r="K89" s="2" t="s">
        <v>12746</v>
      </c>
      <c r="L89" s="2" t="s">
        <v>12747</v>
      </c>
      <c r="M89" s="2" t="s">
        <v>13918</v>
      </c>
      <c r="N89" s="2">
        <v>2017.0</v>
      </c>
      <c r="O89" s="2" t="s">
        <v>117</v>
      </c>
      <c r="P89" s="15" t="str">
        <f>HYPERLINK("http://dx.doi.org/10.1038/ncomms14435","http://dx.doi.org/10.1038/ncomms14435")</f>
        <v>http://dx.doi.org/10.1038/ncomms14435</v>
      </c>
      <c r="Q89" s="2" t="s">
        <v>39</v>
      </c>
      <c r="R89" s="2" t="s">
        <v>12202</v>
      </c>
      <c r="S89" s="2" t="s">
        <v>12152</v>
      </c>
      <c r="T89" s="2" t="s">
        <v>119</v>
      </c>
      <c r="V89" s="23" t="s">
        <v>15399</v>
      </c>
      <c r="W89" s="23"/>
      <c r="X89" s="23"/>
      <c r="Y89" s="23"/>
      <c r="Z89" s="23" t="s">
        <v>15399</v>
      </c>
      <c r="AA89" s="23"/>
    </row>
    <row r="90" ht="12.75" customHeight="1">
      <c r="A90" s="2" t="s">
        <v>23</v>
      </c>
      <c r="B90" s="2" t="s">
        <v>206</v>
      </c>
      <c r="C90" s="2" t="s">
        <v>207</v>
      </c>
      <c r="D90" s="2" t="s">
        <v>3263</v>
      </c>
      <c r="E90" s="2" t="s">
        <v>35</v>
      </c>
      <c r="F90" s="2" t="s">
        <v>12129</v>
      </c>
      <c r="G90" s="2" t="s">
        <v>15631</v>
      </c>
      <c r="H90" s="2" t="s">
        <v>208</v>
      </c>
      <c r="I90" s="2" t="s">
        <v>15615</v>
      </c>
      <c r="J90" s="2" t="s">
        <v>12170</v>
      </c>
      <c r="K90" s="2" t="s">
        <v>12746</v>
      </c>
      <c r="L90" s="2" t="s">
        <v>12747</v>
      </c>
      <c r="M90" s="2" t="s">
        <v>12301</v>
      </c>
      <c r="N90" s="2">
        <v>2016.0</v>
      </c>
      <c r="O90" s="2" t="s">
        <v>209</v>
      </c>
      <c r="P90" s="15" t="str">
        <f>HYPERLINK("http://dx.doi.org/10.1038/ncomms12485","http://dx.doi.org/10.1038/ncomms12485")</f>
        <v>http://dx.doi.org/10.1038/ncomms12485</v>
      </c>
      <c r="Q90" s="2" t="s">
        <v>39</v>
      </c>
      <c r="R90" s="2" t="s">
        <v>12202</v>
      </c>
      <c r="S90" s="2" t="s">
        <v>12152</v>
      </c>
      <c r="T90" s="2" t="s">
        <v>211</v>
      </c>
      <c r="V90" s="23" t="s">
        <v>15399</v>
      </c>
      <c r="W90" s="23"/>
      <c r="X90" s="23"/>
      <c r="Y90" s="23"/>
      <c r="Z90" s="23" t="s">
        <v>15399</v>
      </c>
      <c r="AA90" s="23"/>
    </row>
    <row r="91" ht="12.75" customHeight="1">
      <c r="A91" s="2" t="s">
        <v>23</v>
      </c>
      <c r="B91" s="2" t="s">
        <v>414</v>
      </c>
      <c r="C91" s="2" t="s">
        <v>415</v>
      </c>
      <c r="D91" s="2" t="s">
        <v>3263</v>
      </c>
      <c r="E91" s="2" t="s">
        <v>35</v>
      </c>
      <c r="F91" s="2" t="s">
        <v>12129</v>
      </c>
      <c r="G91" s="2" t="s">
        <v>15632</v>
      </c>
      <c r="H91" s="2" t="s">
        <v>417</v>
      </c>
      <c r="I91" s="2" t="s">
        <v>15615</v>
      </c>
      <c r="J91" s="2" t="s">
        <v>12170</v>
      </c>
      <c r="K91" s="2" t="s">
        <v>15633</v>
      </c>
      <c r="L91" s="2" t="s">
        <v>15634</v>
      </c>
      <c r="M91" s="2" t="s">
        <v>12660</v>
      </c>
      <c r="N91" s="2">
        <v>2015.0</v>
      </c>
      <c r="O91" s="2" t="s">
        <v>418</v>
      </c>
      <c r="P91" s="15" t="str">
        <f>HYPERLINK("http://dx.doi.org/10.1038/NCLIMATE2492","http://dx.doi.org/10.1038/NCLIMATE2492")</f>
        <v>http://dx.doi.org/10.1038/NCLIMATE2492</v>
      </c>
      <c r="Q91" s="2" t="s">
        <v>420</v>
      </c>
      <c r="R91" s="2" t="s">
        <v>12397</v>
      </c>
      <c r="S91" s="2" t="s">
        <v>12152</v>
      </c>
      <c r="T91" s="2" t="s">
        <v>421</v>
      </c>
      <c r="V91" s="23" t="s">
        <v>15399</v>
      </c>
      <c r="W91" s="23"/>
      <c r="X91" s="23"/>
      <c r="Y91" s="23"/>
      <c r="Z91" s="23"/>
      <c r="AA91" s="23" t="s">
        <v>15399</v>
      </c>
    </row>
    <row r="92" ht="12.75" customHeight="1">
      <c r="A92" s="2" t="s">
        <v>23</v>
      </c>
      <c r="B92" s="2" t="s">
        <v>557</v>
      </c>
      <c r="C92" s="2" t="s">
        <v>558</v>
      </c>
      <c r="D92" s="2" t="s">
        <v>3263</v>
      </c>
      <c r="E92" s="2" t="s">
        <v>35</v>
      </c>
      <c r="F92" s="2" t="s">
        <v>12129</v>
      </c>
      <c r="G92" s="2" t="s">
        <v>15635</v>
      </c>
      <c r="H92" s="2" t="s">
        <v>559</v>
      </c>
      <c r="I92" s="2" t="s">
        <v>15615</v>
      </c>
      <c r="J92" s="2" t="s">
        <v>12170</v>
      </c>
      <c r="K92" s="2" t="s">
        <v>15633</v>
      </c>
      <c r="L92" s="2" t="s">
        <v>15634</v>
      </c>
      <c r="M92" s="2" t="s">
        <v>12787</v>
      </c>
      <c r="N92" s="2">
        <v>2013.0</v>
      </c>
      <c r="O92" s="2" t="s">
        <v>560</v>
      </c>
      <c r="P92" s="15" t="str">
        <f>HYPERLINK("http://dx.doi.org/10.1038/NCLIMATE1981","http://dx.doi.org/10.1038/NCLIMATE1981")</f>
        <v>http://dx.doi.org/10.1038/NCLIMATE1981</v>
      </c>
      <c r="Q92" s="2" t="s">
        <v>420</v>
      </c>
      <c r="R92" s="2" t="s">
        <v>12397</v>
      </c>
      <c r="S92" s="2" t="s">
        <v>12152</v>
      </c>
      <c r="T92" s="2" t="s">
        <v>562</v>
      </c>
      <c r="V92" s="23" t="s">
        <v>15399</v>
      </c>
      <c r="W92" s="23"/>
      <c r="X92" s="23"/>
      <c r="Y92" s="23"/>
      <c r="Z92" s="23"/>
      <c r="AA92" s="23" t="s">
        <v>15399</v>
      </c>
    </row>
    <row r="93" ht="12.75" customHeight="1">
      <c r="A93" s="2" t="s">
        <v>23</v>
      </c>
      <c r="B93" s="2" t="s">
        <v>651</v>
      </c>
      <c r="C93" s="2" t="s">
        <v>652</v>
      </c>
      <c r="D93" s="2" t="s">
        <v>3263</v>
      </c>
      <c r="E93" s="2" t="s">
        <v>35</v>
      </c>
      <c r="F93" s="2" t="s">
        <v>12129</v>
      </c>
      <c r="G93" s="2" t="s">
        <v>15636</v>
      </c>
      <c r="H93" s="2" t="s">
        <v>653</v>
      </c>
      <c r="I93" s="2" t="s">
        <v>15615</v>
      </c>
      <c r="J93" s="2" t="s">
        <v>12170</v>
      </c>
      <c r="K93" s="2" t="s">
        <v>15633</v>
      </c>
      <c r="L93" s="2" t="s">
        <v>15634</v>
      </c>
      <c r="M93" s="2" t="s">
        <v>12764</v>
      </c>
      <c r="N93" s="2">
        <v>2012.0</v>
      </c>
      <c r="O93" s="2" t="s">
        <v>654</v>
      </c>
      <c r="P93" s="15" t="str">
        <f>HYPERLINK("http://dx.doi.org/10.1038/NCLIMATE1597","http://dx.doi.org/10.1038/NCLIMATE1597")</f>
        <v>http://dx.doi.org/10.1038/NCLIMATE1597</v>
      </c>
      <c r="Q93" s="2" t="s">
        <v>420</v>
      </c>
      <c r="R93" s="2" t="s">
        <v>12397</v>
      </c>
      <c r="S93" s="2" t="s">
        <v>12152</v>
      </c>
      <c r="T93" s="2" t="s">
        <v>656</v>
      </c>
      <c r="V93" s="23" t="s">
        <v>15399</v>
      </c>
      <c r="W93" s="23"/>
      <c r="X93" s="23"/>
      <c r="Y93" s="23"/>
      <c r="Z93" s="23"/>
      <c r="AA93" s="23" t="s">
        <v>15399</v>
      </c>
    </row>
    <row r="94" ht="12.75" customHeight="1">
      <c r="A94" s="2" t="s">
        <v>23</v>
      </c>
      <c r="B94" s="2" t="s">
        <v>273</v>
      </c>
      <c r="C94" s="2" t="s">
        <v>274</v>
      </c>
      <c r="D94" s="2" t="s">
        <v>3263</v>
      </c>
      <c r="E94" s="2" t="s">
        <v>35</v>
      </c>
      <c r="F94" s="2" t="s">
        <v>12129</v>
      </c>
      <c r="G94" s="2" t="s">
        <v>15637</v>
      </c>
      <c r="H94" s="2" t="s">
        <v>276</v>
      </c>
      <c r="I94" s="2" t="s">
        <v>15615</v>
      </c>
      <c r="J94" s="2" t="s">
        <v>12170</v>
      </c>
      <c r="K94" s="2" t="s">
        <v>275</v>
      </c>
      <c r="L94" s="2" t="s">
        <v>1380</v>
      </c>
      <c r="M94" s="2" t="s">
        <v>15638</v>
      </c>
      <c r="N94" s="2">
        <v>2015.0</v>
      </c>
      <c r="O94" s="2" t="s">
        <v>277</v>
      </c>
      <c r="P94" s="15" t="str">
        <f>HYPERLINK("http://dx.doi.org/10.1038/nature15725","http://dx.doi.org/10.1038/nature15725")</f>
        <v>http://dx.doi.org/10.1038/nature15725</v>
      </c>
      <c r="Q94" s="2" t="s">
        <v>39</v>
      </c>
      <c r="R94" s="2" t="s">
        <v>12202</v>
      </c>
      <c r="S94" s="2" t="s">
        <v>12152</v>
      </c>
      <c r="T94" s="2" t="s">
        <v>279</v>
      </c>
      <c r="V94" s="23" t="s">
        <v>15399</v>
      </c>
      <c r="W94" s="23"/>
      <c r="X94" s="23"/>
      <c r="Y94" s="23"/>
      <c r="Z94" s="23"/>
      <c r="AA94" s="23" t="s">
        <v>15399</v>
      </c>
    </row>
    <row r="95" ht="12.75" customHeight="1">
      <c r="A95" s="2" t="s">
        <v>23</v>
      </c>
      <c r="B95" s="2" t="s">
        <v>306</v>
      </c>
      <c r="C95" s="2" t="s">
        <v>307</v>
      </c>
      <c r="D95" s="2" t="s">
        <v>3263</v>
      </c>
      <c r="E95" s="2" t="s">
        <v>35</v>
      </c>
      <c r="F95" s="2" t="s">
        <v>12129</v>
      </c>
      <c r="G95" s="2" t="s">
        <v>15639</v>
      </c>
      <c r="H95" s="2" t="s">
        <v>308</v>
      </c>
      <c r="I95" s="2" t="s">
        <v>12723</v>
      </c>
      <c r="J95" s="2" t="s">
        <v>12724</v>
      </c>
      <c r="K95" s="2" t="s">
        <v>275</v>
      </c>
      <c r="L95" s="2" t="s">
        <v>1380</v>
      </c>
      <c r="M95" s="2" t="s">
        <v>15640</v>
      </c>
      <c r="N95" s="2">
        <v>2015.0</v>
      </c>
      <c r="O95" s="2" t="s">
        <v>309</v>
      </c>
      <c r="P95" s="15" t="str">
        <f>HYPERLINK("http://dx.doi.org/10.1038/nature15371","http://dx.doi.org/10.1038/nature15371")</f>
        <v>http://dx.doi.org/10.1038/nature15371</v>
      </c>
      <c r="Q95" s="2" t="s">
        <v>39</v>
      </c>
      <c r="R95" s="2" t="s">
        <v>12202</v>
      </c>
      <c r="S95" s="2" t="s">
        <v>12152</v>
      </c>
      <c r="T95" s="2" t="s">
        <v>311</v>
      </c>
      <c r="V95" s="23" t="s">
        <v>15399</v>
      </c>
      <c r="W95" s="23"/>
      <c r="X95" s="23"/>
      <c r="Y95" s="23" t="s">
        <v>15399</v>
      </c>
      <c r="Z95" s="23"/>
      <c r="AA95" s="23"/>
    </row>
    <row r="96" ht="12.75" customHeight="1">
      <c r="A96" s="2" t="s">
        <v>23</v>
      </c>
      <c r="B96" s="2" t="s">
        <v>937</v>
      </c>
      <c r="C96" s="2" t="s">
        <v>938</v>
      </c>
      <c r="D96" s="2" t="s">
        <v>3263</v>
      </c>
      <c r="E96" s="2" t="s">
        <v>35</v>
      </c>
      <c r="F96" s="2" t="s">
        <v>12129</v>
      </c>
      <c r="G96" s="2" t="s">
        <v>15641</v>
      </c>
      <c r="H96" s="2" t="s">
        <v>939</v>
      </c>
      <c r="I96" s="2" t="s">
        <v>15615</v>
      </c>
      <c r="J96" s="2" t="s">
        <v>12170</v>
      </c>
      <c r="K96" s="2" t="s">
        <v>275</v>
      </c>
      <c r="L96" s="2" t="s">
        <v>1380</v>
      </c>
      <c r="M96" s="2" t="s">
        <v>15642</v>
      </c>
      <c r="N96" s="2">
        <v>2009.0</v>
      </c>
      <c r="O96" s="2" t="s">
        <v>940</v>
      </c>
      <c r="P96" s="15" t="str">
        <f>HYPERLINK("http://dx.doi.org/10.1038/nature08649","http://dx.doi.org/10.1038/nature08649")</f>
        <v>http://dx.doi.org/10.1038/nature08649</v>
      </c>
      <c r="Q96" s="2" t="s">
        <v>39</v>
      </c>
      <c r="R96" s="2" t="s">
        <v>12202</v>
      </c>
      <c r="S96" s="2" t="s">
        <v>12152</v>
      </c>
      <c r="T96" s="2" t="s">
        <v>942</v>
      </c>
      <c r="V96" s="23" t="s">
        <v>15399</v>
      </c>
      <c r="W96" s="23"/>
      <c r="X96" s="23"/>
      <c r="Y96" s="23"/>
      <c r="Z96" s="23"/>
      <c r="AA96" s="23" t="s">
        <v>15399</v>
      </c>
    </row>
    <row r="97" ht="12.75" customHeight="1">
      <c r="A97" s="2" t="s">
        <v>23</v>
      </c>
      <c r="B97" s="2" t="s">
        <v>1005</v>
      </c>
      <c r="C97" s="2" t="s">
        <v>1006</v>
      </c>
      <c r="D97" s="2" t="s">
        <v>3263</v>
      </c>
      <c r="E97" s="2" t="s">
        <v>35</v>
      </c>
      <c r="F97" s="2" t="s">
        <v>12129</v>
      </c>
      <c r="G97" s="2" t="s">
        <v>15643</v>
      </c>
      <c r="H97" s="2" t="s">
        <v>1007</v>
      </c>
      <c r="I97" s="2" t="s">
        <v>15615</v>
      </c>
      <c r="J97" s="2" t="s">
        <v>12170</v>
      </c>
      <c r="K97" s="2" t="s">
        <v>275</v>
      </c>
      <c r="L97" s="2" t="s">
        <v>1380</v>
      </c>
      <c r="M97" s="2" t="s">
        <v>15644</v>
      </c>
      <c r="N97" s="2">
        <v>2008.0</v>
      </c>
      <c r="O97" s="2" t="s">
        <v>1008</v>
      </c>
      <c r="P97" s="15" t="str">
        <f>HYPERLINK("http://dx.doi.org/10.1038/nature06949","http://dx.doi.org/10.1038/nature06949")</f>
        <v>http://dx.doi.org/10.1038/nature06949</v>
      </c>
      <c r="Q97" s="2" t="s">
        <v>39</v>
      </c>
      <c r="R97" s="2" t="s">
        <v>12202</v>
      </c>
      <c r="S97" s="2" t="s">
        <v>12152</v>
      </c>
      <c r="T97" s="2" t="s">
        <v>1010</v>
      </c>
      <c r="V97" s="23" t="s">
        <v>15399</v>
      </c>
      <c r="W97" s="23"/>
      <c r="X97" s="23"/>
      <c r="Y97" s="23"/>
      <c r="Z97" s="23"/>
      <c r="AA97" s="23" t="s">
        <v>15399</v>
      </c>
    </row>
    <row r="98" ht="12.75" customHeight="1">
      <c r="A98" s="2" t="s">
        <v>23</v>
      </c>
      <c r="B98" s="2" t="s">
        <v>1170</v>
      </c>
      <c r="C98" s="2" t="s">
        <v>1171</v>
      </c>
      <c r="D98" s="2" t="s">
        <v>3263</v>
      </c>
      <c r="E98" s="2" t="s">
        <v>35</v>
      </c>
      <c r="F98" s="2" t="s">
        <v>12129</v>
      </c>
      <c r="G98" s="2" t="s">
        <v>15645</v>
      </c>
      <c r="H98" s="2" t="s">
        <v>1172</v>
      </c>
      <c r="I98" s="2" t="s">
        <v>12723</v>
      </c>
      <c r="J98" s="2" t="s">
        <v>12724</v>
      </c>
      <c r="K98" s="2" t="s">
        <v>275</v>
      </c>
      <c r="L98" s="2" t="s">
        <v>1380</v>
      </c>
      <c r="M98" s="2" t="s">
        <v>15646</v>
      </c>
      <c r="N98" s="2">
        <v>2003.0</v>
      </c>
      <c r="O98" s="2" t="s">
        <v>1173</v>
      </c>
      <c r="P98" s="15" t="str">
        <f>HYPERLINK("http://dx.doi.org/10.1038/nature01359","http://dx.doi.org/10.1038/nature01359")</f>
        <v>http://dx.doi.org/10.1038/nature01359</v>
      </c>
      <c r="Q98" s="2" t="s">
        <v>39</v>
      </c>
      <c r="R98" s="2" t="s">
        <v>12202</v>
      </c>
      <c r="S98" s="2" t="s">
        <v>12152</v>
      </c>
      <c r="T98" s="2" t="s">
        <v>1175</v>
      </c>
      <c r="V98" s="23" t="s">
        <v>15399</v>
      </c>
      <c r="W98" s="23" t="s">
        <v>15399</v>
      </c>
      <c r="X98" s="23"/>
      <c r="Y98" s="23"/>
      <c r="Z98" s="23"/>
      <c r="AA98" s="23"/>
    </row>
    <row r="99" ht="12.75" customHeight="1">
      <c r="A99" s="2" t="s">
        <v>23</v>
      </c>
      <c r="B99" s="2" t="s">
        <v>1177</v>
      </c>
      <c r="C99" s="2" t="s">
        <v>1178</v>
      </c>
      <c r="D99" s="2" t="s">
        <v>3263</v>
      </c>
      <c r="E99" s="2" t="s">
        <v>27</v>
      </c>
      <c r="F99" s="2" t="s">
        <v>12129</v>
      </c>
      <c r="G99" s="2" t="s">
        <v>15647</v>
      </c>
      <c r="H99" s="2" t="s">
        <v>1179</v>
      </c>
      <c r="I99" s="2" t="s">
        <v>12723</v>
      </c>
      <c r="J99" s="2" t="s">
        <v>12724</v>
      </c>
      <c r="K99" s="2" t="s">
        <v>275</v>
      </c>
      <c r="L99" s="2" t="s">
        <v>1380</v>
      </c>
      <c r="M99" s="2" t="s">
        <v>15648</v>
      </c>
      <c r="N99" s="2">
        <v>2002.0</v>
      </c>
      <c r="O99" s="2" t="s">
        <v>1180</v>
      </c>
      <c r="P99" s="15" t="str">
        <f>HYPERLINK("http://dx.doi.org/10.1038/nature01017","http://dx.doi.org/10.1038/nature01017")</f>
        <v>http://dx.doi.org/10.1038/nature01017</v>
      </c>
      <c r="Q99" s="2" t="s">
        <v>39</v>
      </c>
      <c r="R99" s="2" t="s">
        <v>12202</v>
      </c>
      <c r="S99" s="2" t="s">
        <v>12152</v>
      </c>
      <c r="T99" s="2" t="s">
        <v>1182</v>
      </c>
      <c r="V99" s="23" t="s">
        <v>15399</v>
      </c>
      <c r="W99" s="23"/>
      <c r="X99" s="23"/>
      <c r="Y99" s="23"/>
      <c r="Z99" s="23"/>
      <c r="AA99" s="23"/>
    </row>
    <row r="100" ht="12.75" customHeight="1">
      <c r="A100" s="2" t="s">
        <v>23</v>
      </c>
      <c r="B100" s="2" t="s">
        <v>1241</v>
      </c>
      <c r="C100" s="2" t="s">
        <v>1242</v>
      </c>
      <c r="D100" s="2" t="s">
        <v>3263</v>
      </c>
      <c r="E100" s="2" t="s">
        <v>35</v>
      </c>
      <c r="F100" s="2" t="s">
        <v>12129</v>
      </c>
      <c r="G100" s="2" t="s">
        <v>15649</v>
      </c>
      <c r="H100" s="2" t="s">
        <v>1243</v>
      </c>
      <c r="I100" s="2" t="s">
        <v>15615</v>
      </c>
      <c r="J100" s="2" t="s">
        <v>12170</v>
      </c>
      <c r="K100" s="2" t="s">
        <v>275</v>
      </c>
      <c r="L100" s="2" t="s">
        <v>1380</v>
      </c>
      <c r="M100" s="2" t="s">
        <v>15650</v>
      </c>
      <c r="N100" s="2">
        <v>1999.0</v>
      </c>
      <c r="O100" s="2" t="s">
        <v>1244</v>
      </c>
      <c r="P100" s="15" t="str">
        <f>HYPERLINK("http://dx.doi.org/10.1038/44114","http://dx.doi.org/10.1038/44114")</f>
        <v>http://dx.doi.org/10.1038/44114</v>
      </c>
      <c r="Q100" s="2" t="s">
        <v>39</v>
      </c>
      <c r="R100" s="2" t="s">
        <v>12202</v>
      </c>
      <c r="S100" s="2" t="s">
        <v>12152</v>
      </c>
      <c r="T100" s="2" t="s">
        <v>1246</v>
      </c>
      <c r="V100" s="23" t="s">
        <v>15399</v>
      </c>
      <c r="W100" s="23"/>
      <c r="X100" s="23"/>
      <c r="Y100" s="23" t="s">
        <v>15399</v>
      </c>
      <c r="Z100" s="23"/>
      <c r="AA100" s="23"/>
    </row>
    <row r="101" ht="12.75" customHeight="1">
      <c r="A101" s="2" t="s">
        <v>23</v>
      </c>
      <c r="B101" s="2" t="s">
        <v>1199</v>
      </c>
      <c r="C101" s="2" t="s">
        <v>1200</v>
      </c>
      <c r="D101" s="2" t="s">
        <v>3263</v>
      </c>
      <c r="E101" s="2" t="s">
        <v>35</v>
      </c>
      <c r="F101" s="2" t="s">
        <v>12129</v>
      </c>
      <c r="G101" s="2" t="s">
        <v>15651</v>
      </c>
      <c r="H101" s="2" t="s">
        <v>12129</v>
      </c>
      <c r="I101" s="2" t="s">
        <v>12723</v>
      </c>
      <c r="J101" s="2" t="s">
        <v>12724</v>
      </c>
      <c r="K101" s="2" t="s">
        <v>275</v>
      </c>
      <c r="L101" s="2" t="s">
        <v>1380</v>
      </c>
      <c r="M101" s="2" t="s">
        <v>15652</v>
      </c>
      <c r="N101" s="2">
        <v>2002.0</v>
      </c>
      <c r="O101" s="2" t="s">
        <v>1201</v>
      </c>
      <c r="P101" s="15" t="str">
        <f>HYPERLINK("http://dx.doi.org/10.1038/416808a","http://dx.doi.org/10.1038/416808a")</f>
        <v>http://dx.doi.org/10.1038/416808a</v>
      </c>
      <c r="Q101" s="2" t="s">
        <v>39</v>
      </c>
      <c r="R101" s="2" t="s">
        <v>12202</v>
      </c>
      <c r="S101" s="2" t="s">
        <v>12152</v>
      </c>
      <c r="T101" s="2" t="s">
        <v>1203</v>
      </c>
      <c r="V101" s="23" t="s">
        <v>15399</v>
      </c>
      <c r="W101" s="23"/>
      <c r="X101" s="23"/>
      <c r="Y101" s="23" t="s">
        <v>15399</v>
      </c>
      <c r="Z101" s="23"/>
      <c r="AA101" s="23"/>
    </row>
    <row r="102" ht="12.75" customHeight="1">
      <c r="A102" s="2" t="s">
        <v>23</v>
      </c>
      <c r="B102" s="2" t="s">
        <v>1154</v>
      </c>
      <c r="C102" s="2" t="s">
        <v>1155</v>
      </c>
      <c r="D102" s="2" t="s">
        <v>3263</v>
      </c>
      <c r="E102" s="2" t="s">
        <v>35</v>
      </c>
      <c r="F102" s="2" t="s">
        <v>15653</v>
      </c>
      <c r="G102" s="2" t="s">
        <v>15654</v>
      </c>
      <c r="H102" s="2" t="s">
        <v>1157</v>
      </c>
      <c r="I102" s="2" t="s">
        <v>13181</v>
      </c>
      <c r="J102" s="2" t="s">
        <v>13961</v>
      </c>
      <c r="K102" s="2" t="s">
        <v>15655</v>
      </c>
      <c r="L102" s="2" t="s">
        <v>15656</v>
      </c>
      <c r="M102" s="2" t="s">
        <v>13127</v>
      </c>
      <c r="N102" s="2">
        <v>2004.0</v>
      </c>
      <c r="O102" s="2" t="s">
        <v>1158</v>
      </c>
      <c r="P102" s="15" t="str">
        <f>HYPERLINK("http://dx.doi.org/10.1023/B:NHAZ.0000020259.58716.0d","http://dx.doi.org/10.1023/B:NHAZ.0000020259.58716.0d")</f>
        <v>http://dx.doi.org/10.1023/B:NHAZ.0000020259.58716.0d</v>
      </c>
      <c r="Q102" s="2" t="s">
        <v>1047</v>
      </c>
      <c r="R102" s="2" t="s">
        <v>15657</v>
      </c>
      <c r="S102" s="2" t="s">
        <v>12152</v>
      </c>
      <c r="T102" s="2" t="s">
        <v>1160</v>
      </c>
      <c r="V102" s="23" t="s">
        <v>15399</v>
      </c>
      <c r="W102" s="23"/>
      <c r="X102" s="23"/>
      <c r="Y102" s="23"/>
      <c r="Z102" s="23"/>
      <c r="AA102" s="23" t="s">
        <v>15399</v>
      </c>
    </row>
    <row r="103" ht="12.75" customHeight="1">
      <c r="A103" s="2" t="s">
        <v>23</v>
      </c>
      <c r="B103" s="2" t="s">
        <v>1162</v>
      </c>
      <c r="C103" s="2" t="s">
        <v>1163</v>
      </c>
      <c r="D103" s="2" t="s">
        <v>3263</v>
      </c>
      <c r="E103" s="2" t="s">
        <v>35</v>
      </c>
      <c r="F103" s="2" t="s">
        <v>15658</v>
      </c>
      <c r="G103" s="2" t="s">
        <v>15659</v>
      </c>
      <c r="H103" s="2" t="s">
        <v>1165</v>
      </c>
      <c r="I103" s="2" t="s">
        <v>15319</v>
      </c>
      <c r="J103" s="2" t="s">
        <v>13182</v>
      </c>
      <c r="K103" s="2" t="s">
        <v>15660</v>
      </c>
      <c r="L103" s="2" t="s">
        <v>15661</v>
      </c>
      <c r="M103" s="2" t="s">
        <v>15662</v>
      </c>
      <c r="N103" s="2">
        <v>2003.0</v>
      </c>
      <c r="O103" s="2" t="s">
        <v>1166</v>
      </c>
      <c r="P103" s="15" t="str">
        <f>HYPERLINK("http://dx.doi.org/10.1023/A:1025548518991","http://dx.doi.org/10.1023/A:1025548518991")</f>
        <v>http://dx.doi.org/10.1023/A:1025548518991</v>
      </c>
      <c r="Q103" s="2" t="s">
        <v>65</v>
      </c>
      <c r="R103" s="2" t="s">
        <v>12251</v>
      </c>
      <c r="S103" s="2" t="s">
        <v>12152</v>
      </c>
      <c r="T103" s="2" t="s">
        <v>1168</v>
      </c>
      <c r="V103" s="23" t="s">
        <v>15399</v>
      </c>
      <c r="W103" s="23"/>
      <c r="X103" s="23"/>
      <c r="Y103" s="23" t="s">
        <v>15399</v>
      </c>
      <c r="Z103" s="23"/>
      <c r="AA103" s="23"/>
    </row>
    <row r="104" ht="12.75" customHeight="1">
      <c r="A104" s="2" t="s">
        <v>23</v>
      </c>
      <c r="B104" s="2" t="s">
        <v>1211</v>
      </c>
      <c r="C104" s="2" t="s">
        <v>1212</v>
      </c>
      <c r="D104" s="2" t="s">
        <v>3263</v>
      </c>
      <c r="E104" s="2" t="s">
        <v>266</v>
      </c>
      <c r="F104" s="2" t="s">
        <v>15663</v>
      </c>
      <c r="G104" s="2" t="s">
        <v>15664</v>
      </c>
      <c r="H104" s="2" t="s">
        <v>1213</v>
      </c>
      <c r="I104" s="2" t="s">
        <v>15319</v>
      </c>
      <c r="J104" s="2" t="s">
        <v>13182</v>
      </c>
      <c r="K104" s="2" t="s">
        <v>13898</v>
      </c>
      <c r="L104" s="2" t="s">
        <v>13899</v>
      </c>
      <c r="M104" s="2" t="s">
        <v>15665</v>
      </c>
      <c r="N104" s="2">
        <v>2001.0</v>
      </c>
      <c r="O104" s="2" t="s">
        <v>1214</v>
      </c>
      <c r="P104" s="15" t="str">
        <f>HYPERLINK("http://dx.doi.org/10.1023/A:1013806223310","http://dx.doi.org/10.1023/A:1013806223310")</f>
        <v>http://dx.doi.org/10.1023/A:1013806223310</v>
      </c>
      <c r="Q104" s="2" t="s">
        <v>469</v>
      </c>
      <c r="R104" s="2" t="s">
        <v>13901</v>
      </c>
      <c r="S104" s="2" t="s">
        <v>12152</v>
      </c>
      <c r="T104" s="2" t="s">
        <v>1216</v>
      </c>
      <c r="V104" s="23" t="s">
        <v>15399</v>
      </c>
      <c r="W104" s="23"/>
      <c r="X104" s="23"/>
      <c r="Y104" s="23" t="s">
        <v>15399</v>
      </c>
      <c r="Z104" s="23"/>
      <c r="AA104" s="23"/>
    </row>
    <row r="105" ht="12.75" customHeight="1">
      <c r="A105" s="2" t="s">
        <v>23</v>
      </c>
      <c r="B105" s="2" t="s">
        <v>1257</v>
      </c>
      <c r="C105" s="2" t="s">
        <v>1258</v>
      </c>
      <c r="D105" s="2" t="s">
        <v>3263</v>
      </c>
      <c r="E105" s="2" t="s">
        <v>27</v>
      </c>
      <c r="F105" s="2" t="s">
        <v>15666</v>
      </c>
      <c r="G105" s="2" t="s">
        <v>15667</v>
      </c>
      <c r="H105" s="2" t="s">
        <v>1260</v>
      </c>
      <c r="I105" s="2" t="s">
        <v>13181</v>
      </c>
      <c r="J105" s="2" t="s">
        <v>13182</v>
      </c>
      <c r="K105" s="2" t="s">
        <v>1259</v>
      </c>
      <c r="L105" s="2" t="s">
        <v>10157</v>
      </c>
      <c r="M105" s="2" t="s">
        <v>12459</v>
      </c>
      <c r="N105" s="2">
        <v>1998.0</v>
      </c>
      <c r="O105" s="2" t="s">
        <v>1261</v>
      </c>
      <c r="P105" s="15" t="str">
        <f>HYPERLINK("http://dx.doi.org/10.1023/A:1005984620681","http://dx.doi.org/10.1023/A:1005984620681")</f>
        <v>http://dx.doi.org/10.1023/A:1005984620681</v>
      </c>
      <c r="Q105" s="2" t="s">
        <v>1263</v>
      </c>
      <c r="R105" s="2" t="s">
        <v>13014</v>
      </c>
      <c r="S105" s="2" t="s">
        <v>12152</v>
      </c>
      <c r="T105" s="2" t="s">
        <v>1264</v>
      </c>
      <c r="V105" s="23" t="s">
        <v>15399</v>
      </c>
      <c r="W105" s="23" t="s">
        <v>15399</v>
      </c>
      <c r="X105" s="23"/>
      <c r="Y105" s="23"/>
      <c r="Z105" s="23"/>
      <c r="AA105" s="23"/>
    </row>
    <row r="106" ht="12.75" customHeight="1">
      <c r="A106" s="2" t="s">
        <v>23</v>
      </c>
      <c r="B106" s="2" t="s">
        <v>502</v>
      </c>
      <c r="C106" s="2" t="s">
        <v>503</v>
      </c>
      <c r="D106" s="2" t="s">
        <v>3263</v>
      </c>
      <c r="E106" s="2" t="s">
        <v>35</v>
      </c>
      <c r="F106" s="2" t="s">
        <v>12129</v>
      </c>
      <c r="G106" s="2" t="s">
        <v>15668</v>
      </c>
      <c r="H106" s="2" t="s">
        <v>505</v>
      </c>
      <c r="I106" s="2" t="s">
        <v>13028</v>
      </c>
      <c r="J106" s="2" t="s">
        <v>12632</v>
      </c>
      <c r="K106" s="2" t="s">
        <v>13031</v>
      </c>
      <c r="L106" s="2" t="s">
        <v>13032</v>
      </c>
      <c r="M106" s="2" t="s">
        <v>15669</v>
      </c>
      <c r="N106" s="2">
        <v>2014.0</v>
      </c>
      <c r="O106" s="2" t="s">
        <v>506</v>
      </c>
      <c r="P106" s="15" t="str">
        <f>HYPERLINK("http://dx.doi.org/10.1021/es500371t","http://dx.doi.org/10.1021/es500371t")</f>
        <v>http://dx.doi.org/10.1021/es500371t</v>
      </c>
      <c r="Q106" s="2" t="s">
        <v>508</v>
      </c>
      <c r="R106" s="2" t="s">
        <v>13035</v>
      </c>
      <c r="S106" s="2" t="s">
        <v>12152</v>
      </c>
      <c r="T106" s="2" t="s">
        <v>509</v>
      </c>
      <c r="V106" s="23" t="s">
        <v>15399</v>
      </c>
      <c r="W106" s="23"/>
      <c r="X106" s="23"/>
      <c r="Y106" s="23" t="s">
        <v>15399</v>
      </c>
      <c r="Z106" s="23"/>
      <c r="AA106" s="23"/>
    </row>
    <row r="107" ht="12.75" customHeight="1">
      <c r="A107" s="2" t="s">
        <v>23</v>
      </c>
      <c r="B107" s="2" t="s">
        <v>1034</v>
      </c>
      <c r="C107" s="2" t="s">
        <v>1035</v>
      </c>
      <c r="D107" s="2" t="s">
        <v>3263</v>
      </c>
      <c r="E107" s="2" t="s">
        <v>35</v>
      </c>
      <c r="F107" s="2" t="s">
        <v>12129</v>
      </c>
      <c r="G107" s="2" t="s">
        <v>15670</v>
      </c>
      <c r="H107" s="2" t="s">
        <v>1036</v>
      </c>
      <c r="I107" s="2" t="s">
        <v>13028</v>
      </c>
      <c r="J107" s="2" t="s">
        <v>12632</v>
      </c>
      <c r="K107" s="2" t="s">
        <v>13031</v>
      </c>
      <c r="L107" s="2" t="s">
        <v>13032</v>
      </c>
      <c r="M107" s="2" t="s">
        <v>15644</v>
      </c>
      <c r="N107" s="2">
        <v>2007.0</v>
      </c>
      <c r="O107" s="2" t="s">
        <v>1037</v>
      </c>
      <c r="P107" s="15" t="str">
        <f>HYPERLINK("http://dx.doi.org/10.1021/es062147h","http://dx.doi.org/10.1021/es062147h")</f>
        <v>http://dx.doi.org/10.1021/es062147h</v>
      </c>
      <c r="Q107" s="2" t="s">
        <v>508</v>
      </c>
      <c r="R107" s="2" t="s">
        <v>13035</v>
      </c>
      <c r="S107" s="2" t="s">
        <v>12152</v>
      </c>
      <c r="T107" s="2" t="s">
        <v>1039</v>
      </c>
      <c r="V107" s="23" t="s">
        <v>15399</v>
      </c>
      <c r="W107" s="23" t="s">
        <v>15399</v>
      </c>
      <c r="X107" s="23"/>
      <c r="Y107" s="23"/>
      <c r="Z107" s="23"/>
      <c r="AA107" s="23"/>
    </row>
    <row r="108" ht="12.75" customHeight="1">
      <c r="A108" s="2" t="s">
        <v>23</v>
      </c>
      <c r="B108" s="2" t="s">
        <v>1115</v>
      </c>
      <c r="C108" s="2" t="s">
        <v>1116</v>
      </c>
      <c r="D108" s="2" t="s">
        <v>3263</v>
      </c>
      <c r="E108" s="2" t="s">
        <v>27</v>
      </c>
      <c r="F108" s="2" t="s">
        <v>12129</v>
      </c>
      <c r="G108" s="2" t="s">
        <v>15671</v>
      </c>
      <c r="H108" s="2" t="s">
        <v>1118</v>
      </c>
      <c r="I108" s="2" t="s">
        <v>12243</v>
      </c>
      <c r="J108" s="2" t="s">
        <v>12244</v>
      </c>
      <c r="K108" s="2" t="s">
        <v>14752</v>
      </c>
      <c r="L108" s="2" t="s">
        <v>14753</v>
      </c>
      <c r="M108" s="2" t="s">
        <v>12787</v>
      </c>
      <c r="N108" s="2">
        <v>2004.0</v>
      </c>
      <c r="O108" s="2" t="s">
        <v>1119</v>
      </c>
      <c r="P108" s="15" t="str">
        <f>HYPERLINK("http://dx.doi.org/10.1017/S1367943004001532","http://dx.doi.org/10.1017/S1367943004001532")</f>
        <v>http://dx.doi.org/10.1017/S1367943004001532</v>
      </c>
      <c r="Q108" s="2" t="s">
        <v>1121</v>
      </c>
      <c r="R108" s="2" t="s">
        <v>12376</v>
      </c>
      <c r="S108" s="2" t="s">
        <v>12152</v>
      </c>
      <c r="T108" s="2" t="s">
        <v>1122</v>
      </c>
      <c r="V108" s="23" t="s">
        <v>15399</v>
      </c>
      <c r="W108" s="23"/>
      <c r="X108" s="23" t="s">
        <v>15399</v>
      </c>
      <c r="Y108" s="23"/>
      <c r="Z108" s="23"/>
      <c r="AA108" s="23"/>
    </row>
    <row r="109" ht="12.75" customHeight="1">
      <c r="A109" s="2" t="s">
        <v>23</v>
      </c>
      <c r="B109" s="2" t="s">
        <v>472</v>
      </c>
      <c r="C109" s="2" t="s">
        <v>473</v>
      </c>
      <c r="D109" s="2" t="s">
        <v>3263</v>
      </c>
      <c r="E109" s="2" t="s">
        <v>35</v>
      </c>
      <c r="F109" s="2" t="s">
        <v>15672</v>
      </c>
      <c r="G109" s="2" t="s">
        <v>15673</v>
      </c>
      <c r="H109" s="2" t="s">
        <v>475</v>
      </c>
      <c r="I109" s="2" t="s">
        <v>15674</v>
      </c>
      <c r="J109" s="2" t="s">
        <v>15675</v>
      </c>
      <c r="K109" s="2" t="s">
        <v>15676</v>
      </c>
      <c r="L109" s="2" t="s">
        <v>15677</v>
      </c>
      <c r="M109" s="2" t="s">
        <v>12249</v>
      </c>
      <c r="N109" s="2">
        <v>2014.0</v>
      </c>
      <c r="O109" s="2" t="s">
        <v>476</v>
      </c>
      <c r="P109" s="15" t="str">
        <f>HYPERLINK("http://dx.doi.org/10.1016/S2095-6339(15)30021-6","http://dx.doi.org/10.1016/S2095-6339(15)30021-6")</f>
        <v>http://dx.doi.org/10.1016/S2095-6339(15)30021-6</v>
      </c>
      <c r="Q109" s="2" t="s">
        <v>478</v>
      </c>
      <c r="R109" s="2" t="s">
        <v>15678</v>
      </c>
      <c r="S109" s="2" t="s">
        <v>12152</v>
      </c>
      <c r="T109" s="2" t="s">
        <v>479</v>
      </c>
      <c r="V109" s="23" t="s">
        <v>15399</v>
      </c>
      <c r="W109" s="23" t="s">
        <v>15399</v>
      </c>
      <c r="X109" s="23"/>
      <c r="Y109" s="23"/>
      <c r="Z109" s="23"/>
      <c r="AA109" s="23"/>
    </row>
    <row r="110" ht="12.75" customHeight="1">
      <c r="A110" s="2" t="s">
        <v>23</v>
      </c>
      <c r="B110" s="2" t="s">
        <v>1224</v>
      </c>
      <c r="C110" s="2" t="s">
        <v>1225</v>
      </c>
      <c r="D110" s="2" t="s">
        <v>3263</v>
      </c>
      <c r="E110" s="2" t="s">
        <v>35</v>
      </c>
      <c r="F110" s="2" t="s">
        <v>15679</v>
      </c>
      <c r="G110" s="2" t="s">
        <v>15680</v>
      </c>
      <c r="H110" s="2" t="s">
        <v>1227</v>
      </c>
      <c r="I110" s="2" t="s">
        <v>12321</v>
      </c>
      <c r="J110" s="2" t="s">
        <v>12295</v>
      </c>
      <c r="K110" s="2" t="s">
        <v>15681</v>
      </c>
      <c r="L110" s="2" t="s">
        <v>15682</v>
      </c>
      <c r="M110" s="2" t="s">
        <v>12301</v>
      </c>
      <c r="N110" s="2">
        <v>2000.0</v>
      </c>
      <c r="O110" s="2" t="s">
        <v>1228</v>
      </c>
      <c r="P110" s="15" t="str">
        <f>HYPERLINK("http://dx.doi.org/10.1016/S0308-521X(00)00031-7","http://dx.doi.org/10.1016/S0308-521X(00)00031-7")</f>
        <v>http://dx.doi.org/10.1016/S0308-521X(00)00031-7</v>
      </c>
      <c r="Q110" s="2" t="s">
        <v>1230</v>
      </c>
      <c r="R110" s="2" t="s">
        <v>13707</v>
      </c>
      <c r="S110" s="2" t="s">
        <v>12152</v>
      </c>
      <c r="T110" s="2" t="s">
        <v>1231</v>
      </c>
      <c r="V110" s="23" t="s">
        <v>15399</v>
      </c>
      <c r="W110" s="23"/>
      <c r="X110" s="23" t="s">
        <v>15399</v>
      </c>
      <c r="Y110" s="23"/>
      <c r="Z110" s="23"/>
      <c r="AA110" s="23"/>
    </row>
    <row r="111" ht="12.75" customHeight="1">
      <c r="A111" s="2" t="s">
        <v>23</v>
      </c>
      <c r="B111" s="2" t="s">
        <v>1106</v>
      </c>
      <c r="C111" s="2" t="s">
        <v>1107</v>
      </c>
      <c r="D111" s="2" t="s">
        <v>3263</v>
      </c>
      <c r="E111" s="2" t="s">
        <v>35</v>
      </c>
      <c r="F111" s="2" t="s">
        <v>15683</v>
      </c>
      <c r="G111" s="2" t="s">
        <v>15684</v>
      </c>
      <c r="H111" s="2" t="s">
        <v>1109</v>
      </c>
      <c r="I111" s="2" t="s">
        <v>13472</v>
      </c>
      <c r="J111" s="2" t="s">
        <v>13473</v>
      </c>
      <c r="K111" s="2" t="s">
        <v>15685</v>
      </c>
      <c r="L111" s="2" t="s">
        <v>15686</v>
      </c>
      <c r="M111" s="2" t="s">
        <v>12787</v>
      </c>
      <c r="N111" s="2">
        <v>2004.0</v>
      </c>
      <c r="O111" s="2" t="s">
        <v>1110</v>
      </c>
      <c r="P111" s="15" t="str">
        <f>HYPERLINK("http://dx.doi.org/10.1016/S0147-6513(03)00141-6","http://dx.doi.org/10.1016/S0147-6513(03)00141-6")</f>
        <v>http://dx.doi.org/10.1016/S0147-6513(03)00141-6</v>
      </c>
      <c r="Q111" s="2" t="s">
        <v>1112</v>
      </c>
      <c r="R111" s="2" t="s">
        <v>15687</v>
      </c>
      <c r="S111" s="2" t="s">
        <v>12152</v>
      </c>
      <c r="T111" s="2" t="s">
        <v>1113</v>
      </c>
      <c r="V111" s="23" t="s">
        <v>15399</v>
      </c>
      <c r="W111" s="23"/>
      <c r="X111" s="23"/>
      <c r="Y111" s="23" t="s">
        <v>15399</v>
      </c>
      <c r="Z111" s="23"/>
      <c r="AA111" s="23"/>
    </row>
    <row r="112" ht="12.75" customHeight="1">
      <c r="A112" s="2" t="s">
        <v>23</v>
      </c>
      <c r="B112" s="2" t="s">
        <v>382</v>
      </c>
      <c r="C112" s="2" t="s">
        <v>383</v>
      </c>
      <c r="D112" s="2" t="s">
        <v>3263</v>
      </c>
      <c r="E112" s="2" t="s">
        <v>27</v>
      </c>
      <c r="F112" s="2" t="s">
        <v>15688</v>
      </c>
      <c r="G112" s="2" t="s">
        <v>15689</v>
      </c>
      <c r="H112" s="2" t="s">
        <v>385</v>
      </c>
      <c r="I112" s="2" t="s">
        <v>12294</v>
      </c>
      <c r="J112" s="2" t="s">
        <v>12295</v>
      </c>
      <c r="K112" s="2" t="s">
        <v>15690</v>
      </c>
      <c r="L112" s="2" t="s">
        <v>15691</v>
      </c>
      <c r="M112" s="2" t="s">
        <v>15692</v>
      </c>
      <c r="N112" s="2">
        <v>2015.0</v>
      </c>
      <c r="O112" s="2" t="s">
        <v>386</v>
      </c>
      <c r="P112" s="15" t="str">
        <f>HYPERLINK("http://dx.doi.org/10.1016/j.watres.2014.08.053","http://dx.doi.org/10.1016/j.watres.2014.08.053")</f>
        <v>http://dx.doi.org/10.1016/j.watres.2014.08.053</v>
      </c>
      <c r="Q112" s="2" t="s">
        <v>388</v>
      </c>
      <c r="R112" s="2" t="s">
        <v>15693</v>
      </c>
      <c r="S112" s="2" t="s">
        <v>12152</v>
      </c>
      <c r="T112" s="2" t="s">
        <v>389</v>
      </c>
      <c r="V112" s="23" t="s">
        <v>15399</v>
      </c>
      <c r="W112" s="23"/>
      <c r="X112" s="23"/>
      <c r="Y112" s="23" t="s">
        <v>15399</v>
      </c>
      <c r="Z112" s="23"/>
      <c r="AA112" s="23"/>
    </row>
    <row r="113" ht="12.75" customHeight="1">
      <c r="A113" s="2" t="s">
        <v>23</v>
      </c>
      <c r="B113" s="2" t="s">
        <v>737</v>
      </c>
      <c r="C113" s="2" t="s">
        <v>738</v>
      </c>
      <c r="D113" s="2" t="s">
        <v>3263</v>
      </c>
      <c r="E113" s="2" t="s">
        <v>27</v>
      </c>
      <c r="F113" s="2" t="s">
        <v>12129</v>
      </c>
      <c r="G113" s="2" t="s">
        <v>15694</v>
      </c>
      <c r="H113" s="2" t="s">
        <v>740</v>
      </c>
      <c r="I113" s="2" t="s">
        <v>12294</v>
      </c>
      <c r="J113" s="2" t="s">
        <v>12295</v>
      </c>
      <c r="K113" s="2" t="s">
        <v>15695</v>
      </c>
      <c r="L113" s="2" t="s">
        <v>15696</v>
      </c>
      <c r="M113" s="2" t="s">
        <v>12561</v>
      </c>
      <c r="N113" s="2">
        <v>2011.0</v>
      </c>
      <c r="O113" s="2" t="s">
        <v>741</v>
      </c>
      <c r="P113" s="15" t="str">
        <f>HYPERLINK("http://dx.doi.org/10.1016/j.wasman.2010.10.023","http://dx.doi.org/10.1016/j.wasman.2010.10.023")</f>
        <v>http://dx.doi.org/10.1016/j.wasman.2010.10.023</v>
      </c>
      <c r="Q113" s="2" t="s">
        <v>508</v>
      </c>
      <c r="R113" s="2" t="s">
        <v>13035</v>
      </c>
      <c r="S113" s="2" t="s">
        <v>12152</v>
      </c>
      <c r="T113" s="2" t="s">
        <v>743</v>
      </c>
      <c r="V113" s="23" t="s">
        <v>15399</v>
      </c>
      <c r="W113" s="23"/>
      <c r="X113" s="23"/>
      <c r="Y113" s="23" t="s">
        <v>15399</v>
      </c>
      <c r="Z113" s="23"/>
      <c r="AA113" s="23"/>
    </row>
    <row r="114" ht="12.75" customHeight="1">
      <c r="A114" s="2" t="s">
        <v>23</v>
      </c>
      <c r="B114" s="2" t="s">
        <v>624</v>
      </c>
      <c r="C114" s="2" t="s">
        <v>625</v>
      </c>
      <c r="D114" s="2" t="s">
        <v>3263</v>
      </c>
      <c r="E114" s="2" t="s">
        <v>27</v>
      </c>
      <c r="F114" s="2" t="s">
        <v>15697</v>
      </c>
      <c r="G114" s="2" t="s">
        <v>15698</v>
      </c>
      <c r="H114" s="2" t="s">
        <v>627</v>
      </c>
      <c r="I114" s="2" t="s">
        <v>14105</v>
      </c>
      <c r="J114" s="2" t="s">
        <v>12170</v>
      </c>
      <c r="K114" s="2" t="s">
        <v>14109</v>
      </c>
      <c r="L114" s="2" t="s">
        <v>14110</v>
      </c>
      <c r="M114" s="2" t="s">
        <v>13127</v>
      </c>
      <c r="N114" s="2">
        <v>2013.0</v>
      </c>
      <c r="O114" s="2" t="s">
        <v>628</v>
      </c>
      <c r="P114" s="15" t="str">
        <f>HYPERLINK("http://dx.doi.org/10.1016/j.tree.2012.07.013","http://dx.doi.org/10.1016/j.tree.2012.07.013")</f>
        <v>http://dx.doi.org/10.1016/j.tree.2012.07.013</v>
      </c>
      <c r="Q114" s="2" t="s">
        <v>630</v>
      </c>
      <c r="R114" s="2" t="s">
        <v>14112</v>
      </c>
      <c r="S114" s="2" t="s">
        <v>12152</v>
      </c>
      <c r="T114" s="2" t="s">
        <v>631</v>
      </c>
      <c r="V114" s="23" t="s">
        <v>15399</v>
      </c>
      <c r="W114" s="23"/>
      <c r="X114" s="23"/>
      <c r="Y114" s="23"/>
      <c r="Z114" s="23" t="s">
        <v>15399</v>
      </c>
      <c r="AA114" s="23"/>
    </row>
    <row r="115" ht="12.75" customHeight="1">
      <c r="A115" s="2" t="s">
        <v>23</v>
      </c>
      <c r="B115" s="2" t="s">
        <v>59</v>
      </c>
      <c r="C115" s="2" t="s">
        <v>60</v>
      </c>
      <c r="D115" s="2" t="s">
        <v>3263</v>
      </c>
      <c r="E115" s="2" t="s">
        <v>35</v>
      </c>
      <c r="F115" s="2" t="s">
        <v>15699</v>
      </c>
      <c r="G115" s="2" t="s">
        <v>15700</v>
      </c>
      <c r="H115" s="2" t="s">
        <v>62</v>
      </c>
      <c r="I115" s="2" t="s">
        <v>12930</v>
      </c>
      <c r="J115" s="2" t="s">
        <v>12270</v>
      </c>
      <c r="K115" s="2" t="s">
        <v>12933</v>
      </c>
      <c r="L115" s="2" t="s">
        <v>12934</v>
      </c>
      <c r="M115" s="2" t="s">
        <v>13146</v>
      </c>
      <c r="N115" s="2">
        <v>2017.0</v>
      </c>
      <c r="O115" s="2" t="s">
        <v>63</v>
      </c>
      <c r="P115" s="15" t="str">
        <f>HYPERLINK("http://dx.doi.org/10.1016/j.scitotenv.2017.05.039","http://dx.doi.org/10.1016/j.scitotenv.2017.05.039")</f>
        <v>http://dx.doi.org/10.1016/j.scitotenv.2017.05.039</v>
      </c>
      <c r="Q115" s="2" t="s">
        <v>65</v>
      </c>
      <c r="R115" s="2" t="s">
        <v>12251</v>
      </c>
      <c r="S115" s="2" t="s">
        <v>12152</v>
      </c>
      <c r="T115" s="2" t="s">
        <v>66</v>
      </c>
      <c r="V115" s="23" t="s">
        <v>15399</v>
      </c>
      <c r="W115" s="23"/>
      <c r="X115" s="23"/>
      <c r="Y115" s="23" t="s">
        <v>15399</v>
      </c>
      <c r="Z115" s="23"/>
      <c r="AA115" s="23"/>
    </row>
    <row r="116" ht="12.75" customHeight="1">
      <c r="A116" s="2" t="s">
        <v>23</v>
      </c>
      <c r="B116" s="2" t="s">
        <v>432</v>
      </c>
      <c r="C116" s="2" t="s">
        <v>433</v>
      </c>
      <c r="D116" s="2" t="s">
        <v>3263</v>
      </c>
      <c r="E116" s="2" t="s">
        <v>35</v>
      </c>
      <c r="F116" s="2" t="s">
        <v>15701</v>
      </c>
      <c r="G116" s="2" t="s">
        <v>15702</v>
      </c>
      <c r="H116" s="2" t="s">
        <v>434</v>
      </c>
      <c r="I116" s="2" t="s">
        <v>12269</v>
      </c>
      <c r="J116" s="2" t="s">
        <v>12270</v>
      </c>
      <c r="K116" s="2" t="s">
        <v>12933</v>
      </c>
      <c r="L116" s="2" t="s">
        <v>12934</v>
      </c>
      <c r="M116" s="2" t="s">
        <v>13631</v>
      </c>
      <c r="N116" s="2">
        <v>2015.0</v>
      </c>
      <c r="O116" s="2" t="s">
        <v>435</v>
      </c>
      <c r="P116" s="15" t="str">
        <f>HYPERLINK("http://dx.doi.org/10.1016/j.scitotenv.2014.06.081","http://dx.doi.org/10.1016/j.scitotenv.2014.06.081")</f>
        <v>http://dx.doi.org/10.1016/j.scitotenv.2014.06.081</v>
      </c>
      <c r="Q116" s="2" t="s">
        <v>65</v>
      </c>
      <c r="R116" s="2" t="s">
        <v>12251</v>
      </c>
      <c r="S116" s="2" t="s">
        <v>12152</v>
      </c>
      <c r="T116" s="2" t="s">
        <v>437</v>
      </c>
      <c r="V116" s="23" t="s">
        <v>15399</v>
      </c>
      <c r="W116" s="23"/>
      <c r="X116" s="23" t="s">
        <v>15399</v>
      </c>
      <c r="Y116" s="23"/>
      <c r="Z116" s="23"/>
      <c r="AA116" s="23"/>
    </row>
    <row r="117" ht="12.75" customHeight="1">
      <c r="A117" s="2" t="s">
        <v>23</v>
      </c>
      <c r="B117" s="2" t="s">
        <v>527</v>
      </c>
      <c r="C117" s="2" t="s">
        <v>528</v>
      </c>
      <c r="D117" s="2" t="s">
        <v>3263</v>
      </c>
      <c r="E117" s="2" t="s">
        <v>35</v>
      </c>
      <c r="F117" s="2" t="s">
        <v>15703</v>
      </c>
      <c r="G117" s="2" t="s">
        <v>15704</v>
      </c>
      <c r="H117" s="2" t="s">
        <v>529</v>
      </c>
      <c r="I117" s="2" t="s">
        <v>12269</v>
      </c>
      <c r="J117" s="2" t="s">
        <v>12270</v>
      </c>
      <c r="K117" s="2" t="s">
        <v>12933</v>
      </c>
      <c r="L117" s="2" t="s">
        <v>12934</v>
      </c>
      <c r="M117" s="2" t="s">
        <v>13631</v>
      </c>
      <c r="N117" s="2">
        <v>2014.0</v>
      </c>
      <c r="O117" s="2" t="s">
        <v>530</v>
      </c>
      <c r="P117" s="15" t="str">
        <f>HYPERLINK("http://dx.doi.org/10.1016/j.scitotenv.2013.05.057","http://dx.doi.org/10.1016/j.scitotenv.2013.05.057")</f>
        <v>http://dx.doi.org/10.1016/j.scitotenv.2013.05.057</v>
      </c>
      <c r="Q117" s="2" t="s">
        <v>65</v>
      </c>
      <c r="R117" s="2" t="s">
        <v>12251</v>
      </c>
      <c r="S117" s="2" t="s">
        <v>12152</v>
      </c>
      <c r="T117" s="2" t="s">
        <v>532</v>
      </c>
      <c r="V117" s="23" t="s">
        <v>15399</v>
      </c>
      <c r="W117" s="23" t="s">
        <v>15399</v>
      </c>
      <c r="X117" s="23"/>
      <c r="Y117" s="23"/>
      <c r="Z117" s="23"/>
      <c r="AA117" s="23"/>
    </row>
    <row r="118" ht="12.75" customHeight="1">
      <c r="A118" s="2" t="s">
        <v>23</v>
      </c>
      <c r="B118" s="2" t="s">
        <v>801</v>
      </c>
      <c r="C118" s="2" t="s">
        <v>802</v>
      </c>
      <c r="D118" s="2" t="s">
        <v>3263</v>
      </c>
      <c r="E118" s="2" t="s">
        <v>27</v>
      </c>
      <c r="F118" s="2" t="s">
        <v>15705</v>
      </c>
      <c r="G118" s="2" t="s">
        <v>15706</v>
      </c>
      <c r="H118" s="2" t="s">
        <v>803</v>
      </c>
      <c r="I118" s="2" t="s">
        <v>12930</v>
      </c>
      <c r="J118" s="2" t="s">
        <v>12270</v>
      </c>
      <c r="K118" s="2" t="s">
        <v>12933</v>
      </c>
      <c r="L118" s="2" t="s">
        <v>12934</v>
      </c>
      <c r="M118" s="2" t="s">
        <v>15707</v>
      </c>
      <c r="N118" s="2">
        <v>2010.0</v>
      </c>
      <c r="O118" s="2" t="s">
        <v>804</v>
      </c>
      <c r="P118" s="15" t="str">
        <f>HYPERLINK("http://dx.doi.org/10.1016/j.scitotenv.2010.09.026","http://dx.doi.org/10.1016/j.scitotenv.2010.09.026")</f>
        <v>http://dx.doi.org/10.1016/j.scitotenv.2010.09.026</v>
      </c>
      <c r="Q118" s="2" t="s">
        <v>65</v>
      </c>
      <c r="R118" s="2" t="s">
        <v>12251</v>
      </c>
      <c r="S118" s="2" t="s">
        <v>12152</v>
      </c>
      <c r="T118" s="2" t="s">
        <v>806</v>
      </c>
      <c r="V118" s="23" t="s">
        <v>15399</v>
      </c>
      <c r="W118" s="23"/>
      <c r="X118" s="23"/>
      <c r="Y118" s="23" t="s">
        <v>15399</v>
      </c>
      <c r="Z118" s="23"/>
      <c r="AA118" s="23"/>
    </row>
    <row r="119" ht="12.75" customHeight="1">
      <c r="A119" s="2" t="s">
        <v>23</v>
      </c>
      <c r="B119" s="2" t="s">
        <v>674</v>
      </c>
      <c r="C119" s="2" t="s">
        <v>675</v>
      </c>
      <c r="D119" s="2" t="s">
        <v>3263</v>
      </c>
      <c r="E119" s="2" t="s">
        <v>35</v>
      </c>
      <c r="F119" s="2" t="s">
        <v>15708</v>
      </c>
      <c r="G119" s="2" t="s">
        <v>15709</v>
      </c>
      <c r="H119" s="2" t="s">
        <v>677</v>
      </c>
      <c r="I119" s="2" t="s">
        <v>15710</v>
      </c>
      <c r="J119" s="2" t="s">
        <v>13961</v>
      </c>
      <c r="K119" s="2" t="s">
        <v>15711</v>
      </c>
      <c r="L119" s="2" t="s">
        <v>15712</v>
      </c>
      <c r="M119" s="2" t="s">
        <v>12249</v>
      </c>
      <c r="N119" s="2">
        <v>2012.0</v>
      </c>
      <c r="O119" s="2" t="s">
        <v>678</v>
      </c>
      <c r="P119" s="15" t="str">
        <f>HYPERLINK("http://dx.doi.org/10.1016/j.rse.2012.05.019","http://dx.doi.org/10.1016/j.rse.2012.05.019")</f>
        <v>http://dx.doi.org/10.1016/j.rse.2012.05.019</v>
      </c>
      <c r="Q119" s="2" t="s">
        <v>680</v>
      </c>
      <c r="R119" s="2" t="s">
        <v>15713</v>
      </c>
      <c r="S119" s="2" t="s">
        <v>12152</v>
      </c>
      <c r="T119" s="2" t="s">
        <v>681</v>
      </c>
      <c r="V119" s="24" t="s">
        <v>15399</v>
      </c>
      <c r="W119" s="24" t="s">
        <v>15399</v>
      </c>
      <c r="X119" s="24"/>
      <c r="Y119" s="24"/>
      <c r="Z119" s="24"/>
      <c r="AA119" s="24"/>
    </row>
    <row r="120" ht="12.75" customHeight="1">
      <c r="A120" s="2" t="s">
        <v>23</v>
      </c>
      <c r="B120" s="2" t="s">
        <v>1041</v>
      </c>
      <c r="C120" s="2" t="s">
        <v>1042</v>
      </c>
      <c r="D120" s="2" t="s">
        <v>3263</v>
      </c>
      <c r="E120" s="2" t="s">
        <v>266</v>
      </c>
      <c r="F120" s="2" t="s">
        <v>15714</v>
      </c>
      <c r="G120" s="2" t="s">
        <v>12129</v>
      </c>
      <c r="H120" s="2" t="s">
        <v>1044</v>
      </c>
      <c r="I120" s="2" t="s">
        <v>12294</v>
      </c>
      <c r="J120" s="2" t="s">
        <v>12295</v>
      </c>
      <c r="K120" s="2" t="s">
        <v>15715</v>
      </c>
      <c r="L120" s="2" t="s">
        <v>15716</v>
      </c>
      <c r="M120" s="2" t="s">
        <v>12129</v>
      </c>
      <c r="N120" s="2">
        <v>2007.0</v>
      </c>
      <c r="O120" s="2" t="s">
        <v>1045</v>
      </c>
      <c r="P120" s="15" t="str">
        <f>HYPERLINK("http://dx.doi.org/10.1016/j.pce.2007.07.033","http://dx.doi.org/10.1016/j.pce.2007.07.033")</f>
        <v>http://dx.doi.org/10.1016/j.pce.2007.07.033</v>
      </c>
      <c r="Q120" s="2" t="s">
        <v>1047</v>
      </c>
      <c r="R120" s="2" t="s">
        <v>15657</v>
      </c>
      <c r="S120" s="2" t="s">
        <v>12152</v>
      </c>
      <c r="T120" s="2" t="s">
        <v>1048</v>
      </c>
      <c r="V120" s="23" t="s">
        <v>15399</v>
      </c>
      <c r="W120" s="23" t="s">
        <v>15399</v>
      </c>
      <c r="X120" s="23"/>
      <c r="Y120" s="23"/>
      <c r="Z120" s="23"/>
      <c r="AA120" s="23"/>
    </row>
    <row r="121" ht="12.75" customHeight="1">
      <c r="A121" s="2" t="s">
        <v>23</v>
      </c>
      <c r="B121" s="2" t="s">
        <v>290</v>
      </c>
      <c r="C121" s="2" t="s">
        <v>291</v>
      </c>
      <c r="D121" s="2" t="s">
        <v>3263</v>
      </c>
      <c r="E121" s="2" t="s">
        <v>266</v>
      </c>
      <c r="F121" s="2" t="s">
        <v>15717</v>
      </c>
      <c r="G121" s="2" t="s">
        <v>15718</v>
      </c>
      <c r="H121" s="2" t="s">
        <v>293</v>
      </c>
      <c r="I121" s="2" t="s">
        <v>12321</v>
      </c>
      <c r="J121" s="2" t="s">
        <v>12295</v>
      </c>
      <c r="K121" s="2" t="s">
        <v>15719</v>
      </c>
      <c r="L121" s="2" t="s">
        <v>15720</v>
      </c>
      <c r="M121" s="2" t="s">
        <v>13517</v>
      </c>
      <c r="N121" s="2">
        <v>2015.0</v>
      </c>
      <c r="O121" s="2" t="s">
        <v>294</v>
      </c>
      <c r="P121" s="15" t="str">
        <f>HYPERLINK("http://dx.doi.org/10.1016/j.ocecoaman.2015.05.021","http://dx.doi.org/10.1016/j.ocecoaman.2015.05.021")</f>
        <v>http://dx.doi.org/10.1016/j.ocecoaman.2015.05.021</v>
      </c>
      <c r="Q121" s="2" t="s">
        <v>296</v>
      </c>
      <c r="R121" s="2" t="s">
        <v>296</v>
      </c>
      <c r="S121" s="2" t="s">
        <v>12152</v>
      </c>
      <c r="T121" s="2" t="s">
        <v>297</v>
      </c>
      <c r="V121" s="23" t="s">
        <v>15399</v>
      </c>
      <c r="W121" s="23"/>
      <c r="X121" s="23"/>
      <c r="Y121" s="23" t="s">
        <v>15399</v>
      </c>
      <c r="Z121" s="23"/>
      <c r="AA121" s="23"/>
    </row>
    <row r="122" ht="12.75" customHeight="1">
      <c r="A122" s="2" t="s">
        <v>23</v>
      </c>
      <c r="B122" s="2" t="s">
        <v>255</v>
      </c>
      <c r="C122" s="2" t="s">
        <v>256</v>
      </c>
      <c r="D122" s="2" t="s">
        <v>3263</v>
      </c>
      <c r="E122" s="2" t="s">
        <v>35</v>
      </c>
      <c r="F122" s="2" t="s">
        <v>15721</v>
      </c>
      <c r="G122" s="2" t="s">
        <v>15722</v>
      </c>
      <c r="H122" s="2" t="s">
        <v>258</v>
      </c>
      <c r="I122" s="2" t="s">
        <v>12294</v>
      </c>
      <c r="J122" s="2" t="s">
        <v>12295</v>
      </c>
      <c r="K122" s="2" t="s">
        <v>12299</v>
      </c>
      <c r="L122" s="2" t="s">
        <v>12300</v>
      </c>
      <c r="M122" s="2" t="s">
        <v>15723</v>
      </c>
      <c r="N122" s="2">
        <v>2015.0</v>
      </c>
      <c r="O122" s="2" t="s">
        <v>259</v>
      </c>
      <c r="P122" s="15" t="str">
        <f>HYPERLINK("http://dx.doi.org/10.1016/j.marpolbul.2015.10.042","http://dx.doi.org/10.1016/j.marpolbul.2015.10.042")</f>
        <v>http://dx.doi.org/10.1016/j.marpolbul.2015.10.042</v>
      </c>
      <c r="Q122" s="2" t="s">
        <v>145</v>
      </c>
      <c r="R122" s="2" t="s">
        <v>12303</v>
      </c>
      <c r="S122" s="2" t="s">
        <v>12152</v>
      </c>
      <c r="T122" s="2" t="s">
        <v>261</v>
      </c>
      <c r="V122" s="23" t="s">
        <v>15399</v>
      </c>
      <c r="W122" s="23"/>
      <c r="X122" s="23"/>
      <c r="Y122" s="23" t="s">
        <v>15399</v>
      </c>
      <c r="Z122" s="23"/>
      <c r="AA122" s="23"/>
    </row>
    <row r="123" ht="12.75" customHeight="1">
      <c r="A123" s="2" t="s">
        <v>23</v>
      </c>
      <c r="B123" s="2" t="s">
        <v>163</v>
      </c>
      <c r="C123" s="2" t="s">
        <v>164</v>
      </c>
      <c r="D123" s="2" t="s">
        <v>3263</v>
      </c>
      <c r="E123" s="2" t="s">
        <v>35</v>
      </c>
      <c r="F123" s="2" t="s">
        <v>15724</v>
      </c>
      <c r="G123" s="2" t="s">
        <v>15725</v>
      </c>
      <c r="H123" s="2" t="s">
        <v>166</v>
      </c>
      <c r="I123" s="2" t="s">
        <v>12321</v>
      </c>
      <c r="J123" s="2" t="s">
        <v>12295</v>
      </c>
      <c r="K123" s="2" t="s">
        <v>165</v>
      </c>
      <c r="L123" s="2" t="s">
        <v>12763</v>
      </c>
      <c r="M123" s="2" t="s">
        <v>15726</v>
      </c>
      <c r="N123" s="2">
        <v>2016.0</v>
      </c>
      <c r="O123" s="2" t="s">
        <v>167</v>
      </c>
      <c r="P123" s="15" t="str">
        <f>HYPERLINK("http://dx.doi.org/10.1016/j.landusepol.2014.12.005","http://dx.doi.org/10.1016/j.landusepol.2014.12.005")</f>
        <v>http://dx.doi.org/10.1016/j.landusepol.2014.12.005</v>
      </c>
      <c r="Q123" s="2" t="s">
        <v>169</v>
      </c>
      <c r="R123" s="2" t="s">
        <v>12251</v>
      </c>
      <c r="S123" s="2" t="s">
        <v>12152</v>
      </c>
      <c r="T123" s="2" t="s">
        <v>170</v>
      </c>
      <c r="V123" s="23" t="s">
        <v>15399</v>
      </c>
      <c r="W123" s="23" t="s">
        <v>15399</v>
      </c>
      <c r="X123" s="23"/>
      <c r="Y123" s="23"/>
      <c r="Z123" s="23"/>
      <c r="AA123" s="23"/>
    </row>
    <row r="124" ht="12.75" customHeight="1">
      <c r="A124" s="2" t="s">
        <v>23</v>
      </c>
      <c r="B124" s="2" t="s">
        <v>953</v>
      </c>
      <c r="C124" s="2" t="s">
        <v>954</v>
      </c>
      <c r="D124" s="2" t="s">
        <v>3263</v>
      </c>
      <c r="E124" s="2" t="s">
        <v>27</v>
      </c>
      <c r="F124" s="2" t="s">
        <v>15727</v>
      </c>
      <c r="G124" s="2" t="s">
        <v>15728</v>
      </c>
      <c r="H124" s="2" t="s">
        <v>955</v>
      </c>
      <c r="I124" s="2" t="s">
        <v>12321</v>
      </c>
      <c r="J124" s="2" t="s">
        <v>12295</v>
      </c>
      <c r="K124" s="2" t="s">
        <v>165</v>
      </c>
      <c r="L124" s="2" t="s">
        <v>12763</v>
      </c>
      <c r="M124" s="2" t="s">
        <v>12764</v>
      </c>
      <c r="N124" s="2">
        <v>2009.0</v>
      </c>
      <c r="O124" s="2" t="s">
        <v>956</v>
      </c>
      <c r="P124" s="15" t="str">
        <f>HYPERLINK("http://dx.doi.org/10.1016/j.landusepol.2009.08.009","http://dx.doi.org/10.1016/j.landusepol.2009.08.009")</f>
        <v>http://dx.doi.org/10.1016/j.landusepol.2009.08.009</v>
      </c>
      <c r="Q124" s="2" t="s">
        <v>169</v>
      </c>
      <c r="R124" s="2" t="s">
        <v>12251</v>
      </c>
      <c r="S124" s="2" t="s">
        <v>12152</v>
      </c>
      <c r="T124" s="2" t="s">
        <v>958</v>
      </c>
      <c r="V124" s="23" t="s">
        <v>15399</v>
      </c>
      <c r="W124" s="23" t="s">
        <v>15399</v>
      </c>
      <c r="X124" s="23"/>
      <c r="Y124" s="23"/>
      <c r="Z124" s="23"/>
      <c r="AA124" s="23"/>
    </row>
    <row r="125" ht="12.75" customHeight="1">
      <c r="A125" s="2" t="s">
        <v>23</v>
      </c>
      <c r="B125" s="2" t="s">
        <v>439</v>
      </c>
      <c r="C125" s="2" t="s">
        <v>440</v>
      </c>
      <c r="D125" s="2" t="s">
        <v>3263</v>
      </c>
      <c r="E125" s="2" t="s">
        <v>27</v>
      </c>
      <c r="F125" s="2" t="s">
        <v>15729</v>
      </c>
      <c r="G125" s="2" t="s">
        <v>15730</v>
      </c>
      <c r="H125" s="2" t="s">
        <v>442</v>
      </c>
      <c r="I125" s="2" t="s">
        <v>12269</v>
      </c>
      <c r="J125" s="2" t="s">
        <v>12270</v>
      </c>
      <c r="K125" s="2" t="s">
        <v>15731</v>
      </c>
      <c r="L125" s="2" t="s">
        <v>15732</v>
      </c>
      <c r="M125" s="2" t="s">
        <v>13127</v>
      </c>
      <c r="N125" s="2">
        <v>2015.0</v>
      </c>
      <c r="O125" s="2" t="s">
        <v>443</v>
      </c>
      <c r="P125" s="15" t="str">
        <f>HYPERLINK("http://dx.doi.org/10.1016/j.landurbplan.2014.09.001","http://dx.doi.org/10.1016/j.landurbplan.2014.09.001")</f>
        <v>http://dx.doi.org/10.1016/j.landurbplan.2014.09.001</v>
      </c>
      <c r="Q125" s="2" t="s">
        <v>445</v>
      </c>
      <c r="R125" s="2" t="s">
        <v>15733</v>
      </c>
      <c r="S125" s="2" t="s">
        <v>12152</v>
      </c>
      <c r="T125" s="2" t="s">
        <v>446</v>
      </c>
      <c r="V125" s="23" t="s">
        <v>15399</v>
      </c>
      <c r="W125" s="23" t="s">
        <v>15399</v>
      </c>
      <c r="X125" s="23"/>
      <c r="Y125" s="23"/>
      <c r="Z125" s="23"/>
      <c r="AA125" s="23"/>
    </row>
    <row r="126" ht="12.75" customHeight="1">
      <c r="A126" s="2" t="s">
        <v>23</v>
      </c>
      <c r="B126" s="2" t="s">
        <v>899</v>
      </c>
      <c r="C126" s="2" t="s">
        <v>900</v>
      </c>
      <c r="D126" s="2" t="s">
        <v>3263</v>
      </c>
      <c r="E126" s="2" t="s">
        <v>27</v>
      </c>
      <c r="F126" s="2" t="s">
        <v>15734</v>
      </c>
      <c r="G126" s="2" t="s">
        <v>15735</v>
      </c>
      <c r="H126" s="2" t="s">
        <v>902</v>
      </c>
      <c r="I126" s="2" t="s">
        <v>12269</v>
      </c>
      <c r="J126" s="2" t="s">
        <v>12270</v>
      </c>
      <c r="K126" s="2" t="s">
        <v>15736</v>
      </c>
      <c r="L126" s="2" t="s">
        <v>15737</v>
      </c>
      <c r="M126" s="2" t="s">
        <v>15738</v>
      </c>
      <c r="N126" s="2">
        <v>2010.0</v>
      </c>
      <c r="O126" s="2" t="s">
        <v>903</v>
      </c>
      <c r="P126" s="15" t="str">
        <f>HYPERLINK("http://dx.doi.org/10.1016/j.jhazmat.2009.10.100","http://dx.doi.org/10.1016/j.jhazmat.2009.10.100")</f>
        <v>http://dx.doi.org/10.1016/j.jhazmat.2009.10.100</v>
      </c>
      <c r="Q126" s="2" t="s">
        <v>508</v>
      </c>
      <c r="R126" s="2" t="s">
        <v>13035</v>
      </c>
      <c r="S126" s="2" t="s">
        <v>12152</v>
      </c>
      <c r="T126" s="2" t="s">
        <v>905</v>
      </c>
      <c r="V126" s="23" t="s">
        <v>15399</v>
      </c>
      <c r="W126" s="23"/>
      <c r="X126" s="23"/>
      <c r="Y126" s="23" t="s">
        <v>15399</v>
      </c>
      <c r="Z126" s="23"/>
      <c r="AA126" s="23"/>
    </row>
    <row r="127" ht="12.75" customHeight="1">
      <c r="A127" s="2" t="s">
        <v>23</v>
      </c>
      <c r="B127" s="2" t="s">
        <v>188</v>
      </c>
      <c r="C127" s="2" t="s">
        <v>189</v>
      </c>
      <c r="D127" s="2" t="s">
        <v>3263</v>
      </c>
      <c r="E127" s="2" t="s">
        <v>35</v>
      </c>
      <c r="F127" s="2" t="s">
        <v>15739</v>
      </c>
      <c r="G127" s="2" t="s">
        <v>15740</v>
      </c>
      <c r="H127" s="2" t="s">
        <v>191</v>
      </c>
      <c r="I127" s="2" t="s">
        <v>12321</v>
      </c>
      <c r="J127" s="2" t="s">
        <v>12295</v>
      </c>
      <c r="K127" s="2" t="s">
        <v>14346</v>
      </c>
      <c r="L127" s="2" t="s">
        <v>14347</v>
      </c>
      <c r="M127" s="2" t="s">
        <v>15741</v>
      </c>
      <c r="N127" s="2">
        <v>2016.0</v>
      </c>
      <c r="O127" s="2" t="s">
        <v>192</v>
      </c>
      <c r="P127" s="15" t="str">
        <f>HYPERLINK("http://dx.doi.org/10.1016/j.jclepro.2015.06.100","http://dx.doi.org/10.1016/j.jclepro.2015.06.100")</f>
        <v>http://dx.doi.org/10.1016/j.jclepro.2015.06.100</v>
      </c>
      <c r="Q127" s="2" t="s">
        <v>194</v>
      </c>
      <c r="R127" s="2" t="s">
        <v>14349</v>
      </c>
      <c r="S127" s="2" t="s">
        <v>12152</v>
      </c>
      <c r="T127" s="2" t="s">
        <v>195</v>
      </c>
      <c r="V127" s="23" t="s">
        <v>15399</v>
      </c>
      <c r="W127" s="23"/>
      <c r="X127" s="23" t="s">
        <v>15399</v>
      </c>
      <c r="Y127" s="23"/>
      <c r="Z127" s="23"/>
      <c r="AA127" s="23"/>
    </row>
    <row r="128" ht="12.75" customHeight="1">
      <c r="A128" s="2" t="s">
        <v>23</v>
      </c>
      <c r="B128" s="2" t="s">
        <v>1124</v>
      </c>
      <c r="C128" s="2" t="s">
        <v>1125</v>
      </c>
      <c r="D128" s="2" t="s">
        <v>3263</v>
      </c>
      <c r="E128" s="2" t="s">
        <v>35</v>
      </c>
      <c r="F128" s="2" t="s">
        <v>12129</v>
      </c>
      <c r="G128" s="2" t="s">
        <v>15742</v>
      </c>
      <c r="H128" s="2" t="s">
        <v>1127</v>
      </c>
      <c r="I128" s="2" t="s">
        <v>13625</v>
      </c>
      <c r="J128" s="2" t="s">
        <v>12170</v>
      </c>
      <c r="K128" s="2" t="s">
        <v>15743</v>
      </c>
      <c r="L128" s="2" t="s">
        <v>15744</v>
      </c>
      <c r="M128" s="2" t="s">
        <v>12787</v>
      </c>
      <c r="N128" s="2">
        <v>2004.0</v>
      </c>
      <c r="O128" s="2" t="s">
        <v>1128</v>
      </c>
      <c r="P128" s="15" t="str">
        <f>HYPERLINK("http://dx.doi.org/10.1016/j.jaridenv.2004.03.022","http://dx.doi.org/10.1016/j.jaridenv.2004.03.022")</f>
        <v>http://dx.doi.org/10.1016/j.jaridenv.2004.03.022</v>
      </c>
      <c r="Q128" s="2" t="s">
        <v>695</v>
      </c>
      <c r="R128" s="2" t="s">
        <v>12251</v>
      </c>
      <c r="S128" s="2" t="s">
        <v>12152</v>
      </c>
      <c r="T128" s="2" t="s">
        <v>1130</v>
      </c>
      <c r="V128" s="23" t="s">
        <v>15399</v>
      </c>
      <c r="W128" s="23" t="s">
        <v>15399</v>
      </c>
      <c r="X128" s="23"/>
      <c r="Y128" s="23"/>
      <c r="Z128" s="23"/>
      <c r="AA128" s="23"/>
    </row>
    <row r="129" ht="12.75" customHeight="1">
      <c r="A129" s="2" t="s">
        <v>23</v>
      </c>
      <c r="B129" s="2" t="s">
        <v>1050</v>
      </c>
      <c r="C129" s="2" t="s">
        <v>1051</v>
      </c>
      <c r="D129" s="2" t="s">
        <v>3263</v>
      </c>
      <c r="E129" s="2" t="s">
        <v>35</v>
      </c>
      <c r="F129" s="2" t="s">
        <v>15745</v>
      </c>
      <c r="G129" s="2" t="s">
        <v>15746</v>
      </c>
      <c r="H129" s="2" t="s">
        <v>1053</v>
      </c>
      <c r="I129" s="2" t="s">
        <v>12930</v>
      </c>
      <c r="J129" s="2" t="s">
        <v>12270</v>
      </c>
      <c r="K129" s="2" t="s">
        <v>13745</v>
      </c>
      <c r="L129" s="2" t="s">
        <v>13746</v>
      </c>
      <c r="M129" s="2" t="s">
        <v>12249</v>
      </c>
      <c r="N129" s="2">
        <v>2006.0</v>
      </c>
      <c r="O129" s="2" t="s">
        <v>1054</v>
      </c>
      <c r="P129" s="15" t="str">
        <f>HYPERLINK("http://dx.doi.org/10.1016/j.gloplacha.2006.04.001","http://dx.doi.org/10.1016/j.gloplacha.2006.04.001")</f>
        <v>http://dx.doi.org/10.1016/j.gloplacha.2006.04.001</v>
      </c>
      <c r="Q129" s="2" t="s">
        <v>1056</v>
      </c>
      <c r="R129" s="2" t="s">
        <v>13748</v>
      </c>
      <c r="S129" s="2" t="s">
        <v>12152</v>
      </c>
      <c r="T129" s="2" t="s">
        <v>1057</v>
      </c>
      <c r="V129" s="23" t="s">
        <v>15399</v>
      </c>
      <c r="W129" s="23"/>
      <c r="X129" s="23"/>
      <c r="Y129" s="23"/>
      <c r="Z129" s="23"/>
      <c r="AA129" s="23" t="s">
        <v>15399</v>
      </c>
    </row>
    <row r="130" ht="12.75" customHeight="1">
      <c r="A130" s="2" t="s">
        <v>23</v>
      </c>
      <c r="B130" s="2" t="s">
        <v>281</v>
      </c>
      <c r="C130" s="2" t="s">
        <v>282</v>
      </c>
      <c r="D130" s="2" t="s">
        <v>3263</v>
      </c>
      <c r="E130" s="2" t="s">
        <v>35</v>
      </c>
      <c r="F130" s="2" t="s">
        <v>15747</v>
      </c>
      <c r="G130" s="2" t="s">
        <v>15748</v>
      </c>
      <c r="H130" s="2" t="s">
        <v>284</v>
      </c>
      <c r="I130" s="2" t="s">
        <v>12321</v>
      </c>
      <c r="J130" s="2" t="s">
        <v>2146</v>
      </c>
      <c r="K130" s="2" t="s">
        <v>15749</v>
      </c>
      <c r="L130" s="2" t="s">
        <v>15750</v>
      </c>
      <c r="M130" s="2" t="s">
        <v>12787</v>
      </c>
      <c r="N130" s="2">
        <v>2015.0</v>
      </c>
      <c r="O130" s="2" t="s">
        <v>285</v>
      </c>
      <c r="P130" s="15" t="str">
        <f>HYPERLINK("http://dx.doi.org/10.1016/j.gloenvcha.2015.08.011","http://dx.doi.org/10.1016/j.gloenvcha.2015.08.011")</f>
        <v>http://dx.doi.org/10.1016/j.gloenvcha.2015.08.011</v>
      </c>
      <c r="Q130" s="2" t="s">
        <v>287</v>
      </c>
      <c r="R130" s="2" t="s">
        <v>15751</v>
      </c>
      <c r="S130" s="2" t="s">
        <v>12152</v>
      </c>
      <c r="T130" s="2" t="s">
        <v>288</v>
      </c>
      <c r="V130" s="24" t="s">
        <v>15399</v>
      </c>
      <c r="W130" s="24" t="s">
        <v>15399</v>
      </c>
      <c r="X130" s="24"/>
      <c r="Y130" s="24"/>
      <c r="Z130" s="24"/>
      <c r="AA130" s="24"/>
    </row>
    <row r="131" ht="12.75" customHeight="1">
      <c r="A131" s="2" t="s">
        <v>23</v>
      </c>
      <c r="B131" s="2" t="s">
        <v>541</v>
      </c>
      <c r="C131" s="2" t="s">
        <v>542</v>
      </c>
      <c r="D131" s="2" t="s">
        <v>3263</v>
      </c>
      <c r="E131" s="2" t="s">
        <v>35</v>
      </c>
      <c r="F131" s="2" t="s">
        <v>15752</v>
      </c>
      <c r="G131" s="2" t="s">
        <v>15753</v>
      </c>
      <c r="H131" s="2" t="s">
        <v>543</v>
      </c>
      <c r="I131" s="2" t="s">
        <v>12321</v>
      </c>
      <c r="J131" s="2" t="s">
        <v>2146</v>
      </c>
      <c r="K131" s="2" t="s">
        <v>15749</v>
      </c>
      <c r="L131" s="2" t="s">
        <v>15750</v>
      </c>
      <c r="M131" s="2" t="s">
        <v>13127</v>
      </c>
      <c r="N131" s="2">
        <v>2014.0</v>
      </c>
      <c r="O131" s="2" t="s">
        <v>544</v>
      </c>
      <c r="P131" s="15" t="str">
        <f>HYPERLINK("http://dx.doi.org/10.1016/j.gloenvcha.2013.09.008","http://dx.doi.org/10.1016/j.gloenvcha.2013.09.008")</f>
        <v>http://dx.doi.org/10.1016/j.gloenvcha.2013.09.008</v>
      </c>
      <c r="Q131" s="2" t="s">
        <v>287</v>
      </c>
      <c r="R131" s="2" t="s">
        <v>15751</v>
      </c>
      <c r="S131" s="2" t="s">
        <v>12152</v>
      </c>
      <c r="T131" s="2" t="s">
        <v>546</v>
      </c>
      <c r="V131" s="23" t="s">
        <v>15399</v>
      </c>
      <c r="W131" s="23"/>
      <c r="X131" s="23"/>
      <c r="Y131" s="23" t="s">
        <v>15399</v>
      </c>
      <c r="Z131" s="23"/>
      <c r="AA131" s="23"/>
    </row>
    <row r="132" ht="12.75" customHeight="1">
      <c r="A132" s="2" t="s">
        <v>23</v>
      </c>
      <c r="B132" s="2" t="s">
        <v>707</v>
      </c>
      <c r="C132" s="2" t="s">
        <v>708</v>
      </c>
      <c r="D132" s="2" t="s">
        <v>3263</v>
      </c>
      <c r="E132" s="2" t="s">
        <v>35</v>
      </c>
      <c r="F132" s="2" t="s">
        <v>15754</v>
      </c>
      <c r="G132" s="2" t="s">
        <v>15755</v>
      </c>
      <c r="H132" s="2" t="s">
        <v>709</v>
      </c>
      <c r="I132" s="2" t="s">
        <v>12321</v>
      </c>
      <c r="J132" s="2" t="s">
        <v>12295</v>
      </c>
      <c r="K132" s="2" t="s">
        <v>15749</v>
      </c>
      <c r="L132" s="2" t="s">
        <v>15750</v>
      </c>
      <c r="M132" s="2" t="s">
        <v>12459</v>
      </c>
      <c r="N132" s="2">
        <v>2012.0</v>
      </c>
      <c r="O132" s="2" t="s">
        <v>710</v>
      </c>
      <c r="P132" s="15" t="str">
        <f>HYPERLINK("http://dx.doi.org/10.1016/j.gloenvcha.2011.10.009","http://dx.doi.org/10.1016/j.gloenvcha.2011.10.009")</f>
        <v>http://dx.doi.org/10.1016/j.gloenvcha.2011.10.009</v>
      </c>
      <c r="Q132" s="2" t="s">
        <v>287</v>
      </c>
      <c r="R132" s="2" t="s">
        <v>15751</v>
      </c>
      <c r="S132" s="2" t="s">
        <v>12152</v>
      </c>
      <c r="T132" s="2" t="s">
        <v>712</v>
      </c>
      <c r="V132" s="23" t="s">
        <v>15399</v>
      </c>
      <c r="W132" s="23" t="s">
        <v>15399</v>
      </c>
      <c r="X132" s="23"/>
      <c r="Y132" s="23"/>
      <c r="Z132" s="23"/>
      <c r="AA132" s="23"/>
    </row>
    <row r="133" ht="12.75" customHeight="1">
      <c r="A133" s="2" t="s">
        <v>23</v>
      </c>
      <c r="B133" s="2" t="s">
        <v>1132</v>
      </c>
      <c r="C133" s="2" t="s">
        <v>1133</v>
      </c>
      <c r="D133" s="2" t="s">
        <v>3263</v>
      </c>
      <c r="E133" s="2" t="s">
        <v>35</v>
      </c>
      <c r="F133" s="2" t="s">
        <v>15756</v>
      </c>
      <c r="G133" s="2" t="s">
        <v>15757</v>
      </c>
      <c r="H133" s="2" t="s">
        <v>1134</v>
      </c>
      <c r="I133" s="2" t="s">
        <v>12321</v>
      </c>
      <c r="J133" s="2" t="s">
        <v>2146</v>
      </c>
      <c r="K133" s="2" t="s">
        <v>15749</v>
      </c>
      <c r="L133" s="2" t="s">
        <v>15750</v>
      </c>
      <c r="M133" s="2" t="s">
        <v>13517</v>
      </c>
      <c r="N133" s="2">
        <v>2004.0</v>
      </c>
      <c r="O133" s="2" t="s">
        <v>1135</v>
      </c>
      <c r="P133" s="15" t="str">
        <f>HYPERLINK("http://dx.doi.org/10.1016/j.gloenvcha.2004.04.008","http://dx.doi.org/10.1016/j.gloenvcha.2004.04.008")</f>
        <v>http://dx.doi.org/10.1016/j.gloenvcha.2004.04.008</v>
      </c>
      <c r="Q133" s="2" t="s">
        <v>287</v>
      </c>
      <c r="R133" s="2" t="s">
        <v>15751</v>
      </c>
      <c r="S133" s="2" t="s">
        <v>12152</v>
      </c>
      <c r="T133" s="2" t="s">
        <v>1137</v>
      </c>
      <c r="V133" s="23" t="s">
        <v>15399</v>
      </c>
      <c r="W133" s="23"/>
      <c r="X133" s="23"/>
      <c r="Y133" s="23"/>
      <c r="Z133" s="23"/>
      <c r="AA133" s="23" t="s">
        <v>15399</v>
      </c>
    </row>
    <row r="134" ht="12.75" customHeight="1">
      <c r="A134" s="2" t="s">
        <v>23</v>
      </c>
      <c r="B134" s="2" t="s">
        <v>745</v>
      </c>
      <c r="C134" s="2" t="s">
        <v>746</v>
      </c>
      <c r="D134" s="2" t="s">
        <v>3263</v>
      </c>
      <c r="E134" s="2" t="s">
        <v>35</v>
      </c>
      <c r="F134" s="2" t="s">
        <v>15758</v>
      </c>
      <c r="G134" s="2" t="s">
        <v>12129</v>
      </c>
      <c r="H134" s="2" t="s">
        <v>748</v>
      </c>
      <c r="I134" s="2" t="s">
        <v>12321</v>
      </c>
      <c r="J134" s="2" t="s">
        <v>12295</v>
      </c>
      <c r="K134" s="2" t="s">
        <v>747</v>
      </c>
      <c r="L134" s="2" t="s">
        <v>4384</v>
      </c>
      <c r="M134" s="2" t="s">
        <v>12561</v>
      </c>
      <c r="N134" s="2">
        <v>2011.0</v>
      </c>
      <c r="O134" s="2" t="s">
        <v>749</v>
      </c>
      <c r="P134" s="15" t="str">
        <f>HYPERLINK("http://dx.doi.org/10.1016/j.foodpol.2010.11.015","http://dx.doi.org/10.1016/j.foodpol.2010.11.015")</f>
        <v>http://dx.doi.org/10.1016/j.foodpol.2010.11.015</v>
      </c>
      <c r="Q134" s="2" t="s">
        <v>751</v>
      </c>
      <c r="R134" s="2" t="s">
        <v>15759</v>
      </c>
      <c r="S134" s="2" t="s">
        <v>12152</v>
      </c>
      <c r="T134" s="2" t="s">
        <v>752</v>
      </c>
      <c r="V134" s="23" t="s">
        <v>15399</v>
      </c>
      <c r="W134" s="23" t="s">
        <v>15399</v>
      </c>
      <c r="X134" s="23"/>
      <c r="Y134" s="23"/>
      <c r="Z134" s="23"/>
      <c r="AA134" s="23"/>
    </row>
    <row r="135" ht="12.75" customHeight="1">
      <c r="A135" s="2" t="s">
        <v>23</v>
      </c>
      <c r="B135" s="2" t="s">
        <v>600</v>
      </c>
      <c r="C135" s="2" t="s">
        <v>601</v>
      </c>
      <c r="D135" s="2" t="s">
        <v>3263</v>
      </c>
      <c r="E135" s="2" t="s">
        <v>27</v>
      </c>
      <c r="F135" s="2" t="s">
        <v>15760</v>
      </c>
      <c r="G135" s="2" t="s">
        <v>15761</v>
      </c>
      <c r="H135" s="2" t="s">
        <v>603</v>
      </c>
      <c r="I135" s="2" t="s">
        <v>12269</v>
      </c>
      <c r="J135" s="2" t="s">
        <v>12270</v>
      </c>
      <c r="K135" s="2" t="s">
        <v>15762</v>
      </c>
      <c r="L135" s="2" t="s">
        <v>15763</v>
      </c>
      <c r="M135" s="2" t="s">
        <v>12561</v>
      </c>
      <c r="N135" s="2">
        <v>2013.0</v>
      </c>
      <c r="O135" s="2" t="s">
        <v>604</v>
      </c>
      <c r="P135" s="15" t="str">
        <f>HYPERLINK("http://dx.doi.org/10.1016/j.esd.2012.07.004","http://dx.doi.org/10.1016/j.esd.2012.07.004")</f>
        <v>http://dx.doi.org/10.1016/j.esd.2012.07.004</v>
      </c>
      <c r="Q135" s="2" t="s">
        <v>606</v>
      </c>
      <c r="R135" s="2" t="s">
        <v>15764</v>
      </c>
      <c r="S135" s="2" t="s">
        <v>12152</v>
      </c>
      <c r="T135" s="2" t="s">
        <v>607</v>
      </c>
      <c r="V135" s="23" t="s">
        <v>15399</v>
      </c>
      <c r="W135" s="23" t="s">
        <v>15399</v>
      </c>
      <c r="X135" s="23"/>
      <c r="Y135" s="23"/>
      <c r="Z135" s="23"/>
      <c r="AA135" s="23"/>
    </row>
    <row r="136" ht="12.75" customHeight="1">
      <c r="A136" s="2" t="s">
        <v>23</v>
      </c>
      <c r="B136" s="2" t="s">
        <v>1075</v>
      </c>
      <c r="C136" s="2" t="s">
        <v>1076</v>
      </c>
      <c r="D136" s="2" t="s">
        <v>3263</v>
      </c>
      <c r="E136" s="2" t="s">
        <v>266</v>
      </c>
      <c r="F136" s="2" t="s">
        <v>15765</v>
      </c>
      <c r="G136" s="2" t="s">
        <v>15766</v>
      </c>
      <c r="H136" s="2" t="s">
        <v>1078</v>
      </c>
      <c r="I136" s="2" t="s">
        <v>12294</v>
      </c>
      <c r="J136" s="2" t="s">
        <v>12295</v>
      </c>
      <c r="K136" s="2" t="s">
        <v>15767</v>
      </c>
      <c r="L136" s="2" t="s">
        <v>15768</v>
      </c>
      <c r="M136" s="2" t="s">
        <v>12301</v>
      </c>
      <c r="N136" s="2">
        <v>2006.0</v>
      </c>
      <c r="O136" s="2" t="s">
        <v>1079</v>
      </c>
      <c r="P136" s="15" t="str">
        <f>HYPERLINK("http://dx.doi.org/10.1016/j.envint.2006.05.002","http://dx.doi.org/10.1016/j.envint.2006.05.002")</f>
        <v>http://dx.doi.org/10.1016/j.envint.2006.05.002</v>
      </c>
      <c r="Q136" s="2" t="s">
        <v>65</v>
      </c>
      <c r="R136" s="2" t="s">
        <v>12251</v>
      </c>
      <c r="S136" s="2" t="s">
        <v>12152</v>
      </c>
      <c r="T136" s="2" t="s">
        <v>1081</v>
      </c>
      <c r="V136" s="23" t="s">
        <v>15399</v>
      </c>
      <c r="W136" s="23"/>
      <c r="X136" s="23"/>
      <c r="Y136" s="23" t="s">
        <v>15399</v>
      </c>
      <c r="Z136" s="23"/>
      <c r="AA136" s="23"/>
    </row>
    <row r="137" ht="12.75" customHeight="1">
      <c r="A137" s="2" t="s">
        <v>23</v>
      </c>
      <c r="B137" s="2" t="s">
        <v>222</v>
      </c>
      <c r="C137" s="2" t="s">
        <v>223</v>
      </c>
      <c r="D137" s="2" t="s">
        <v>3263</v>
      </c>
      <c r="E137" s="2" t="s">
        <v>35</v>
      </c>
      <c r="F137" s="2" t="s">
        <v>15769</v>
      </c>
      <c r="G137" s="2" t="s">
        <v>15770</v>
      </c>
      <c r="H137" s="2" t="s">
        <v>225</v>
      </c>
      <c r="I137" s="2" t="s">
        <v>13625</v>
      </c>
      <c r="J137" s="2" t="s">
        <v>12170</v>
      </c>
      <c r="K137" s="2" t="s">
        <v>15191</v>
      </c>
      <c r="L137" s="2" t="s">
        <v>15192</v>
      </c>
      <c r="M137" s="2" t="s">
        <v>15384</v>
      </c>
      <c r="N137" s="2">
        <v>2016.0</v>
      </c>
      <c r="O137" s="2" t="s">
        <v>226</v>
      </c>
      <c r="P137" s="15" t="str">
        <f>HYPERLINK("http://dx.doi.org/10.1016/j.ecss.2016.01.036","http://dx.doi.org/10.1016/j.ecss.2016.01.036")</f>
        <v>http://dx.doi.org/10.1016/j.ecss.2016.01.036</v>
      </c>
      <c r="Q137" s="2" t="s">
        <v>228</v>
      </c>
      <c r="R137" s="2" t="s">
        <v>228</v>
      </c>
      <c r="S137" s="2" t="s">
        <v>12152</v>
      </c>
      <c r="T137" s="2" t="s">
        <v>229</v>
      </c>
      <c r="V137" s="23" t="s">
        <v>15399</v>
      </c>
      <c r="W137" s="23"/>
      <c r="X137" s="23"/>
      <c r="Y137" s="23" t="s">
        <v>15399</v>
      </c>
      <c r="Z137" s="23"/>
      <c r="AA137" s="23"/>
    </row>
    <row r="138" ht="12.75" customHeight="1">
      <c r="A138" s="2" t="s">
        <v>23</v>
      </c>
      <c r="B138" s="2" t="s">
        <v>698</v>
      </c>
      <c r="C138" s="2" t="s">
        <v>699</v>
      </c>
      <c r="D138" s="2" t="s">
        <v>3263</v>
      </c>
      <c r="E138" s="2" t="s">
        <v>35</v>
      </c>
      <c r="F138" s="2" t="s">
        <v>15771</v>
      </c>
      <c r="G138" s="2" t="s">
        <v>15772</v>
      </c>
      <c r="H138" s="2" t="s">
        <v>701</v>
      </c>
      <c r="I138" s="2" t="s">
        <v>12930</v>
      </c>
      <c r="J138" s="2" t="s">
        <v>12270</v>
      </c>
      <c r="K138" s="2" t="s">
        <v>12416</v>
      </c>
      <c r="L138" s="2" t="s">
        <v>12417</v>
      </c>
      <c r="M138" s="2" t="s">
        <v>12436</v>
      </c>
      <c r="N138" s="2">
        <v>2012.0</v>
      </c>
      <c r="O138" s="2" t="s">
        <v>702</v>
      </c>
      <c r="P138" s="15" t="str">
        <f>HYPERLINK("http://dx.doi.org/10.1016/j.ecolind.2011.04.023","http://dx.doi.org/10.1016/j.ecolind.2011.04.023")</f>
        <v>http://dx.doi.org/10.1016/j.ecolind.2011.04.023</v>
      </c>
      <c r="Q138" s="2" t="s">
        <v>704</v>
      </c>
      <c r="R138" s="2" t="s">
        <v>12376</v>
      </c>
      <c r="S138" s="2" t="s">
        <v>12152</v>
      </c>
      <c r="T138" s="2" t="s">
        <v>705</v>
      </c>
      <c r="V138" s="23" t="s">
        <v>15399</v>
      </c>
      <c r="W138" s="23"/>
      <c r="X138" s="23"/>
      <c r="Y138" s="23" t="s">
        <v>15399</v>
      </c>
      <c r="Z138" s="23"/>
      <c r="AA138" s="23"/>
    </row>
    <row r="139" ht="12.75" customHeight="1">
      <c r="A139" s="2" t="s">
        <v>23</v>
      </c>
      <c r="B139" s="2" t="s">
        <v>847</v>
      </c>
      <c r="C139" s="2" t="s">
        <v>848</v>
      </c>
      <c r="D139" s="2" t="s">
        <v>3263</v>
      </c>
      <c r="E139" s="2" t="s">
        <v>35</v>
      </c>
      <c r="F139" s="2" t="s">
        <v>15773</v>
      </c>
      <c r="G139" s="2" t="s">
        <v>15774</v>
      </c>
      <c r="H139" s="2" t="s">
        <v>850</v>
      </c>
      <c r="I139" s="2" t="s">
        <v>12294</v>
      </c>
      <c r="J139" s="2" t="s">
        <v>12295</v>
      </c>
      <c r="K139" s="2" t="s">
        <v>15775</v>
      </c>
      <c r="L139" s="2" t="s">
        <v>15776</v>
      </c>
      <c r="M139" s="2" t="s">
        <v>12275</v>
      </c>
      <c r="N139" s="2">
        <v>2010.0</v>
      </c>
      <c r="O139" s="2" t="s">
        <v>851</v>
      </c>
      <c r="P139" s="15" t="str">
        <f>HYPERLINK("http://dx.doi.org/10.1016/j.dsr2.2010.02.018","http://dx.doi.org/10.1016/j.dsr2.2010.02.018")</f>
        <v>http://dx.doi.org/10.1016/j.dsr2.2010.02.018</v>
      </c>
      <c r="Q139" s="2" t="s">
        <v>219</v>
      </c>
      <c r="R139" s="2" t="s">
        <v>219</v>
      </c>
      <c r="S139" s="2" t="s">
        <v>12152</v>
      </c>
      <c r="T139" s="2" t="s">
        <v>853</v>
      </c>
      <c r="V139" s="23" t="s">
        <v>15399</v>
      </c>
      <c r="W139" s="23"/>
      <c r="X139" s="23"/>
      <c r="Y139" s="23"/>
      <c r="Z139" s="23"/>
      <c r="AA139" s="23" t="s">
        <v>15399</v>
      </c>
    </row>
    <row r="140" ht="12.75" customHeight="1">
      <c r="A140" s="2" t="s">
        <v>23</v>
      </c>
      <c r="B140" s="2" t="s">
        <v>570</v>
      </c>
      <c r="C140" s="2" t="s">
        <v>571</v>
      </c>
      <c r="D140" s="2" t="s">
        <v>3263</v>
      </c>
      <c r="E140" s="2" t="s">
        <v>27</v>
      </c>
      <c r="F140" s="2" t="s">
        <v>12129</v>
      </c>
      <c r="G140" s="2" t="s">
        <v>15777</v>
      </c>
      <c r="H140" s="2" t="s">
        <v>573</v>
      </c>
      <c r="I140" s="2" t="s">
        <v>12321</v>
      </c>
      <c r="J140" s="2" t="s">
        <v>12295</v>
      </c>
      <c r="K140" s="2" t="s">
        <v>15778</v>
      </c>
      <c r="L140" s="2" t="s">
        <v>15779</v>
      </c>
      <c r="M140" s="2" t="s">
        <v>13517</v>
      </c>
      <c r="N140" s="2">
        <v>2013.0</v>
      </c>
      <c r="O140" s="2" t="s">
        <v>574</v>
      </c>
      <c r="P140" s="15" t="str">
        <f>HYPERLINK("http://dx.doi.org/10.1016/j.cosust.2013.04.003","http://dx.doi.org/10.1016/j.cosust.2013.04.003")</f>
        <v>http://dx.doi.org/10.1016/j.cosust.2013.04.003</v>
      </c>
      <c r="Q140" s="2" t="s">
        <v>576</v>
      </c>
      <c r="R140" s="2" t="s">
        <v>15413</v>
      </c>
      <c r="S140" s="2" t="s">
        <v>12152</v>
      </c>
      <c r="T140" s="2" t="s">
        <v>577</v>
      </c>
      <c r="V140" s="23" t="s">
        <v>15399</v>
      </c>
      <c r="W140" s="23" t="s">
        <v>15399</v>
      </c>
      <c r="X140" s="23"/>
      <c r="Y140" s="23"/>
      <c r="Z140" s="23"/>
      <c r="AA140" s="23"/>
    </row>
    <row r="141" ht="12.75" customHeight="1">
      <c r="A141" s="2" t="s">
        <v>23</v>
      </c>
      <c r="B141" s="2" t="s">
        <v>644</v>
      </c>
      <c r="C141" s="2" t="s">
        <v>645</v>
      </c>
      <c r="D141" s="2" t="s">
        <v>3263</v>
      </c>
      <c r="E141" s="2" t="s">
        <v>27</v>
      </c>
      <c r="F141" s="2" t="s">
        <v>12129</v>
      </c>
      <c r="G141" s="2" t="s">
        <v>15780</v>
      </c>
      <c r="H141" s="2" t="s">
        <v>646</v>
      </c>
      <c r="I141" s="2" t="s">
        <v>12321</v>
      </c>
      <c r="J141" s="2" t="s">
        <v>12295</v>
      </c>
      <c r="K141" s="2" t="s">
        <v>15778</v>
      </c>
      <c r="L141" s="2" t="s">
        <v>15779</v>
      </c>
      <c r="M141" s="2" t="s">
        <v>12764</v>
      </c>
      <c r="N141" s="2">
        <v>2012.0</v>
      </c>
      <c r="O141" s="2" t="s">
        <v>647</v>
      </c>
      <c r="P141" s="15" t="str">
        <f>HYPERLINK("http://dx.doi.org/10.1016/j.cosust.2012.06.006","http://dx.doi.org/10.1016/j.cosust.2012.06.006")</f>
        <v>http://dx.doi.org/10.1016/j.cosust.2012.06.006</v>
      </c>
      <c r="Q141" s="2" t="s">
        <v>576</v>
      </c>
      <c r="R141" s="2" t="s">
        <v>15413</v>
      </c>
      <c r="S141" s="2" t="s">
        <v>12152</v>
      </c>
      <c r="T141" s="2" t="s">
        <v>649</v>
      </c>
      <c r="V141" s="23" t="s">
        <v>15399</v>
      </c>
      <c r="W141" s="23" t="s">
        <v>15399</v>
      </c>
      <c r="X141" s="23"/>
      <c r="Y141" s="23"/>
      <c r="Z141" s="23"/>
      <c r="AA141" s="23"/>
    </row>
    <row r="142" ht="12.75" customHeight="1">
      <c r="A142" s="2" t="s">
        <v>23</v>
      </c>
      <c r="B142" s="2" t="s">
        <v>246</v>
      </c>
      <c r="C142" s="2" t="s">
        <v>247</v>
      </c>
      <c r="D142" s="2" t="s">
        <v>3263</v>
      </c>
      <c r="E142" s="2" t="s">
        <v>35</v>
      </c>
      <c r="F142" s="2" t="s">
        <v>15781</v>
      </c>
      <c r="G142" s="2" t="s">
        <v>15782</v>
      </c>
      <c r="H142" s="2" t="s">
        <v>249</v>
      </c>
      <c r="I142" s="2" t="s">
        <v>12321</v>
      </c>
      <c r="J142" s="2" t="s">
        <v>12295</v>
      </c>
      <c r="K142" s="2" t="s">
        <v>12804</v>
      </c>
      <c r="L142" s="2" t="s">
        <v>12805</v>
      </c>
      <c r="M142" s="2" t="s">
        <v>13127</v>
      </c>
      <c r="N142" s="2">
        <v>2016.0</v>
      </c>
      <c r="O142" s="2" t="s">
        <v>250</v>
      </c>
      <c r="P142" s="15" t="str">
        <f>HYPERLINK("http://dx.doi.org/10.1016/j.biocon.2015.10.023","http://dx.doi.org/10.1016/j.biocon.2015.10.023")</f>
        <v>http://dx.doi.org/10.1016/j.biocon.2015.10.023</v>
      </c>
      <c r="Q142" s="2" t="s">
        <v>252</v>
      </c>
      <c r="R142" s="2" t="s">
        <v>12376</v>
      </c>
      <c r="S142" s="2" t="s">
        <v>12152</v>
      </c>
      <c r="T142" s="2" t="s">
        <v>253</v>
      </c>
      <c r="V142" s="23" t="s">
        <v>15399</v>
      </c>
      <c r="W142" s="23" t="s">
        <v>15399</v>
      </c>
      <c r="X142" s="23"/>
      <c r="Y142" s="23"/>
      <c r="Z142" s="23"/>
      <c r="AA142" s="23"/>
    </row>
    <row r="143" ht="12.75" customHeight="1">
      <c r="A143" s="2" t="s">
        <v>23</v>
      </c>
      <c r="B143" s="2" t="s">
        <v>831</v>
      </c>
      <c r="C143" s="2" t="s">
        <v>832</v>
      </c>
      <c r="D143" s="2" t="s">
        <v>3263</v>
      </c>
      <c r="E143" s="2" t="s">
        <v>35</v>
      </c>
      <c r="F143" s="2" t="s">
        <v>15783</v>
      </c>
      <c r="G143" s="2" t="s">
        <v>15784</v>
      </c>
      <c r="H143" s="2" t="s">
        <v>834</v>
      </c>
      <c r="I143" s="2" t="s">
        <v>12269</v>
      </c>
      <c r="J143" s="2" t="s">
        <v>12270</v>
      </c>
      <c r="K143" s="2" t="s">
        <v>15785</v>
      </c>
      <c r="L143" s="2" t="s">
        <v>15786</v>
      </c>
      <c r="M143" s="2" t="s">
        <v>15787</v>
      </c>
      <c r="N143" s="2">
        <v>2010.0</v>
      </c>
      <c r="O143" s="2" t="s">
        <v>835</v>
      </c>
      <c r="P143" s="15" t="str">
        <f>HYPERLINK("http://dx.doi.org/10.1016/j.aquatox.2010.05.019","http://dx.doi.org/10.1016/j.aquatox.2010.05.019")</f>
        <v>http://dx.doi.org/10.1016/j.aquatox.2010.05.019</v>
      </c>
      <c r="Q143" s="2" t="s">
        <v>837</v>
      </c>
      <c r="R143" s="2" t="s">
        <v>837</v>
      </c>
      <c r="S143" s="2" t="s">
        <v>12152</v>
      </c>
      <c r="T143" s="2" t="s">
        <v>838</v>
      </c>
      <c r="V143" s="23" t="s">
        <v>15399</v>
      </c>
      <c r="W143" s="23"/>
      <c r="X143" s="23"/>
      <c r="Y143" s="23" t="s">
        <v>15399</v>
      </c>
      <c r="Z143" s="23"/>
      <c r="AA143" s="23"/>
    </row>
    <row r="144" ht="12.75" customHeight="1">
      <c r="A144" s="2" t="s">
        <v>23</v>
      </c>
      <c r="B144" s="2" t="s">
        <v>944</v>
      </c>
      <c r="C144" s="2" t="s">
        <v>945</v>
      </c>
      <c r="D144" s="2" t="s">
        <v>3263</v>
      </c>
      <c r="E144" s="2" t="s">
        <v>35</v>
      </c>
      <c r="F144" s="2" t="s">
        <v>15788</v>
      </c>
      <c r="G144" s="2" t="s">
        <v>15789</v>
      </c>
      <c r="H144" s="2" t="s">
        <v>947</v>
      </c>
      <c r="I144" s="2" t="s">
        <v>12321</v>
      </c>
      <c r="J144" s="2" t="s">
        <v>12295</v>
      </c>
      <c r="K144" s="2" t="s">
        <v>12457</v>
      </c>
      <c r="L144" s="2" t="s">
        <v>12458</v>
      </c>
      <c r="M144" s="2" t="s">
        <v>12764</v>
      </c>
      <c r="N144" s="2">
        <v>2009.0</v>
      </c>
      <c r="O144" s="2" t="s">
        <v>948</v>
      </c>
      <c r="P144" s="15" t="str">
        <f>HYPERLINK("http://dx.doi.org/10.1016/j.apgeog.2008.10.004","http://dx.doi.org/10.1016/j.apgeog.2008.10.004")</f>
        <v>http://dx.doi.org/10.1016/j.apgeog.2008.10.004</v>
      </c>
      <c r="Q144" s="2" t="s">
        <v>950</v>
      </c>
      <c r="R144" s="2" t="s">
        <v>950</v>
      </c>
      <c r="S144" s="2" t="s">
        <v>12152</v>
      </c>
      <c r="T144" s="2" t="s">
        <v>951</v>
      </c>
      <c r="V144" s="23" t="s">
        <v>15399</v>
      </c>
      <c r="W144" s="23" t="s">
        <v>15399</v>
      </c>
      <c r="X144" s="23"/>
      <c r="Y144" s="23"/>
      <c r="Z144" s="23"/>
      <c r="AA144" s="23"/>
    </row>
    <row r="145" ht="12.75" customHeight="1">
      <c r="A145" s="2" t="s">
        <v>23</v>
      </c>
      <c r="B145" s="2" t="s">
        <v>988</v>
      </c>
      <c r="C145" s="2" t="s">
        <v>989</v>
      </c>
      <c r="D145" s="2" t="s">
        <v>3263</v>
      </c>
      <c r="E145" s="2" t="s">
        <v>35</v>
      </c>
      <c r="F145" s="2" t="s">
        <v>12129</v>
      </c>
      <c r="G145" s="2" t="s">
        <v>15790</v>
      </c>
      <c r="H145" s="2" t="s">
        <v>991</v>
      </c>
      <c r="I145" s="2" t="s">
        <v>15710</v>
      </c>
      <c r="J145" s="2" t="s">
        <v>13961</v>
      </c>
      <c r="K145" s="2" t="s">
        <v>15791</v>
      </c>
      <c r="L145" s="2" t="s">
        <v>15792</v>
      </c>
      <c r="M145" s="2" t="s">
        <v>12787</v>
      </c>
      <c r="N145" s="2">
        <v>2008.0</v>
      </c>
      <c r="O145" s="2" t="s">
        <v>992</v>
      </c>
      <c r="P145" s="15" t="str">
        <f>HYPERLINK("http://dx.doi.org/10.1016/j.amepre.2008.08.021","http://dx.doi.org/10.1016/j.amepre.2008.08.021")</f>
        <v>http://dx.doi.org/10.1016/j.amepre.2008.08.021</v>
      </c>
      <c r="Q145" s="2" t="s">
        <v>994</v>
      </c>
      <c r="R145" s="2" t="s">
        <v>15793</v>
      </c>
      <c r="S145" s="2" t="s">
        <v>12152</v>
      </c>
      <c r="T145" s="2" t="s">
        <v>995</v>
      </c>
      <c r="V145" s="23" t="s">
        <v>15399</v>
      </c>
      <c r="W145" s="23"/>
      <c r="X145" s="23"/>
      <c r="Y145" s="23"/>
      <c r="Z145" s="23"/>
      <c r="AA145" s="23" t="s">
        <v>15399</v>
      </c>
    </row>
    <row r="146" ht="12.75" customHeight="1">
      <c r="A146" s="2" t="s">
        <v>23</v>
      </c>
      <c r="B146" s="2" t="s">
        <v>548</v>
      </c>
      <c r="C146" s="2" t="s">
        <v>549</v>
      </c>
      <c r="D146" s="2" t="s">
        <v>3263</v>
      </c>
      <c r="E146" s="2" t="s">
        <v>27</v>
      </c>
      <c r="F146" s="2" t="s">
        <v>15794</v>
      </c>
      <c r="G146" s="2" t="s">
        <v>15795</v>
      </c>
      <c r="H146" s="2" t="s">
        <v>551</v>
      </c>
      <c r="I146" s="2" t="s">
        <v>12269</v>
      </c>
      <c r="J146" s="2" t="s">
        <v>12270</v>
      </c>
      <c r="K146" s="2" t="s">
        <v>15796</v>
      </c>
      <c r="L146" s="2" t="s">
        <v>15797</v>
      </c>
      <c r="M146" s="2" t="s">
        <v>12764</v>
      </c>
      <c r="N146" s="2">
        <v>2013.0</v>
      </c>
      <c r="O146" s="2" t="s">
        <v>552</v>
      </c>
      <c r="P146" s="15" t="str">
        <f>HYPERLINK("http://dx.doi.org/10.1016/j.agwat.2013.08.007","http://dx.doi.org/10.1016/j.agwat.2013.08.007")</f>
        <v>http://dx.doi.org/10.1016/j.agwat.2013.08.007</v>
      </c>
      <c r="Q146" s="2" t="s">
        <v>554</v>
      </c>
      <c r="R146" s="2" t="s">
        <v>15798</v>
      </c>
      <c r="S146" s="2" t="s">
        <v>12152</v>
      </c>
      <c r="T146" s="2" t="s">
        <v>555</v>
      </c>
      <c r="V146" s="23" t="s">
        <v>15399</v>
      </c>
      <c r="W146" s="23"/>
      <c r="X146" s="23"/>
      <c r="Y146" s="23" t="s">
        <v>15399</v>
      </c>
      <c r="Z146" s="23"/>
      <c r="AA146" s="23"/>
    </row>
    <row r="147" ht="12.75" customHeight="1">
      <c r="A147" s="2" t="s">
        <v>23</v>
      </c>
      <c r="B147" s="2" t="s">
        <v>1012</v>
      </c>
      <c r="C147" s="2" t="s">
        <v>1013</v>
      </c>
      <c r="D147" s="2" t="s">
        <v>3263</v>
      </c>
      <c r="E147" s="2" t="s">
        <v>35</v>
      </c>
      <c r="F147" s="2" t="s">
        <v>15799</v>
      </c>
      <c r="G147" s="2" t="s">
        <v>15800</v>
      </c>
      <c r="H147" s="2" t="s">
        <v>1015</v>
      </c>
      <c r="I147" s="2" t="s">
        <v>15801</v>
      </c>
      <c r="J147" s="2" t="s">
        <v>15802</v>
      </c>
      <c r="K147" s="2" t="s">
        <v>15803</v>
      </c>
      <c r="L147" s="2" t="s">
        <v>15804</v>
      </c>
      <c r="M147" s="2" t="s">
        <v>12561</v>
      </c>
      <c r="N147" s="2">
        <v>2008.0</v>
      </c>
      <c r="O147" s="2" t="s">
        <v>1016</v>
      </c>
      <c r="P147" s="15" t="str">
        <f>HYPERLINK("http://dx.doi.org/10.1007/s11625-008-0042-4","http://dx.doi.org/10.1007/s11625-008-0042-4")</f>
        <v>http://dx.doi.org/10.1007/s11625-008-0042-4</v>
      </c>
      <c r="Q147" s="2" t="s">
        <v>576</v>
      </c>
      <c r="R147" s="2" t="s">
        <v>15413</v>
      </c>
      <c r="S147" s="2" t="s">
        <v>12152</v>
      </c>
      <c r="T147" s="2" t="s">
        <v>1018</v>
      </c>
      <c r="V147" s="23" t="s">
        <v>15399</v>
      </c>
      <c r="W147" s="23"/>
      <c r="X147" s="23"/>
      <c r="Y147" s="23"/>
      <c r="Z147" s="23"/>
      <c r="AA147" s="23" t="s">
        <v>15399</v>
      </c>
    </row>
    <row r="148" ht="12.75" customHeight="1">
      <c r="A148" s="2" t="s">
        <v>23</v>
      </c>
      <c r="B148" s="2" t="s">
        <v>463</v>
      </c>
      <c r="C148" s="2" t="s">
        <v>464</v>
      </c>
      <c r="D148" s="2" t="s">
        <v>3263</v>
      </c>
      <c r="E148" s="2" t="s">
        <v>35</v>
      </c>
      <c r="F148" s="2" t="s">
        <v>15805</v>
      </c>
      <c r="G148" s="2" t="s">
        <v>15806</v>
      </c>
      <c r="H148" s="2" t="s">
        <v>466</v>
      </c>
      <c r="I148" s="2" t="s">
        <v>15807</v>
      </c>
      <c r="J148" s="2" t="s">
        <v>13894</v>
      </c>
      <c r="K148" s="2" t="s">
        <v>13898</v>
      </c>
      <c r="L148" s="2" t="s">
        <v>13899</v>
      </c>
      <c r="M148" s="2" t="s">
        <v>12787</v>
      </c>
      <c r="N148" s="2">
        <v>2014.0</v>
      </c>
      <c r="O148" s="2" t="s">
        <v>467</v>
      </c>
      <c r="P148" s="15" t="str">
        <f>HYPERLINK("http://dx.doi.org/10.1007/s11270-014-2186-4","http://dx.doi.org/10.1007/s11270-014-2186-4")</f>
        <v>http://dx.doi.org/10.1007/s11270-014-2186-4</v>
      </c>
      <c r="Q148" s="2" t="s">
        <v>469</v>
      </c>
      <c r="R148" s="2" t="s">
        <v>13901</v>
      </c>
      <c r="S148" s="2" t="s">
        <v>12152</v>
      </c>
      <c r="T148" s="2" t="s">
        <v>470</v>
      </c>
      <c r="V148" s="23" t="s">
        <v>15399</v>
      </c>
      <c r="W148" s="23"/>
      <c r="X148" s="23"/>
      <c r="Y148" s="23" t="s">
        <v>15399</v>
      </c>
      <c r="Z148" s="23"/>
      <c r="AA148" s="23"/>
    </row>
    <row r="149" ht="12.75" customHeight="1">
      <c r="A149" s="2" t="s">
        <v>23</v>
      </c>
      <c r="B149" s="2" t="s">
        <v>263</v>
      </c>
      <c r="C149" s="2" t="s">
        <v>264</v>
      </c>
      <c r="D149" s="2" t="s">
        <v>3263</v>
      </c>
      <c r="E149" s="2" t="s">
        <v>266</v>
      </c>
      <c r="F149" s="2" t="s">
        <v>15808</v>
      </c>
      <c r="G149" s="2" t="s">
        <v>15809</v>
      </c>
      <c r="H149" s="2" t="s">
        <v>267</v>
      </c>
      <c r="I149" s="2" t="s">
        <v>14027</v>
      </c>
      <c r="J149" s="2" t="s">
        <v>14028</v>
      </c>
      <c r="K149" s="2" t="s">
        <v>15810</v>
      </c>
      <c r="L149" s="2" t="s">
        <v>15811</v>
      </c>
      <c r="M149" s="2" t="s">
        <v>12764</v>
      </c>
      <c r="N149" s="2">
        <v>2015.0</v>
      </c>
      <c r="O149" s="2" t="s">
        <v>268</v>
      </c>
      <c r="P149" s="15" t="str">
        <f>HYPERLINK("http://dx.doi.org/10.1007/s10336-015-1155-z","http://dx.doi.org/10.1007/s10336-015-1155-z")</f>
        <v>http://dx.doi.org/10.1007/s10336-015-1155-z</v>
      </c>
      <c r="Q149" s="2" t="s">
        <v>270</v>
      </c>
      <c r="R149" s="2" t="s">
        <v>12509</v>
      </c>
      <c r="S149" s="2" t="s">
        <v>12152</v>
      </c>
      <c r="T149" s="2" t="s">
        <v>271</v>
      </c>
      <c r="V149" s="23" t="s">
        <v>15399</v>
      </c>
      <c r="W149" s="23"/>
      <c r="X149" s="23"/>
      <c r="Y149" s="23"/>
      <c r="Z149" s="23" t="s">
        <v>15399</v>
      </c>
      <c r="AA149" s="23"/>
    </row>
    <row r="150" ht="12.75" customHeight="1">
      <c r="A150" s="2" t="s">
        <v>23</v>
      </c>
      <c r="B150" s="2" t="s">
        <v>997</v>
      </c>
      <c r="C150" s="2" t="s">
        <v>998</v>
      </c>
      <c r="D150" s="2" t="s">
        <v>3263</v>
      </c>
      <c r="E150" s="2" t="s">
        <v>35</v>
      </c>
      <c r="F150" s="2" t="s">
        <v>15812</v>
      </c>
      <c r="G150" s="2" t="s">
        <v>15813</v>
      </c>
      <c r="H150" s="2" t="s">
        <v>1000</v>
      </c>
      <c r="I150" s="2" t="s">
        <v>13181</v>
      </c>
      <c r="J150" s="2" t="s">
        <v>13961</v>
      </c>
      <c r="K150" s="2" t="s">
        <v>999</v>
      </c>
      <c r="L150" s="2" t="s">
        <v>4186</v>
      </c>
      <c r="M150" s="2" t="s">
        <v>12436</v>
      </c>
      <c r="N150" s="2">
        <v>2008.0</v>
      </c>
      <c r="O150" s="2" t="s">
        <v>1001</v>
      </c>
      <c r="P150" s="15" t="str">
        <f>HYPERLINK("http://dx.doi.org/10.1007/s10021-008-9146-z","http://dx.doi.org/10.1007/s10021-008-9146-z")</f>
        <v>http://dx.doi.org/10.1007/s10021-008-9146-z</v>
      </c>
      <c r="Q150" s="2" t="s">
        <v>814</v>
      </c>
      <c r="R150" s="2" t="s">
        <v>12251</v>
      </c>
      <c r="S150" s="2" t="s">
        <v>12152</v>
      </c>
      <c r="T150" s="2" t="s">
        <v>1003</v>
      </c>
      <c r="V150" s="23" t="s">
        <v>15399</v>
      </c>
      <c r="W150" s="23" t="s">
        <v>15399</v>
      </c>
      <c r="X150" s="23"/>
      <c r="Y150" s="23"/>
      <c r="Z150" s="23"/>
      <c r="AA150" s="23"/>
    </row>
    <row r="151" ht="12.75" customHeight="1">
      <c r="A151" s="2" t="s">
        <v>23</v>
      </c>
      <c r="B151" s="2" t="s">
        <v>1233</v>
      </c>
      <c r="C151" s="2" t="s">
        <v>1234</v>
      </c>
      <c r="D151" s="2" t="s">
        <v>3263</v>
      </c>
      <c r="E151" s="2" t="s">
        <v>27</v>
      </c>
      <c r="F151" s="2" t="s">
        <v>15814</v>
      </c>
      <c r="G151" s="2" t="s">
        <v>15815</v>
      </c>
      <c r="H151" s="2" t="s">
        <v>1236</v>
      </c>
      <c r="I151" s="2" t="s">
        <v>13181</v>
      </c>
      <c r="J151" s="2" t="s">
        <v>13961</v>
      </c>
      <c r="K151" s="2" t="s">
        <v>15816</v>
      </c>
      <c r="L151" s="2" t="s">
        <v>15817</v>
      </c>
      <c r="M151" s="2" t="s">
        <v>12459</v>
      </c>
      <c r="N151" s="2">
        <v>2000.0</v>
      </c>
      <c r="O151" s="2" t="s">
        <v>1237</v>
      </c>
      <c r="P151" s="15" t="str">
        <f>HYPERLINK("http://dx.doi.org/10.1007/s002679910039","http://dx.doi.org/10.1007/s002679910039")</f>
        <v>http://dx.doi.org/10.1007/s002679910039</v>
      </c>
      <c r="Q151" s="2" t="s">
        <v>65</v>
      </c>
      <c r="R151" s="2" t="s">
        <v>12251</v>
      </c>
      <c r="S151" s="2" t="s">
        <v>12152</v>
      </c>
      <c r="T151" s="2" t="s">
        <v>1239</v>
      </c>
      <c r="V151" s="23" t="s">
        <v>15399</v>
      </c>
      <c r="W151" s="23"/>
      <c r="X151" s="23" t="s">
        <v>15399</v>
      </c>
      <c r="Y151" s="23"/>
      <c r="Z151" s="23"/>
      <c r="AA151" s="23"/>
    </row>
    <row r="152" ht="12.75" customHeight="1">
      <c r="A152" s="2" t="s">
        <v>23</v>
      </c>
      <c r="B152" s="2" t="s">
        <v>714</v>
      </c>
      <c r="C152" s="2" t="s">
        <v>715</v>
      </c>
      <c r="D152" s="2" t="s">
        <v>3263</v>
      </c>
      <c r="E152" s="2" t="s">
        <v>35</v>
      </c>
      <c r="F152" s="2" t="s">
        <v>12129</v>
      </c>
      <c r="G152" s="2" t="s">
        <v>15818</v>
      </c>
      <c r="H152" s="2" t="s">
        <v>717</v>
      </c>
      <c r="I152" s="2" t="s">
        <v>12243</v>
      </c>
      <c r="J152" s="2" t="s">
        <v>12244</v>
      </c>
      <c r="K152" s="2" t="s">
        <v>15819</v>
      </c>
      <c r="L152" s="2" t="s">
        <v>15820</v>
      </c>
      <c r="M152" s="2" t="s">
        <v>13055</v>
      </c>
      <c r="N152" s="2">
        <v>2012.0</v>
      </c>
      <c r="O152" s="2" t="s">
        <v>718</v>
      </c>
      <c r="P152" s="15" t="str">
        <f>HYPERLINK("http://dx.doi.org/10.1002/wcc.160","http://dx.doi.org/10.1002/wcc.160")</f>
        <v>http://dx.doi.org/10.1002/wcc.160</v>
      </c>
      <c r="Q152" s="2" t="s">
        <v>720</v>
      </c>
      <c r="R152" s="2" t="s">
        <v>12397</v>
      </c>
      <c r="S152" s="2" t="s">
        <v>12152</v>
      </c>
      <c r="T152" s="2" t="s">
        <v>721</v>
      </c>
      <c r="V152" s="23" t="s">
        <v>15399</v>
      </c>
      <c r="W152" s="23"/>
      <c r="X152" s="23"/>
      <c r="Y152" s="23"/>
      <c r="Z152" s="23"/>
      <c r="AA152" s="23" t="s">
        <v>15399</v>
      </c>
    </row>
    <row r="153" ht="12.75" customHeight="1">
      <c r="A153" s="2" t="s">
        <v>23</v>
      </c>
      <c r="B153" s="2" t="s">
        <v>1083</v>
      </c>
      <c r="C153" s="2" t="s">
        <v>1084</v>
      </c>
      <c r="D153" s="2" t="s">
        <v>3263</v>
      </c>
      <c r="E153" s="2" t="s">
        <v>35</v>
      </c>
      <c r="F153" s="2" t="s">
        <v>15821</v>
      </c>
      <c r="G153" s="2" t="s">
        <v>15822</v>
      </c>
      <c r="H153" s="2" t="s">
        <v>1086</v>
      </c>
      <c r="I153" s="2" t="s">
        <v>12243</v>
      </c>
      <c r="J153" s="2" t="s">
        <v>12244</v>
      </c>
      <c r="K153" s="2" t="s">
        <v>15823</v>
      </c>
      <c r="L153" s="2" t="s">
        <v>15824</v>
      </c>
      <c r="M153" s="2" t="s">
        <v>12764</v>
      </c>
      <c r="N153" s="2">
        <v>2005.0</v>
      </c>
      <c r="O153" s="2" t="s">
        <v>1087</v>
      </c>
      <c r="P153" s="15" t="str">
        <f>HYPERLINK("http://dx.doi.org/10.1002/joc.1276","http://dx.doi.org/10.1002/joc.1276")</f>
        <v>http://dx.doi.org/10.1002/joc.1276</v>
      </c>
      <c r="Q153" s="2" t="s">
        <v>47</v>
      </c>
      <c r="R153" s="2" t="s">
        <v>47</v>
      </c>
      <c r="S153" s="2" t="s">
        <v>12152</v>
      </c>
      <c r="T153" s="2" t="s">
        <v>1089</v>
      </c>
      <c r="V153" s="23" t="s">
        <v>15399</v>
      </c>
      <c r="W153" s="23"/>
      <c r="X153" s="23"/>
      <c r="Y153" s="23"/>
      <c r="Z153" s="23"/>
      <c r="AA153" s="23" t="s">
        <v>15399</v>
      </c>
    </row>
    <row r="154" ht="12.75" customHeight="1">
      <c r="A154" s="2" t="s">
        <v>23</v>
      </c>
      <c r="B154" s="2" t="s">
        <v>50</v>
      </c>
      <c r="C154" s="2" t="s">
        <v>51</v>
      </c>
      <c r="D154" s="2" t="s">
        <v>3263</v>
      </c>
      <c r="E154" s="2" t="s">
        <v>35</v>
      </c>
      <c r="F154" s="2" t="s">
        <v>15825</v>
      </c>
      <c r="G154" s="2" t="s">
        <v>15826</v>
      </c>
      <c r="H154" s="2" t="s">
        <v>53</v>
      </c>
      <c r="I154" s="2" t="s">
        <v>14464</v>
      </c>
      <c r="J154" s="2" t="s">
        <v>12632</v>
      </c>
      <c r="K154" s="2" t="s">
        <v>15827</v>
      </c>
      <c r="L154" s="2" t="s">
        <v>15828</v>
      </c>
      <c r="M154" s="2" t="s">
        <v>15829</v>
      </c>
      <c r="N154" s="2">
        <v>2017.0</v>
      </c>
      <c r="O154" s="2" t="s">
        <v>54</v>
      </c>
      <c r="P154" s="15" t="str">
        <f>HYPERLINK("http://dx.doi.org/10.1002/2017GL075888","http://dx.doi.org/10.1002/2017GL075888")</f>
        <v>http://dx.doi.org/10.1002/2017GL075888</v>
      </c>
      <c r="Q154" s="2" t="s">
        <v>56</v>
      </c>
      <c r="R154" s="2" t="s">
        <v>14257</v>
      </c>
      <c r="S154" s="2" t="s">
        <v>12152</v>
      </c>
      <c r="T154" s="2" t="s">
        <v>57</v>
      </c>
      <c r="V154" s="23" t="s">
        <v>15399</v>
      </c>
      <c r="W154" s="23"/>
      <c r="X154" s="23"/>
      <c r="Y154" s="23"/>
      <c r="Z154" s="23"/>
      <c r="AA154" s="23" t="s">
        <v>15399</v>
      </c>
    </row>
    <row r="155" ht="12.75" customHeight="1">
      <c r="A155" s="2" t="s">
        <v>23</v>
      </c>
      <c r="B155" s="2" t="s">
        <v>337</v>
      </c>
      <c r="C155" s="2" t="s">
        <v>338</v>
      </c>
      <c r="D155" s="2" t="s">
        <v>3263</v>
      </c>
      <c r="E155" s="2" t="s">
        <v>35</v>
      </c>
      <c r="F155" s="2" t="s">
        <v>15830</v>
      </c>
      <c r="G155" s="2" t="s">
        <v>15831</v>
      </c>
      <c r="H155" s="2" t="s">
        <v>340</v>
      </c>
      <c r="I155" s="2" t="s">
        <v>14464</v>
      </c>
      <c r="J155" s="2" t="s">
        <v>12632</v>
      </c>
      <c r="K155" s="2" t="s">
        <v>15832</v>
      </c>
      <c r="L155" s="2" t="s">
        <v>15833</v>
      </c>
      <c r="M155" s="2" t="s">
        <v>12352</v>
      </c>
      <c r="N155" s="2">
        <v>2015.0</v>
      </c>
      <c r="O155" s="2" t="s">
        <v>341</v>
      </c>
      <c r="P155" s="15" t="str">
        <f>HYPERLINK("http://dx.doi.org/10.1002/2015WR017349","http://dx.doi.org/10.1002/2015WR017349")</f>
        <v>http://dx.doi.org/10.1002/2015WR017349</v>
      </c>
      <c r="Q155" s="2" t="s">
        <v>343</v>
      </c>
      <c r="R155" s="2" t="s">
        <v>12663</v>
      </c>
      <c r="S155" s="2" t="s">
        <v>12152</v>
      </c>
      <c r="T155" s="2" t="s">
        <v>344</v>
      </c>
      <c r="V155" s="23" t="s">
        <v>15399</v>
      </c>
      <c r="W155" s="23"/>
      <c r="X155" s="23" t="s">
        <v>15399</v>
      </c>
      <c r="Y155" s="23"/>
      <c r="Z155" s="23"/>
      <c r="AA155" s="23"/>
    </row>
    <row r="156" ht="12.75" customHeight="1">
      <c r="A156" s="2" t="s">
        <v>23</v>
      </c>
      <c r="B156" s="2" t="s">
        <v>518</v>
      </c>
      <c r="C156" s="2" t="s">
        <v>519</v>
      </c>
      <c r="D156" s="2" t="s">
        <v>3263</v>
      </c>
      <c r="E156" s="2" t="s">
        <v>27</v>
      </c>
      <c r="F156" s="2" t="s">
        <v>15834</v>
      </c>
      <c r="G156" s="2" t="s">
        <v>15835</v>
      </c>
      <c r="H156" s="2" t="s">
        <v>521</v>
      </c>
      <c r="I156" s="2" t="s">
        <v>14464</v>
      </c>
      <c r="J156" s="2" t="s">
        <v>12632</v>
      </c>
      <c r="K156" s="2" t="s">
        <v>520</v>
      </c>
      <c r="L156" s="2" t="s">
        <v>15836</v>
      </c>
      <c r="M156" s="2" t="s">
        <v>12660</v>
      </c>
      <c r="N156" s="2">
        <v>2014.0</v>
      </c>
      <c r="O156" s="2" t="s">
        <v>522</v>
      </c>
      <c r="P156" s="15" t="str">
        <f>HYPERLINK("http://dx.doi.org/10.1002/2013EF000188","http://dx.doi.org/10.1002/2013EF000188")</f>
        <v>http://dx.doi.org/10.1002/2013EF000188</v>
      </c>
      <c r="Q156" s="2" t="s">
        <v>524</v>
      </c>
      <c r="R156" s="2" t="s">
        <v>14651</v>
      </c>
      <c r="S156" s="2" t="s">
        <v>12152</v>
      </c>
      <c r="T156" s="2" t="s">
        <v>525</v>
      </c>
      <c r="V156" s="23" t="s">
        <v>15399</v>
      </c>
      <c r="W156" s="23"/>
      <c r="X156" s="23"/>
      <c r="Y156" s="23"/>
      <c r="Z156" s="23"/>
      <c r="AA156" s="23" t="s">
        <v>15399</v>
      </c>
    </row>
    <row r="157" ht="12.75" customHeight="1">
      <c r="A157" s="2" t="s">
        <v>23</v>
      </c>
      <c r="B157" s="2" t="s">
        <v>24</v>
      </c>
      <c r="C157" s="2" t="s">
        <v>25</v>
      </c>
      <c r="D157" s="2" t="s">
        <v>3263</v>
      </c>
      <c r="E157" s="2" t="s">
        <v>27</v>
      </c>
      <c r="F157" s="2" t="s">
        <v>15837</v>
      </c>
      <c r="G157" s="2" t="s">
        <v>15838</v>
      </c>
      <c r="H157" s="2" t="s">
        <v>28</v>
      </c>
      <c r="I157" s="2" t="s">
        <v>15839</v>
      </c>
      <c r="J157" s="2" t="s">
        <v>15840</v>
      </c>
      <c r="K157" s="2" t="s">
        <v>26</v>
      </c>
      <c r="L157" s="2" t="s">
        <v>10139</v>
      </c>
      <c r="M157" s="2" t="s">
        <v>12436</v>
      </c>
      <c r="N157" s="2">
        <v>2008.0</v>
      </c>
      <c r="O157" s="2" t="s">
        <v>12129</v>
      </c>
      <c r="P157" s="2" t="s">
        <v>12129</v>
      </c>
      <c r="Q157" s="2" t="s">
        <v>29</v>
      </c>
      <c r="R157" s="2" t="s">
        <v>29</v>
      </c>
      <c r="S157" s="2" t="s">
        <v>12152</v>
      </c>
      <c r="T157" s="2" t="s">
        <v>30</v>
      </c>
      <c r="V157" s="23" t="s">
        <v>15399</v>
      </c>
      <c r="W157" s="23"/>
      <c r="X157" s="23"/>
      <c r="Y157" s="23"/>
      <c r="Z157" s="23" t="s">
        <v>15399</v>
      </c>
      <c r="AA157" s="23"/>
    </row>
    <row r="158" ht="12.75" customHeight="1"/>
    <row r="159" ht="12.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57">
    <sortState ref="A1:AA157">
      <sortCondition ref="B1:B157"/>
      <sortCondition descending="1" ref="O1:O157"/>
    </sortState>
  </autoFilter>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2" t="s">
        <v>11</v>
      </c>
      <c r="B1" s="12" t="s">
        <v>12</v>
      </c>
      <c r="C1" s="12" t="s">
        <v>12076</v>
      </c>
      <c r="D1" s="12" t="s">
        <v>12077</v>
      </c>
      <c r="E1" s="12" t="s">
        <v>12078</v>
      </c>
      <c r="F1" s="12" t="s">
        <v>12079</v>
      </c>
      <c r="G1" s="12" t="s">
        <v>12080</v>
      </c>
      <c r="H1" s="12" t="s">
        <v>12081</v>
      </c>
      <c r="I1" s="12" t="s">
        <v>13</v>
      </c>
      <c r="J1" s="12" t="s">
        <v>14</v>
      </c>
      <c r="K1" s="12" t="s">
        <v>12082</v>
      </c>
      <c r="L1" s="12" t="s">
        <v>12083</v>
      </c>
      <c r="M1" s="12" t="s">
        <v>1301</v>
      </c>
      <c r="N1" s="12" t="s">
        <v>15</v>
      </c>
      <c r="O1" s="12" t="s">
        <v>12084</v>
      </c>
      <c r="P1" s="12" t="s">
        <v>12085</v>
      </c>
      <c r="Q1" s="12" t="s">
        <v>12086</v>
      </c>
      <c r="R1" s="12" t="s">
        <v>12087</v>
      </c>
      <c r="S1" s="12" t="s">
        <v>12088</v>
      </c>
      <c r="T1" s="12" t="s">
        <v>12089</v>
      </c>
      <c r="U1" s="12" t="s">
        <v>12090</v>
      </c>
      <c r="V1" s="12" t="s">
        <v>16</v>
      </c>
      <c r="W1" s="12" t="s">
        <v>12091</v>
      </c>
      <c r="X1" s="12" t="s">
        <v>12092</v>
      </c>
      <c r="Y1" s="12" t="s">
        <v>12093</v>
      </c>
      <c r="Z1" s="12" t="s">
        <v>12094</v>
      </c>
      <c r="AA1" s="12" t="s">
        <v>12095</v>
      </c>
      <c r="AB1" s="12" t="s">
        <v>12096</v>
      </c>
      <c r="AC1" s="12" t="s">
        <v>12097</v>
      </c>
      <c r="AD1" s="12" t="s">
        <v>12098</v>
      </c>
      <c r="AE1" s="12" t="s">
        <v>12099</v>
      </c>
      <c r="AF1" s="12" t="s">
        <v>12100</v>
      </c>
      <c r="AG1" s="12" t="s">
        <v>12101</v>
      </c>
      <c r="AH1" s="12" t="s">
        <v>12102</v>
      </c>
      <c r="AI1" s="12" t="s">
        <v>12103</v>
      </c>
      <c r="AJ1" s="12" t="s">
        <v>12104</v>
      </c>
      <c r="AK1" s="12" t="s">
        <v>12105</v>
      </c>
      <c r="AL1" s="12" t="s">
        <v>1299</v>
      </c>
      <c r="AM1" s="12" t="s">
        <v>12106</v>
      </c>
      <c r="AN1" s="12" t="s">
        <v>12107</v>
      </c>
      <c r="AO1" s="12" t="s">
        <v>1281</v>
      </c>
      <c r="AP1" s="12" t="s">
        <v>12108</v>
      </c>
      <c r="AQ1" s="12" t="s">
        <v>1280</v>
      </c>
      <c r="AR1" s="12" t="s">
        <v>1293</v>
      </c>
      <c r="AS1" s="12" t="s">
        <v>12109</v>
      </c>
      <c r="AT1" s="12" t="s">
        <v>12110</v>
      </c>
      <c r="AU1" s="12" t="s">
        <v>1276</v>
      </c>
      <c r="AV1" s="12" t="s">
        <v>1291</v>
      </c>
      <c r="AW1" s="12" t="s">
        <v>1290</v>
      </c>
      <c r="AX1" s="12" t="s">
        <v>12111</v>
      </c>
      <c r="AY1" s="12" t="s">
        <v>12112</v>
      </c>
      <c r="AZ1" s="12" t="s">
        <v>12113</v>
      </c>
      <c r="BA1" s="12" t="s">
        <v>12114</v>
      </c>
      <c r="BB1" s="12" t="s">
        <v>12115</v>
      </c>
      <c r="BC1" s="12" t="s">
        <v>12116</v>
      </c>
      <c r="BD1" s="12" t="s">
        <v>12117</v>
      </c>
      <c r="BE1" s="12" t="s">
        <v>17</v>
      </c>
      <c r="BF1" s="12" t="s">
        <v>18</v>
      </c>
      <c r="BG1" s="12" t="s">
        <v>12118</v>
      </c>
      <c r="BH1" s="12" t="s">
        <v>12119</v>
      </c>
      <c r="BI1" s="12" t="s">
        <v>12120</v>
      </c>
      <c r="BJ1" s="12" t="s">
        <v>19</v>
      </c>
      <c r="BK1" s="12" t="s">
        <v>12121</v>
      </c>
      <c r="BL1" s="12" t="s">
        <v>12122</v>
      </c>
      <c r="BM1" s="12" t="s">
        <v>12123</v>
      </c>
      <c r="BN1" s="12" t="s">
        <v>12124</v>
      </c>
      <c r="BO1" s="12" t="s">
        <v>12125</v>
      </c>
      <c r="BP1" s="12" t="s">
        <v>12126</v>
      </c>
      <c r="BQ1" s="12" t="s">
        <v>12127</v>
      </c>
      <c r="BR1" s="12" t="s">
        <v>20</v>
      </c>
      <c r="BS1" s="12" t="s">
        <v>21</v>
      </c>
      <c r="BT1" s="12" t="s">
        <v>22</v>
      </c>
    </row>
    <row r="2" ht="12.75" customHeight="1">
      <c r="A2" s="12" t="s">
        <v>23</v>
      </c>
      <c r="B2" s="12" t="s">
        <v>42</v>
      </c>
      <c r="C2" s="12" t="s">
        <v>12129</v>
      </c>
      <c r="D2" s="12" t="s">
        <v>12129</v>
      </c>
      <c r="E2" s="12" t="s">
        <v>12129</v>
      </c>
      <c r="F2" s="12" t="s">
        <v>6930</v>
      </c>
      <c r="G2" s="12" t="s">
        <v>12129</v>
      </c>
      <c r="H2" s="12" t="s">
        <v>12129</v>
      </c>
      <c r="I2" s="12" t="s">
        <v>43</v>
      </c>
      <c r="J2" s="12" t="s">
        <v>44</v>
      </c>
      <c r="K2" s="12" t="s">
        <v>12129</v>
      </c>
      <c r="L2" s="12" t="s">
        <v>12129</v>
      </c>
      <c r="M2" s="12" t="s">
        <v>3263</v>
      </c>
      <c r="N2" s="12" t="s">
        <v>35</v>
      </c>
      <c r="O2" s="12" t="s">
        <v>12129</v>
      </c>
      <c r="P2" s="12" t="s">
        <v>12129</v>
      </c>
      <c r="Q2" s="12" t="s">
        <v>12129</v>
      </c>
      <c r="R2" s="12" t="s">
        <v>12129</v>
      </c>
      <c r="S2" s="12" t="s">
        <v>12129</v>
      </c>
      <c r="T2" s="12" t="s">
        <v>12129</v>
      </c>
      <c r="U2" s="12" t="s">
        <v>15453</v>
      </c>
      <c r="V2" s="12" t="s">
        <v>12129</v>
      </c>
      <c r="W2" s="12" t="s">
        <v>15841</v>
      </c>
      <c r="X2" s="12" t="s">
        <v>15842</v>
      </c>
      <c r="Y2" s="12" t="s">
        <v>15843</v>
      </c>
      <c r="Z2" s="12" t="s">
        <v>12129</v>
      </c>
      <c r="AA2" s="12" t="s">
        <v>15844</v>
      </c>
      <c r="AB2" s="12" t="s">
        <v>15845</v>
      </c>
      <c r="AC2" s="12" t="s">
        <v>12129</v>
      </c>
      <c r="AD2" s="12" t="s">
        <v>12129</v>
      </c>
      <c r="AE2" s="12" t="s">
        <v>12129</v>
      </c>
      <c r="AF2" s="12" t="s">
        <v>12129</v>
      </c>
      <c r="AG2" s="12">
        <v>21.0</v>
      </c>
      <c r="AH2" s="12">
        <v>50.0</v>
      </c>
      <c r="AI2" s="12">
        <v>53.0</v>
      </c>
      <c r="AJ2" s="12">
        <v>1.0</v>
      </c>
      <c r="AK2" s="12">
        <v>18.0</v>
      </c>
      <c r="AL2" s="12" t="s">
        <v>15454</v>
      </c>
      <c r="AM2" s="12" t="s">
        <v>15455</v>
      </c>
      <c r="AN2" s="12" t="s">
        <v>15846</v>
      </c>
      <c r="AO2" s="12" t="s">
        <v>6932</v>
      </c>
      <c r="AP2" s="12" t="s">
        <v>15847</v>
      </c>
      <c r="AQ2" s="12" t="s">
        <v>12129</v>
      </c>
      <c r="AR2" s="12" t="s">
        <v>15456</v>
      </c>
      <c r="AS2" s="12" t="s">
        <v>15457</v>
      </c>
      <c r="AT2" s="12" t="s">
        <v>13127</v>
      </c>
      <c r="AU2" s="12">
        <v>2018.0</v>
      </c>
      <c r="AV2" s="12">
        <v>99.0</v>
      </c>
      <c r="AW2" s="12">
        <v>1.0</v>
      </c>
      <c r="AX2" s="12" t="s">
        <v>12129</v>
      </c>
      <c r="AY2" s="12" t="s">
        <v>633</v>
      </c>
      <c r="AZ2" s="12" t="s">
        <v>12129</v>
      </c>
      <c r="BA2" s="12" t="s">
        <v>12129</v>
      </c>
      <c r="BB2" s="12" t="s">
        <v>15848</v>
      </c>
      <c r="BC2" s="12" t="s">
        <v>15849</v>
      </c>
      <c r="BD2" s="12" t="s">
        <v>12129</v>
      </c>
      <c r="BE2" s="12" t="s">
        <v>45</v>
      </c>
      <c r="BF2" s="25" t="str">
        <f>HYPERLINK("http://dx.doi.org/10.1175/BAMS-D-17-0116.1","http://dx.doi.org/10.1175/BAMS-D-17-0116.1")</f>
        <v>http://dx.doi.org/10.1175/BAMS-D-17-0116.1</v>
      </c>
      <c r="BG2" s="12" t="s">
        <v>12129</v>
      </c>
      <c r="BH2" s="12" t="s">
        <v>12129</v>
      </c>
      <c r="BI2" s="12">
        <v>5.0</v>
      </c>
      <c r="BJ2" s="12" t="s">
        <v>47</v>
      </c>
      <c r="BK2" s="12" t="s">
        <v>12176</v>
      </c>
      <c r="BL2" s="12" t="s">
        <v>47</v>
      </c>
      <c r="BM2" s="12" t="s">
        <v>15850</v>
      </c>
      <c r="BN2" s="12" t="s">
        <v>12129</v>
      </c>
      <c r="BO2" s="12" t="s">
        <v>12129</v>
      </c>
      <c r="BP2" s="12" t="s">
        <v>12129</v>
      </c>
      <c r="BQ2" s="12" t="s">
        <v>12129</v>
      </c>
      <c r="BR2" s="12" t="s">
        <v>15851</v>
      </c>
      <c r="BS2" s="12" t="s">
        <v>48</v>
      </c>
      <c r="BT2" s="12" t="str">
        <f>HYPERLINK("https%3A%2F%2Fwww.webofscience.com%2Fwos%2Fwoscc%2Ffull-record%2FWOS:000429319000004","View Full Record in Web of Science")</f>
        <v>View Full Record in Web of Science</v>
      </c>
    </row>
    <row r="3" ht="12.75" customHeight="1">
      <c r="A3" s="12" t="s">
        <v>23</v>
      </c>
      <c r="B3" s="12" t="s">
        <v>313</v>
      </c>
      <c r="C3" s="12" t="s">
        <v>12129</v>
      </c>
      <c r="D3" s="12" t="s">
        <v>12129</v>
      </c>
      <c r="E3" s="12" t="s">
        <v>12129</v>
      </c>
      <c r="F3" s="12" t="s">
        <v>10427</v>
      </c>
      <c r="G3" s="12" t="s">
        <v>12129</v>
      </c>
      <c r="H3" s="12" t="s">
        <v>12129</v>
      </c>
      <c r="I3" s="12" t="s">
        <v>314</v>
      </c>
      <c r="J3" s="12" t="s">
        <v>315</v>
      </c>
      <c r="K3" s="12" t="s">
        <v>12129</v>
      </c>
      <c r="L3" s="12" t="s">
        <v>12129</v>
      </c>
      <c r="M3" s="12" t="s">
        <v>3263</v>
      </c>
      <c r="N3" s="12" t="s">
        <v>35</v>
      </c>
      <c r="O3" s="12" t="s">
        <v>12129</v>
      </c>
      <c r="P3" s="12" t="s">
        <v>12129</v>
      </c>
      <c r="Q3" s="12" t="s">
        <v>12129</v>
      </c>
      <c r="R3" s="12" t="s">
        <v>12129</v>
      </c>
      <c r="S3" s="12" t="s">
        <v>12129</v>
      </c>
      <c r="T3" s="12" t="s">
        <v>15559</v>
      </c>
      <c r="U3" s="12" t="s">
        <v>15560</v>
      </c>
      <c r="V3" s="12" t="s">
        <v>316</v>
      </c>
      <c r="W3" s="12" t="s">
        <v>15852</v>
      </c>
      <c r="X3" s="12" t="s">
        <v>15853</v>
      </c>
      <c r="Y3" s="12" t="s">
        <v>15854</v>
      </c>
      <c r="Z3" s="12" t="s">
        <v>15855</v>
      </c>
      <c r="AA3" s="12" t="s">
        <v>15856</v>
      </c>
      <c r="AB3" s="12" t="s">
        <v>15857</v>
      </c>
      <c r="AC3" s="12" t="s">
        <v>15858</v>
      </c>
      <c r="AD3" s="12" t="s">
        <v>15859</v>
      </c>
      <c r="AE3" s="12" t="s">
        <v>15860</v>
      </c>
      <c r="AF3" s="12" t="s">
        <v>12129</v>
      </c>
      <c r="AG3" s="12">
        <v>38.0</v>
      </c>
      <c r="AH3" s="12">
        <v>156.0</v>
      </c>
      <c r="AI3" s="12">
        <v>165.0</v>
      </c>
      <c r="AJ3" s="12">
        <v>2.0</v>
      </c>
      <c r="AK3" s="12">
        <v>92.0</v>
      </c>
      <c r="AL3" s="12" t="s">
        <v>15556</v>
      </c>
      <c r="AM3" s="12" t="s">
        <v>12393</v>
      </c>
      <c r="AN3" s="12" t="s">
        <v>12394</v>
      </c>
      <c r="AO3" s="12" t="s">
        <v>5876</v>
      </c>
      <c r="AP3" s="12" t="s">
        <v>12129</v>
      </c>
      <c r="AQ3" s="12" t="s">
        <v>12129</v>
      </c>
      <c r="AR3" s="12" t="s">
        <v>12395</v>
      </c>
      <c r="AS3" s="12" t="s">
        <v>5884</v>
      </c>
      <c r="AT3" s="12" t="s">
        <v>12249</v>
      </c>
      <c r="AU3" s="12">
        <v>2015.0</v>
      </c>
      <c r="AV3" s="12">
        <v>10.0</v>
      </c>
      <c r="AW3" s="12">
        <v>9.0</v>
      </c>
      <c r="AX3" s="12" t="s">
        <v>12129</v>
      </c>
      <c r="AY3" s="12" t="s">
        <v>12129</v>
      </c>
      <c r="AZ3" s="12" t="s">
        <v>12129</v>
      </c>
      <c r="BA3" s="12" t="s">
        <v>12129</v>
      </c>
      <c r="BB3" s="12" t="s">
        <v>12129</v>
      </c>
      <c r="BC3" s="12" t="s">
        <v>12129</v>
      </c>
      <c r="BD3" s="12">
        <v>94015.0</v>
      </c>
      <c r="BE3" s="12" t="s">
        <v>317</v>
      </c>
      <c r="BF3" s="25" t="str">
        <f>HYPERLINK("http://dx.doi.org/10.1088/1748-9326/10/9/094015","http://dx.doi.org/10.1088/1748-9326/10/9/094015")</f>
        <v>http://dx.doi.org/10.1088/1748-9326/10/9/094015</v>
      </c>
      <c r="BG3" s="12" t="s">
        <v>12129</v>
      </c>
      <c r="BH3" s="12" t="s">
        <v>12129</v>
      </c>
      <c r="BI3" s="12">
        <v>9.0</v>
      </c>
      <c r="BJ3" s="12" t="s">
        <v>319</v>
      </c>
      <c r="BK3" s="12" t="s">
        <v>12176</v>
      </c>
      <c r="BL3" s="12" t="s">
        <v>12397</v>
      </c>
      <c r="BM3" s="12" t="s">
        <v>15861</v>
      </c>
      <c r="BN3" s="12" t="s">
        <v>12129</v>
      </c>
      <c r="BO3" s="12" t="s">
        <v>12179</v>
      </c>
      <c r="BP3" s="12" t="s">
        <v>12129</v>
      </c>
      <c r="BQ3" s="12" t="s">
        <v>12129</v>
      </c>
      <c r="BR3" s="12" t="s">
        <v>15851</v>
      </c>
      <c r="BS3" s="12" t="s">
        <v>320</v>
      </c>
      <c r="BT3" s="12" t="str">
        <f>HYPERLINK("https%3A%2F%2Fwww.webofscience.com%2Fwos%2Fwoscc%2Ffull-record%2FWOS:000367141000018","View Full Record in Web of Science")</f>
        <v>View Full Record in Web of Science</v>
      </c>
    </row>
    <row r="4" ht="12.75" customHeight="1">
      <c r="A4" s="12" t="s">
        <v>23</v>
      </c>
      <c r="B4" s="12" t="s">
        <v>400</v>
      </c>
      <c r="C4" s="12" t="s">
        <v>12129</v>
      </c>
      <c r="D4" s="12" t="s">
        <v>12129</v>
      </c>
      <c r="E4" s="12" t="s">
        <v>12129</v>
      </c>
      <c r="F4" s="12" t="s">
        <v>15862</v>
      </c>
      <c r="G4" s="12" t="s">
        <v>12129</v>
      </c>
      <c r="H4" s="12" t="s">
        <v>12129</v>
      </c>
      <c r="I4" s="12" t="s">
        <v>401</v>
      </c>
      <c r="J4" s="12" t="s">
        <v>86</v>
      </c>
      <c r="K4" s="12" t="s">
        <v>12129</v>
      </c>
      <c r="L4" s="12" t="s">
        <v>12129</v>
      </c>
      <c r="M4" s="12" t="s">
        <v>3263</v>
      </c>
      <c r="N4" s="12" t="s">
        <v>35</v>
      </c>
      <c r="O4" s="12" t="s">
        <v>12129</v>
      </c>
      <c r="P4" s="12" t="s">
        <v>12129</v>
      </c>
      <c r="Q4" s="12" t="s">
        <v>12129</v>
      </c>
      <c r="R4" s="12" t="s">
        <v>12129</v>
      </c>
      <c r="S4" s="12" t="s">
        <v>12129</v>
      </c>
      <c r="T4" s="12" t="s">
        <v>12129</v>
      </c>
      <c r="U4" s="12" t="s">
        <v>15515</v>
      </c>
      <c r="V4" s="12" t="s">
        <v>402</v>
      </c>
      <c r="W4" s="12" t="s">
        <v>15863</v>
      </c>
      <c r="X4" s="12" t="s">
        <v>15864</v>
      </c>
      <c r="Y4" s="12" t="s">
        <v>15865</v>
      </c>
      <c r="Z4" s="12" t="s">
        <v>15866</v>
      </c>
      <c r="AA4" s="12" t="s">
        <v>15867</v>
      </c>
      <c r="AB4" s="12" t="s">
        <v>15868</v>
      </c>
      <c r="AC4" s="12" t="s">
        <v>15869</v>
      </c>
      <c r="AD4" s="12" t="s">
        <v>15870</v>
      </c>
      <c r="AE4" s="12" t="s">
        <v>15871</v>
      </c>
      <c r="AF4" s="12" t="s">
        <v>12129</v>
      </c>
      <c r="AG4" s="12">
        <v>85.0</v>
      </c>
      <c r="AH4" s="12">
        <v>3175.0</v>
      </c>
      <c r="AI4" s="12">
        <v>3775.0</v>
      </c>
      <c r="AJ4" s="12">
        <v>136.0</v>
      </c>
      <c r="AK4" s="12">
        <v>1612.0</v>
      </c>
      <c r="AL4" s="12" t="s">
        <v>15485</v>
      </c>
      <c r="AM4" s="12" t="s">
        <v>12632</v>
      </c>
      <c r="AN4" s="12" t="s">
        <v>15872</v>
      </c>
      <c r="AO4" s="12" t="s">
        <v>1614</v>
      </c>
      <c r="AP4" s="12" t="s">
        <v>12129</v>
      </c>
      <c r="AQ4" s="12" t="s">
        <v>12129</v>
      </c>
      <c r="AR4" s="12" t="s">
        <v>15511</v>
      </c>
      <c r="AS4" s="12" t="s">
        <v>5964</v>
      </c>
      <c r="AT4" s="12" t="s">
        <v>13078</v>
      </c>
      <c r="AU4" s="12">
        <v>2015.0</v>
      </c>
      <c r="AV4" s="12">
        <v>1.0</v>
      </c>
      <c r="AW4" s="12">
        <v>2.0</v>
      </c>
      <c r="AX4" s="12" t="s">
        <v>12129</v>
      </c>
      <c r="AY4" s="12" t="s">
        <v>12129</v>
      </c>
      <c r="AZ4" s="12" t="s">
        <v>12129</v>
      </c>
      <c r="BA4" s="12" t="s">
        <v>12129</v>
      </c>
      <c r="BB4" s="12" t="s">
        <v>12129</v>
      </c>
      <c r="BC4" s="12" t="s">
        <v>12129</v>
      </c>
      <c r="BD4" s="12" t="s">
        <v>15873</v>
      </c>
      <c r="BE4" s="12" t="s">
        <v>403</v>
      </c>
      <c r="BF4" s="25" t="str">
        <f>HYPERLINK("http://dx.doi.org/10.1126/sciadv.1500052","http://dx.doi.org/10.1126/sciadv.1500052")</f>
        <v>http://dx.doi.org/10.1126/sciadv.1500052</v>
      </c>
      <c r="BG4" s="12" t="s">
        <v>12129</v>
      </c>
      <c r="BH4" s="12" t="s">
        <v>12129</v>
      </c>
      <c r="BI4" s="12">
        <v>9.0</v>
      </c>
      <c r="BJ4" s="12" t="s">
        <v>39</v>
      </c>
      <c r="BK4" s="12" t="s">
        <v>12176</v>
      </c>
      <c r="BL4" s="12" t="s">
        <v>12202</v>
      </c>
      <c r="BM4" s="12" t="s">
        <v>15874</v>
      </c>
      <c r="BN4" s="12">
        <v>2.6601154E7</v>
      </c>
      <c r="BO4" s="12" t="s">
        <v>12179</v>
      </c>
      <c r="BP4" s="12" t="s">
        <v>12129</v>
      </c>
      <c r="BQ4" s="12" t="s">
        <v>12129</v>
      </c>
      <c r="BR4" s="12" t="s">
        <v>15851</v>
      </c>
      <c r="BS4" s="12" t="s">
        <v>405</v>
      </c>
      <c r="BT4" s="12" t="str">
        <f>HYPERLINK("https%3A%2F%2Fwww.webofscience.com%2Fwos%2Fwoscc%2Ffull-record%2FWOS:000216591000009","View Full Record in Web of Science")</f>
        <v>View Full Record in Web of Science</v>
      </c>
    </row>
    <row r="5" ht="12.75" customHeight="1">
      <c r="A5" s="12" t="s">
        <v>23</v>
      </c>
      <c r="B5" s="12" t="s">
        <v>527</v>
      </c>
      <c r="C5" s="12" t="s">
        <v>12129</v>
      </c>
      <c r="D5" s="12" t="s">
        <v>12129</v>
      </c>
      <c r="E5" s="12" t="s">
        <v>12129</v>
      </c>
      <c r="F5" s="12" t="s">
        <v>4405</v>
      </c>
      <c r="G5" s="12" t="s">
        <v>12129</v>
      </c>
      <c r="H5" s="12" t="s">
        <v>12129</v>
      </c>
      <c r="I5" s="12" t="s">
        <v>528</v>
      </c>
      <c r="J5" s="12" t="s">
        <v>61</v>
      </c>
      <c r="K5" s="12" t="s">
        <v>12129</v>
      </c>
      <c r="L5" s="12" t="s">
        <v>12129</v>
      </c>
      <c r="M5" s="12" t="s">
        <v>3263</v>
      </c>
      <c r="N5" s="12" t="s">
        <v>35</v>
      </c>
      <c r="O5" s="12" t="s">
        <v>12129</v>
      </c>
      <c r="P5" s="12" t="s">
        <v>12129</v>
      </c>
      <c r="Q5" s="12" t="s">
        <v>12129</v>
      </c>
      <c r="R5" s="12" t="s">
        <v>12129</v>
      </c>
      <c r="S5" s="12" t="s">
        <v>12129</v>
      </c>
      <c r="T5" s="12" t="s">
        <v>15703</v>
      </c>
      <c r="U5" s="12" t="s">
        <v>15704</v>
      </c>
      <c r="V5" s="12" t="s">
        <v>529</v>
      </c>
      <c r="W5" s="12" t="s">
        <v>15875</v>
      </c>
      <c r="X5" s="12" t="s">
        <v>15876</v>
      </c>
      <c r="Y5" s="12" t="s">
        <v>15877</v>
      </c>
      <c r="Z5" s="12" t="s">
        <v>15878</v>
      </c>
      <c r="AA5" s="12" t="s">
        <v>15879</v>
      </c>
      <c r="AB5" s="12" t="s">
        <v>15880</v>
      </c>
      <c r="AC5" s="12" t="s">
        <v>12129</v>
      </c>
      <c r="AD5" s="12" t="s">
        <v>12129</v>
      </c>
      <c r="AE5" s="12" t="s">
        <v>12129</v>
      </c>
      <c r="AF5" s="12" t="s">
        <v>12129</v>
      </c>
      <c r="AG5" s="12">
        <v>170.0</v>
      </c>
      <c r="AH5" s="12">
        <v>179.0</v>
      </c>
      <c r="AI5" s="12">
        <v>206.0</v>
      </c>
      <c r="AJ5" s="12">
        <v>3.0</v>
      </c>
      <c r="AK5" s="12">
        <v>175.0</v>
      </c>
      <c r="AL5" s="12" t="s">
        <v>12269</v>
      </c>
      <c r="AM5" s="12" t="s">
        <v>12270</v>
      </c>
      <c r="AN5" s="12" t="s">
        <v>12271</v>
      </c>
      <c r="AO5" s="12" t="s">
        <v>6141</v>
      </c>
      <c r="AP5" s="12" t="s">
        <v>12932</v>
      </c>
      <c r="AQ5" s="12" t="s">
        <v>12129</v>
      </c>
      <c r="AR5" s="12" t="s">
        <v>12933</v>
      </c>
      <c r="AS5" s="12" t="s">
        <v>12934</v>
      </c>
      <c r="AT5" s="12" t="s">
        <v>13631</v>
      </c>
      <c r="AU5" s="12">
        <v>2014.0</v>
      </c>
      <c r="AV5" s="12">
        <v>468.0</v>
      </c>
      <c r="AW5" s="12" t="s">
        <v>12129</v>
      </c>
      <c r="AX5" s="12" t="s">
        <v>12129</v>
      </c>
      <c r="AY5" s="12" t="s">
        <v>12129</v>
      </c>
      <c r="AZ5" s="12" t="s">
        <v>12129</v>
      </c>
      <c r="BA5" s="12" t="s">
        <v>12129</v>
      </c>
      <c r="BB5" s="12">
        <v>1187.0</v>
      </c>
      <c r="BC5" s="12">
        <v>1197.0</v>
      </c>
      <c r="BD5" s="12" t="s">
        <v>12129</v>
      </c>
      <c r="BE5" s="12" t="s">
        <v>530</v>
      </c>
      <c r="BF5" s="25" t="str">
        <f>HYPERLINK("http://dx.doi.org/10.1016/j.scitotenv.2013.05.057","http://dx.doi.org/10.1016/j.scitotenv.2013.05.057")</f>
        <v>http://dx.doi.org/10.1016/j.scitotenv.2013.05.057</v>
      </c>
      <c r="BG5" s="12" t="s">
        <v>12129</v>
      </c>
      <c r="BH5" s="12" t="s">
        <v>12129</v>
      </c>
      <c r="BI5" s="12">
        <v>11.0</v>
      </c>
      <c r="BJ5" s="12" t="s">
        <v>65</v>
      </c>
      <c r="BK5" s="12" t="s">
        <v>12729</v>
      </c>
      <c r="BL5" s="12" t="s">
        <v>12251</v>
      </c>
      <c r="BM5" s="12" t="s">
        <v>15881</v>
      </c>
      <c r="BN5" s="12">
        <v>2.3815978E7</v>
      </c>
      <c r="BO5" s="12" t="s">
        <v>12129</v>
      </c>
      <c r="BP5" s="12" t="s">
        <v>12129</v>
      </c>
      <c r="BQ5" s="12" t="s">
        <v>12129</v>
      </c>
      <c r="BR5" s="12" t="s">
        <v>15851</v>
      </c>
      <c r="BS5" s="12" t="s">
        <v>532</v>
      </c>
      <c r="BT5" s="12" t="str">
        <f>HYPERLINK("https%3A%2F%2Fwww.webofscience.com%2Fwos%2Fwoscc%2Ffull-record%2FWOS:000331776000125","View Full Record in Web of Science")</f>
        <v>View Full Record in Web of Science</v>
      </c>
    </row>
    <row r="6" ht="12.75" customHeight="1">
      <c r="A6" s="12" t="s">
        <v>23</v>
      </c>
      <c r="B6" s="12" t="s">
        <v>188</v>
      </c>
      <c r="C6" s="12" t="s">
        <v>12129</v>
      </c>
      <c r="D6" s="12" t="s">
        <v>12129</v>
      </c>
      <c r="E6" s="12" t="s">
        <v>12129</v>
      </c>
      <c r="F6" s="12" t="s">
        <v>8455</v>
      </c>
      <c r="G6" s="12" t="s">
        <v>12129</v>
      </c>
      <c r="H6" s="12" t="s">
        <v>12129</v>
      </c>
      <c r="I6" s="12" t="s">
        <v>189</v>
      </c>
      <c r="J6" s="12" t="s">
        <v>190</v>
      </c>
      <c r="K6" s="12" t="s">
        <v>12129</v>
      </c>
      <c r="L6" s="12" t="s">
        <v>12129</v>
      </c>
      <c r="M6" s="12" t="s">
        <v>3263</v>
      </c>
      <c r="N6" s="12" t="s">
        <v>35</v>
      </c>
      <c r="O6" s="12" t="s">
        <v>12129</v>
      </c>
      <c r="P6" s="12" t="s">
        <v>12129</v>
      </c>
      <c r="Q6" s="12" t="s">
        <v>12129</v>
      </c>
      <c r="R6" s="12" t="s">
        <v>12129</v>
      </c>
      <c r="S6" s="12" t="s">
        <v>12129</v>
      </c>
      <c r="T6" s="12" t="s">
        <v>15739</v>
      </c>
      <c r="U6" s="12" t="s">
        <v>15740</v>
      </c>
      <c r="V6" s="12" t="s">
        <v>191</v>
      </c>
      <c r="W6" s="12" t="s">
        <v>15882</v>
      </c>
      <c r="X6" s="12" t="s">
        <v>15883</v>
      </c>
      <c r="Y6" s="12" t="s">
        <v>15884</v>
      </c>
      <c r="Z6" s="12" t="s">
        <v>15885</v>
      </c>
      <c r="AA6" s="12" t="s">
        <v>15886</v>
      </c>
      <c r="AB6" s="12" t="s">
        <v>15887</v>
      </c>
      <c r="AC6" s="12" t="s">
        <v>15888</v>
      </c>
      <c r="AD6" s="12" t="s">
        <v>15889</v>
      </c>
      <c r="AE6" s="12" t="s">
        <v>15890</v>
      </c>
      <c r="AF6" s="12" t="s">
        <v>12129</v>
      </c>
      <c r="AG6" s="12">
        <v>59.0</v>
      </c>
      <c r="AH6" s="12">
        <v>426.0</v>
      </c>
      <c r="AI6" s="12">
        <v>478.0</v>
      </c>
      <c r="AJ6" s="12">
        <v>7.0</v>
      </c>
      <c r="AK6" s="12">
        <v>311.0</v>
      </c>
      <c r="AL6" s="12" t="s">
        <v>12321</v>
      </c>
      <c r="AM6" s="12" t="s">
        <v>12295</v>
      </c>
      <c r="AN6" s="12" t="s">
        <v>12454</v>
      </c>
      <c r="AO6" s="12" t="s">
        <v>14344</v>
      </c>
      <c r="AP6" s="12" t="s">
        <v>14345</v>
      </c>
      <c r="AQ6" s="12" t="s">
        <v>12129</v>
      </c>
      <c r="AR6" s="12" t="s">
        <v>14346</v>
      </c>
      <c r="AS6" s="12" t="s">
        <v>14347</v>
      </c>
      <c r="AT6" s="12" t="s">
        <v>15741</v>
      </c>
      <c r="AU6" s="12">
        <v>2016.0</v>
      </c>
      <c r="AV6" s="12">
        <v>132.0</v>
      </c>
      <c r="AW6" s="12" t="s">
        <v>12129</v>
      </c>
      <c r="AX6" s="12" t="s">
        <v>12129</v>
      </c>
      <c r="AY6" s="12" t="s">
        <v>12129</v>
      </c>
      <c r="AZ6" s="12" t="s">
        <v>12129</v>
      </c>
      <c r="BA6" s="12" t="s">
        <v>12129</v>
      </c>
      <c r="BB6" s="12">
        <v>45.0</v>
      </c>
      <c r="BC6" s="12">
        <v>56.0</v>
      </c>
      <c r="BD6" s="12" t="s">
        <v>12129</v>
      </c>
      <c r="BE6" s="12" t="s">
        <v>192</v>
      </c>
      <c r="BF6" s="25" t="str">
        <f>HYPERLINK("http://dx.doi.org/10.1016/j.jclepro.2015.06.100","http://dx.doi.org/10.1016/j.jclepro.2015.06.100")</f>
        <v>http://dx.doi.org/10.1016/j.jclepro.2015.06.100</v>
      </c>
      <c r="BG6" s="12" t="s">
        <v>12129</v>
      </c>
      <c r="BH6" s="12" t="s">
        <v>12129</v>
      </c>
      <c r="BI6" s="12">
        <v>12.0</v>
      </c>
      <c r="BJ6" s="12" t="s">
        <v>194</v>
      </c>
      <c r="BK6" s="12" t="s">
        <v>12729</v>
      </c>
      <c r="BL6" s="12" t="s">
        <v>14349</v>
      </c>
      <c r="BM6" s="12" t="s">
        <v>15891</v>
      </c>
      <c r="BN6" s="12" t="s">
        <v>12129</v>
      </c>
      <c r="BO6" s="12" t="s">
        <v>12129</v>
      </c>
      <c r="BP6" s="12" t="s">
        <v>12129</v>
      </c>
      <c r="BQ6" s="12" t="s">
        <v>12129</v>
      </c>
      <c r="BR6" s="12" t="s">
        <v>15851</v>
      </c>
      <c r="BS6" s="12" t="s">
        <v>195</v>
      </c>
      <c r="BT6" s="12" t="str">
        <f>HYPERLINK("https%3A%2F%2Fwww.webofscience.com%2Fwos%2Fwoscc%2Ffull-record%2FWOS:000380624400004","View Full Record in Web of Science")</f>
        <v>View Full Record in Web of Science</v>
      </c>
    </row>
    <row r="7" ht="12.75" customHeight="1">
      <c r="A7" s="12" t="s">
        <v>23</v>
      </c>
      <c r="B7" s="12" t="s">
        <v>1211</v>
      </c>
      <c r="C7" s="12" t="s">
        <v>12129</v>
      </c>
      <c r="D7" s="12" t="s">
        <v>12129</v>
      </c>
      <c r="E7" s="12" t="s">
        <v>12129</v>
      </c>
      <c r="F7" s="12" t="s">
        <v>1211</v>
      </c>
      <c r="G7" s="12" t="s">
        <v>12129</v>
      </c>
      <c r="H7" s="12" t="s">
        <v>12129</v>
      </c>
      <c r="I7" s="12" t="s">
        <v>1212</v>
      </c>
      <c r="J7" s="12" t="s">
        <v>465</v>
      </c>
      <c r="K7" s="12" t="s">
        <v>12129</v>
      </c>
      <c r="L7" s="12" t="s">
        <v>12129</v>
      </c>
      <c r="M7" s="12" t="s">
        <v>3263</v>
      </c>
      <c r="N7" s="12" t="s">
        <v>266</v>
      </c>
      <c r="O7" s="12" t="s">
        <v>15892</v>
      </c>
      <c r="P7" s="12" t="s">
        <v>15893</v>
      </c>
      <c r="Q7" s="12" t="s">
        <v>15894</v>
      </c>
      <c r="R7" s="12" t="s">
        <v>12129</v>
      </c>
      <c r="S7" s="12" t="s">
        <v>12129</v>
      </c>
      <c r="T7" s="12" t="s">
        <v>15663</v>
      </c>
      <c r="U7" s="12" t="s">
        <v>15664</v>
      </c>
      <c r="V7" s="12" t="s">
        <v>1213</v>
      </c>
      <c r="W7" s="12" t="s">
        <v>15895</v>
      </c>
      <c r="X7" s="12" t="s">
        <v>15896</v>
      </c>
      <c r="Y7" s="12" t="s">
        <v>15897</v>
      </c>
      <c r="Z7" s="12" t="s">
        <v>12129</v>
      </c>
      <c r="AA7" s="12" t="s">
        <v>15898</v>
      </c>
      <c r="AB7" s="12" t="s">
        <v>15899</v>
      </c>
      <c r="AC7" s="12" t="s">
        <v>12129</v>
      </c>
      <c r="AD7" s="12" t="s">
        <v>12129</v>
      </c>
      <c r="AE7" s="12" t="s">
        <v>12129</v>
      </c>
      <c r="AF7" s="12" t="s">
        <v>12129</v>
      </c>
      <c r="AG7" s="12">
        <v>8.0</v>
      </c>
      <c r="AH7" s="12">
        <v>77.0</v>
      </c>
      <c r="AI7" s="12">
        <v>82.0</v>
      </c>
      <c r="AJ7" s="12">
        <v>0.0</v>
      </c>
      <c r="AK7" s="12">
        <v>23.0</v>
      </c>
      <c r="AL7" s="12" t="s">
        <v>15319</v>
      </c>
      <c r="AM7" s="12" t="s">
        <v>13182</v>
      </c>
      <c r="AN7" s="12" t="s">
        <v>15900</v>
      </c>
      <c r="AO7" s="12" t="s">
        <v>13896</v>
      </c>
      <c r="AP7" s="12" t="s">
        <v>12129</v>
      </c>
      <c r="AQ7" s="12" t="s">
        <v>12129</v>
      </c>
      <c r="AR7" s="12" t="s">
        <v>13898</v>
      </c>
      <c r="AS7" s="12" t="s">
        <v>13899</v>
      </c>
      <c r="AT7" s="12" t="s">
        <v>15665</v>
      </c>
      <c r="AU7" s="12">
        <v>2001.0</v>
      </c>
      <c r="AV7" s="12">
        <v>130.0</v>
      </c>
      <c r="AW7" s="12" t="s">
        <v>6551</v>
      </c>
      <c r="AX7" s="12">
        <v>2.0</v>
      </c>
      <c r="AY7" s="12" t="s">
        <v>12129</v>
      </c>
      <c r="AZ7" s="12" t="s">
        <v>12129</v>
      </c>
      <c r="BA7" s="12" t="s">
        <v>12129</v>
      </c>
      <c r="BB7" s="12">
        <v>787.0</v>
      </c>
      <c r="BC7" s="12">
        <v>792.0</v>
      </c>
      <c r="BD7" s="12" t="s">
        <v>12129</v>
      </c>
      <c r="BE7" s="12" t="s">
        <v>1214</v>
      </c>
      <c r="BF7" s="25" t="str">
        <f>HYPERLINK("http://dx.doi.org/10.1023/A:1013806223310","http://dx.doi.org/10.1023/A:1013806223310")</f>
        <v>http://dx.doi.org/10.1023/A:1013806223310</v>
      </c>
      <c r="BG7" s="12" t="s">
        <v>12129</v>
      </c>
      <c r="BH7" s="12" t="s">
        <v>12129</v>
      </c>
      <c r="BI7" s="12">
        <v>6.0</v>
      </c>
      <c r="BJ7" s="12" t="s">
        <v>469</v>
      </c>
      <c r="BK7" s="12" t="s">
        <v>15901</v>
      </c>
      <c r="BL7" s="12" t="s">
        <v>13901</v>
      </c>
      <c r="BM7" s="12" t="s">
        <v>15902</v>
      </c>
      <c r="BN7" s="12" t="s">
        <v>12129</v>
      </c>
      <c r="BO7" s="12" t="s">
        <v>12129</v>
      </c>
      <c r="BP7" s="12" t="s">
        <v>12129</v>
      </c>
      <c r="BQ7" s="12" t="s">
        <v>12129</v>
      </c>
      <c r="BR7" s="12" t="s">
        <v>15851</v>
      </c>
      <c r="BS7" s="12" t="s">
        <v>1216</v>
      </c>
      <c r="BT7" s="12" t="str">
        <f>HYPERLINK("https%3A%2F%2Fwww.webofscience.com%2Fwos%2Fwoscc%2Ffull-record%2FWOS:000172011900102","View Full Record in Web of Science")</f>
        <v>View Full Record in Web of Science</v>
      </c>
    </row>
    <row r="8" ht="12.75" customHeight="1">
      <c r="A8" s="12" t="s">
        <v>23</v>
      </c>
      <c r="B8" s="12" t="s">
        <v>107</v>
      </c>
      <c r="C8" s="12" t="s">
        <v>12129</v>
      </c>
      <c r="D8" s="12" t="s">
        <v>12129</v>
      </c>
      <c r="E8" s="12" t="s">
        <v>12129</v>
      </c>
      <c r="F8" s="12" t="s">
        <v>8937</v>
      </c>
      <c r="G8" s="12" t="s">
        <v>12129</v>
      </c>
      <c r="H8" s="12" t="s">
        <v>12129</v>
      </c>
      <c r="I8" s="12" t="s">
        <v>108</v>
      </c>
      <c r="J8" s="12" t="s">
        <v>34</v>
      </c>
      <c r="K8" s="12" t="s">
        <v>12129</v>
      </c>
      <c r="L8" s="12" t="s">
        <v>12129</v>
      </c>
      <c r="M8" s="12" t="s">
        <v>3263</v>
      </c>
      <c r="N8" s="12" t="s">
        <v>35</v>
      </c>
      <c r="O8" s="12" t="s">
        <v>12129</v>
      </c>
      <c r="P8" s="12" t="s">
        <v>12129</v>
      </c>
      <c r="Q8" s="12" t="s">
        <v>12129</v>
      </c>
      <c r="R8" s="12" t="s">
        <v>12129</v>
      </c>
      <c r="S8" s="12" t="s">
        <v>12129</v>
      </c>
      <c r="T8" s="12" t="s">
        <v>15571</v>
      </c>
      <c r="U8" s="12" t="s">
        <v>15572</v>
      </c>
      <c r="V8" s="12" t="s">
        <v>109</v>
      </c>
      <c r="W8" s="12" t="s">
        <v>15903</v>
      </c>
      <c r="X8" s="12" t="s">
        <v>15904</v>
      </c>
      <c r="Y8" s="12" t="s">
        <v>15905</v>
      </c>
      <c r="Z8" s="12" t="s">
        <v>15906</v>
      </c>
      <c r="AA8" s="12" t="s">
        <v>15907</v>
      </c>
      <c r="AB8" s="12" t="s">
        <v>15908</v>
      </c>
      <c r="AC8" s="12" t="s">
        <v>15909</v>
      </c>
      <c r="AD8" s="12" t="s">
        <v>15910</v>
      </c>
      <c r="AE8" s="12" t="s">
        <v>15911</v>
      </c>
      <c r="AF8" s="12" t="s">
        <v>12129</v>
      </c>
      <c r="AG8" s="12">
        <v>71.0</v>
      </c>
      <c r="AH8" s="12">
        <v>227.0</v>
      </c>
      <c r="AI8" s="12">
        <v>258.0</v>
      </c>
      <c r="AJ8" s="12">
        <v>2.0</v>
      </c>
      <c r="AK8" s="12">
        <v>343.0</v>
      </c>
      <c r="AL8" s="12" t="s">
        <v>12631</v>
      </c>
      <c r="AM8" s="12" t="s">
        <v>12632</v>
      </c>
      <c r="AN8" s="12" t="s">
        <v>12633</v>
      </c>
      <c r="AO8" s="12" t="s">
        <v>1689</v>
      </c>
      <c r="AP8" s="12" t="s">
        <v>12129</v>
      </c>
      <c r="AQ8" s="12" t="s">
        <v>12129</v>
      </c>
      <c r="AR8" s="12" t="s">
        <v>12634</v>
      </c>
      <c r="AS8" s="12" t="s">
        <v>12635</v>
      </c>
      <c r="AT8" s="12" t="s">
        <v>15573</v>
      </c>
      <c r="AU8" s="12">
        <v>2017.0</v>
      </c>
      <c r="AV8" s="12">
        <v>114.0</v>
      </c>
      <c r="AW8" s="12">
        <v>14.0</v>
      </c>
      <c r="AX8" s="12" t="s">
        <v>12129</v>
      </c>
      <c r="AY8" s="12" t="s">
        <v>12129</v>
      </c>
      <c r="AZ8" s="12" t="s">
        <v>12129</v>
      </c>
      <c r="BA8" s="12" t="s">
        <v>12129</v>
      </c>
      <c r="BB8" s="12">
        <v>3660.0</v>
      </c>
      <c r="BC8" s="12">
        <v>3665.0</v>
      </c>
      <c r="BD8" s="12" t="s">
        <v>12129</v>
      </c>
      <c r="BE8" s="12" t="s">
        <v>110</v>
      </c>
      <c r="BF8" s="25" t="str">
        <f>HYPERLINK("http://dx.doi.org/10.1073/pnas.1621517114","http://dx.doi.org/10.1073/pnas.1621517114")</f>
        <v>http://dx.doi.org/10.1073/pnas.1621517114</v>
      </c>
      <c r="BG8" s="12" t="s">
        <v>12129</v>
      </c>
      <c r="BH8" s="12" t="s">
        <v>12129</v>
      </c>
      <c r="BI8" s="12">
        <v>6.0</v>
      </c>
      <c r="BJ8" s="12" t="s">
        <v>39</v>
      </c>
      <c r="BK8" s="12" t="s">
        <v>12176</v>
      </c>
      <c r="BL8" s="12" t="s">
        <v>12202</v>
      </c>
      <c r="BM8" s="12" t="s">
        <v>15912</v>
      </c>
      <c r="BN8" s="12">
        <v>2.8320966E7</v>
      </c>
      <c r="BO8" s="12" t="s">
        <v>12378</v>
      </c>
      <c r="BP8" s="12" t="s">
        <v>12129</v>
      </c>
      <c r="BQ8" s="12" t="s">
        <v>12129</v>
      </c>
      <c r="BR8" s="12" t="s">
        <v>15851</v>
      </c>
      <c r="BS8" s="12" t="s">
        <v>112</v>
      </c>
      <c r="BT8" s="12" t="str">
        <f>HYPERLINK("https%3A%2F%2Fwww.webofscience.com%2Fwos%2Fwoscc%2Ffull-record%2FWOS:000398159000048","View Full Record in Web of Science")</f>
        <v>View Full Record in Web of Science</v>
      </c>
    </row>
    <row r="9" ht="12.75" customHeight="1">
      <c r="A9" s="12" t="s">
        <v>23</v>
      </c>
      <c r="B9" s="12" t="s">
        <v>914</v>
      </c>
      <c r="C9" s="12" t="s">
        <v>12129</v>
      </c>
      <c r="D9" s="12" t="s">
        <v>12129</v>
      </c>
      <c r="E9" s="12" t="s">
        <v>12129</v>
      </c>
      <c r="F9" s="12" t="s">
        <v>8077</v>
      </c>
      <c r="G9" s="12" t="s">
        <v>12129</v>
      </c>
      <c r="H9" s="12" t="s">
        <v>12129</v>
      </c>
      <c r="I9" s="12" t="s">
        <v>915</v>
      </c>
      <c r="J9" s="12" t="s">
        <v>324</v>
      </c>
      <c r="K9" s="12" t="s">
        <v>12129</v>
      </c>
      <c r="L9" s="12" t="s">
        <v>12129</v>
      </c>
      <c r="M9" s="12" t="s">
        <v>3263</v>
      </c>
      <c r="N9" s="12" t="s">
        <v>35</v>
      </c>
      <c r="O9" s="12" t="s">
        <v>12129</v>
      </c>
      <c r="P9" s="12" t="s">
        <v>12129</v>
      </c>
      <c r="Q9" s="12" t="s">
        <v>12129</v>
      </c>
      <c r="R9" s="12" t="s">
        <v>12129</v>
      </c>
      <c r="S9" s="12" t="s">
        <v>12129</v>
      </c>
      <c r="T9" s="12" t="s">
        <v>12129</v>
      </c>
      <c r="U9" s="12" t="s">
        <v>15500</v>
      </c>
      <c r="V9" s="12" t="s">
        <v>916</v>
      </c>
      <c r="W9" s="12" t="s">
        <v>15913</v>
      </c>
      <c r="X9" s="12" t="s">
        <v>15914</v>
      </c>
      <c r="Y9" s="12" t="s">
        <v>15915</v>
      </c>
      <c r="Z9" s="12" t="s">
        <v>15916</v>
      </c>
      <c r="AA9" s="12" t="s">
        <v>15917</v>
      </c>
      <c r="AB9" s="12" t="s">
        <v>15918</v>
      </c>
      <c r="AC9" s="12" t="s">
        <v>15919</v>
      </c>
      <c r="AD9" s="12" t="s">
        <v>15920</v>
      </c>
      <c r="AE9" s="12" t="s">
        <v>15921</v>
      </c>
      <c r="AF9" s="12" t="s">
        <v>12129</v>
      </c>
      <c r="AG9" s="12">
        <v>22.0</v>
      </c>
      <c r="AH9" s="12">
        <v>806.0</v>
      </c>
      <c r="AI9" s="12">
        <v>1024.0</v>
      </c>
      <c r="AJ9" s="12">
        <v>5.0</v>
      </c>
      <c r="AK9" s="12">
        <v>362.0</v>
      </c>
      <c r="AL9" s="12" t="s">
        <v>15485</v>
      </c>
      <c r="AM9" s="12" t="s">
        <v>12632</v>
      </c>
      <c r="AN9" s="12" t="s">
        <v>15872</v>
      </c>
      <c r="AO9" s="12" t="s">
        <v>1511</v>
      </c>
      <c r="AP9" s="12" t="s">
        <v>1917</v>
      </c>
      <c r="AQ9" s="12" t="s">
        <v>12129</v>
      </c>
      <c r="AR9" s="12" t="s">
        <v>324</v>
      </c>
      <c r="AS9" s="12" t="s">
        <v>1510</v>
      </c>
      <c r="AT9" s="12" t="s">
        <v>15501</v>
      </c>
      <c r="AU9" s="12">
        <v>2010.0</v>
      </c>
      <c r="AV9" s="12">
        <v>327.0</v>
      </c>
      <c r="AW9" s="12">
        <v>5964.0</v>
      </c>
      <c r="AX9" s="12" t="s">
        <v>12129</v>
      </c>
      <c r="AY9" s="12" t="s">
        <v>12129</v>
      </c>
      <c r="AZ9" s="12" t="s">
        <v>12129</v>
      </c>
      <c r="BA9" s="12" t="s">
        <v>12129</v>
      </c>
      <c r="BB9" s="12">
        <v>454.0</v>
      </c>
      <c r="BC9" s="12">
        <v>458.0</v>
      </c>
      <c r="BD9" s="12" t="s">
        <v>12129</v>
      </c>
      <c r="BE9" s="12" t="s">
        <v>917</v>
      </c>
      <c r="BF9" s="25" t="str">
        <f>HYPERLINK("http://dx.doi.org/10.1126/science.1180568","http://dx.doi.org/10.1126/science.1180568")</f>
        <v>http://dx.doi.org/10.1126/science.1180568</v>
      </c>
      <c r="BG9" s="12" t="s">
        <v>12129</v>
      </c>
      <c r="BH9" s="12" t="s">
        <v>12129</v>
      </c>
      <c r="BI9" s="12">
        <v>5.0</v>
      </c>
      <c r="BJ9" s="12" t="s">
        <v>39</v>
      </c>
      <c r="BK9" s="12" t="s">
        <v>12176</v>
      </c>
      <c r="BL9" s="12" t="s">
        <v>12202</v>
      </c>
      <c r="BM9" s="12" t="s">
        <v>15922</v>
      </c>
      <c r="BN9" s="12">
        <v>2.0093471E7</v>
      </c>
      <c r="BO9" s="12" t="s">
        <v>12129</v>
      </c>
      <c r="BP9" s="12" t="s">
        <v>12129</v>
      </c>
      <c r="BQ9" s="12" t="s">
        <v>12129</v>
      </c>
      <c r="BR9" s="12" t="s">
        <v>15851</v>
      </c>
      <c r="BS9" s="12" t="s">
        <v>919</v>
      </c>
      <c r="BT9" s="12" t="str">
        <f>HYPERLINK("https%3A%2F%2Fwww.webofscience.com%2Fwos%2Fwoscc%2Ffull-record%2FWOS:000273783100035","View Full Record in Web of Science")</f>
        <v>View Full Record in Web of Science</v>
      </c>
    </row>
    <row r="10" ht="12.75" customHeight="1">
      <c r="A10" s="12" t="s">
        <v>23</v>
      </c>
      <c r="B10" s="12" t="s">
        <v>1205</v>
      </c>
      <c r="C10" s="12" t="s">
        <v>12129</v>
      </c>
      <c r="D10" s="12" t="s">
        <v>12129</v>
      </c>
      <c r="E10" s="12" t="s">
        <v>12129</v>
      </c>
      <c r="F10" s="12" t="s">
        <v>1205</v>
      </c>
      <c r="G10" s="12" t="s">
        <v>12129</v>
      </c>
      <c r="H10" s="12" t="s">
        <v>12129</v>
      </c>
      <c r="I10" s="12" t="s">
        <v>1206</v>
      </c>
      <c r="J10" s="12" t="s">
        <v>795</v>
      </c>
      <c r="K10" s="12" t="s">
        <v>12129</v>
      </c>
      <c r="L10" s="12" t="s">
        <v>12129</v>
      </c>
      <c r="M10" s="12" t="s">
        <v>3263</v>
      </c>
      <c r="N10" s="12" t="s">
        <v>35</v>
      </c>
      <c r="O10" s="12" t="s">
        <v>12129</v>
      </c>
      <c r="P10" s="12" t="s">
        <v>12129</v>
      </c>
      <c r="Q10" s="12" t="s">
        <v>12129</v>
      </c>
      <c r="R10" s="12" t="s">
        <v>12129</v>
      </c>
      <c r="S10" s="12" t="s">
        <v>12129</v>
      </c>
      <c r="T10" s="12" t="s">
        <v>12129</v>
      </c>
      <c r="U10" s="12" t="s">
        <v>15434</v>
      </c>
      <c r="V10" s="12" t="s">
        <v>12129</v>
      </c>
      <c r="W10" s="12" t="s">
        <v>15923</v>
      </c>
      <c r="X10" s="12" t="s">
        <v>15924</v>
      </c>
      <c r="Y10" s="12" t="s">
        <v>15925</v>
      </c>
      <c r="Z10" s="12" t="s">
        <v>15926</v>
      </c>
      <c r="AA10" s="12" t="s">
        <v>12129</v>
      </c>
      <c r="AB10" s="12" t="s">
        <v>15927</v>
      </c>
      <c r="AC10" s="12" t="s">
        <v>12129</v>
      </c>
      <c r="AD10" s="12" t="s">
        <v>12129</v>
      </c>
      <c r="AE10" s="12" t="s">
        <v>12129</v>
      </c>
      <c r="AF10" s="12" t="s">
        <v>12129</v>
      </c>
      <c r="AG10" s="12">
        <v>31.0</v>
      </c>
      <c r="AH10" s="12">
        <v>2069.0</v>
      </c>
      <c r="AI10" s="12">
        <v>2583.0</v>
      </c>
      <c r="AJ10" s="12">
        <v>15.0</v>
      </c>
      <c r="AK10" s="12">
        <v>501.0</v>
      </c>
      <c r="AL10" s="12" t="s">
        <v>13792</v>
      </c>
      <c r="AM10" s="12" t="s">
        <v>12295</v>
      </c>
      <c r="AN10" s="12" t="s">
        <v>13793</v>
      </c>
      <c r="AO10" s="12" t="s">
        <v>2585</v>
      </c>
      <c r="AP10" s="12" t="s">
        <v>8172</v>
      </c>
      <c r="AQ10" s="12" t="s">
        <v>12129</v>
      </c>
      <c r="AR10" s="12" t="s">
        <v>795</v>
      </c>
      <c r="AS10" s="12" t="s">
        <v>6090</v>
      </c>
      <c r="AT10" s="12" t="s">
        <v>12660</v>
      </c>
      <c r="AU10" s="12">
        <v>2002.0</v>
      </c>
      <c r="AV10" s="12">
        <v>52.0</v>
      </c>
      <c r="AW10" s="12">
        <v>2.0</v>
      </c>
      <c r="AX10" s="12" t="s">
        <v>12129</v>
      </c>
      <c r="AY10" s="12" t="s">
        <v>12129</v>
      </c>
      <c r="AZ10" s="12" t="s">
        <v>12129</v>
      </c>
      <c r="BA10" s="12" t="s">
        <v>12129</v>
      </c>
      <c r="BB10" s="12">
        <v>143.0</v>
      </c>
      <c r="BC10" s="12">
        <v>150.0</v>
      </c>
      <c r="BD10" s="12" t="s">
        <v>12129</v>
      </c>
      <c r="BE10" s="12" t="s">
        <v>1207</v>
      </c>
      <c r="BF10" s="25" t="str">
        <f>HYPERLINK("http://dx.doi.org/10.1641/0006-3568(2002)052[0143:PCAUDF]2.0.CO;2","http://dx.doi.org/10.1641/0006-3568(2002)052[0143:PCAUDF]2.0.CO;2")</f>
        <v>http://dx.doi.org/10.1641/0006-3568(2002)052[0143:PCAUDF]2.0.CO;2</v>
      </c>
      <c r="BG10" s="12" t="s">
        <v>12129</v>
      </c>
      <c r="BH10" s="12" t="s">
        <v>12129</v>
      </c>
      <c r="BI10" s="12">
        <v>8.0</v>
      </c>
      <c r="BJ10" s="12" t="s">
        <v>185</v>
      </c>
      <c r="BK10" s="12" t="s">
        <v>12729</v>
      </c>
      <c r="BL10" s="12" t="s">
        <v>13772</v>
      </c>
      <c r="BM10" s="12" t="s">
        <v>15928</v>
      </c>
      <c r="BN10" s="12" t="s">
        <v>12129</v>
      </c>
      <c r="BO10" s="12" t="s">
        <v>12538</v>
      </c>
      <c r="BP10" s="12" t="s">
        <v>12129</v>
      </c>
      <c r="BQ10" s="12" t="s">
        <v>12129</v>
      </c>
      <c r="BR10" s="12" t="s">
        <v>15851</v>
      </c>
      <c r="BS10" s="12" t="s">
        <v>1209</v>
      </c>
      <c r="BT10" s="12" t="str">
        <f>HYPERLINK("https%3A%2F%2Fwww.webofscience.com%2Fwos%2Fwoscc%2Ffull-record%2FWOS:000173839600005","View Full Record in Web of Science")</f>
        <v>View Full Record in Web of Science</v>
      </c>
    </row>
    <row r="11" ht="12.75" customHeight="1">
      <c r="A11" s="12" t="s">
        <v>23</v>
      </c>
      <c r="B11" s="12" t="s">
        <v>391</v>
      </c>
      <c r="C11" s="12" t="s">
        <v>12129</v>
      </c>
      <c r="D11" s="12" t="s">
        <v>12129</v>
      </c>
      <c r="E11" s="12" t="s">
        <v>12129</v>
      </c>
      <c r="F11" s="12" t="s">
        <v>11048</v>
      </c>
      <c r="G11" s="12" t="s">
        <v>12129</v>
      </c>
      <c r="H11" s="12" t="s">
        <v>12129</v>
      </c>
      <c r="I11" s="12" t="s">
        <v>392</v>
      </c>
      <c r="J11" s="12" t="s">
        <v>393</v>
      </c>
      <c r="K11" s="12" t="s">
        <v>12129</v>
      </c>
      <c r="L11" s="12" t="s">
        <v>12129</v>
      </c>
      <c r="M11" s="12" t="s">
        <v>3263</v>
      </c>
      <c r="N11" s="12" t="s">
        <v>35</v>
      </c>
      <c r="O11" s="12" t="s">
        <v>12129</v>
      </c>
      <c r="P11" s="12" t="s">
        <v>12129</v>
      </c>
      <c r="Q11" s="12" t="s">
        <v>12129</v>
      </c>
      <c r="R11" s="12" t="s">
        <v>12129</v>
      </c>
      <c r="S11" s="12" t="s">
        <v>12129</v>
      </c>
      <c r="T11" s="12" t="s">
        <v>12129</v>
      </c>
      <c r="U11" s="12" t="s">
        <v>15459</v>
      </c>
      <c r="V11" s="12" t="s">
        <v>394</v>
      </c>
      <c r="W11" s="12" t="s">
        <v>15929</v>
      </c>
      <c r="X11" s="12" t="s">
        <v>15930</v>
      </c>
      <c r="Y11" s="12" t="s">
        <v>15931</v>
      </c>
      <c r="Z11" s="12" t="s">
        <v>12129</v>
      </c>
      <c r="AA11" s="12" t="s">
        <v>12129</v>
      </c>
      <c r="AB11" s="12" t="s">
        <v>15932</v>
      </c>
      <c r="AC11" s="12" t="s">
        <v>15933</v>
      </c>
      <c r="AD11" s="12" t="s">
        <v>15934</v>
      </c>
      <c r="AE11" s="12" t="s">
        <v>15935</v>
      </c>
      <c r="AF11" s="12" t="s">
        <v>12129</v>
      </c>
      <c r="AG11" s="12">
        <v>36.0</v>
      </c>
      <c r="AH11" s="12">
        <v>229.0</v>
      </c>
      <c r="AI11" s="12">
        <v>286.0</v>
      </c>
      <c r="AJ11" s="12">
        <v>9.0</v>
      </c>
      <c r="AK11" s="12">
        <v>127.0</v>
      </c>
      <c r="AL11" s="12" t="s">
        <v>15460</v>
      </c>
      <c r="AM11" s="12" t="s">
        <v>14366</v>
      </c>
      <c r="AN11" s="12" t="s">
        <v>15936</v>
      </c>
      <c r="AO11" s="12" t="s">
        <v>7044</v>
      </c>
      <c r="AP11" s="12" t="s">
        <v>15937</v>
      </c>
      <c r="AQ11" s="12" t="s">
        <v>12129</v>
      </c>
      <c r="AR11" s="12" t="s">
        <v>15461</v>
      </c>
      <c r="AS11" s="12" t="s">
        <v>15462</v>
      </c>
      <c r="AT11" s="12" t="s">
        <v>13078</v>
      </c>
      <c r="AU11" s="12">
        <v>2015.0</v>
      </c>
      <c r="AV11" s="12">
        <v>97.0</v>
      </c>
      <c r="AW11" s="12">
        <v>1.0</v>
      </c>
      <c r="AX11" s="12" t="s">
        <v>12129</v>
      </c>
      <c r="AY11" s="12" t="s">
        <v>12129</v>
      </c>
      <c r="AZ11" s="12" t="s">
        <v>12129</v>
      </c>
      <c r="BA11" s="12" t="s">
        <v>12129</v>
      </c>
      <c r="BB11" s="12">
        <v>104.0</v>
      </c>
      <c r="BC11" s="12">
        <v>115.0</v>
      </c>
      <c r="BD11" s="12" t="s">
        <v>12129</v>
      </c>
      <c r="BE11" s="12" t="s">
        <v>395</v>
      </c>
      <c r="BF11" s="25" t="str">
        <f>HYPERLINK("http://dx.doi.org/10.1162/REST_a_00438","http://dx.doi.org/10.1162/REST_a_00438")</f>
        <v>http://dx.doi.org/10.1162/REST_a_00438</v>
      </c>
      <c r="BG11" s="12" t="s">
        <v>12129</v>
      </c>
      <c r="BH11" s="12" t="s">
        <v>12129</v>
      </c>
      <c r="BI11" s="12">
        <v>12.0</v>
      </c>
      <c r="BJ11" s="12" t="s">
        <v>397</v>
      </c>
      <c r="BK11" s="12" t="s">
        <v>12461</v>
      </c>
      <c r="BL11" s="12" t="s">
        <v>15463</v>
      </c>
      <c r="BM11" s="12" t="s">
        <v>15938</v>
      </c>
      <c r="BN11" s="12" t="s">
        <v>12129</v>
      </c>
      <c r="BO11" s="12" t="s">
        <v>12129</v>
      </c>
      <c r="BP11" s="12" t="s">
        <v>12129</v>
      </c>
      <c r="BQ11" s="12" t="s">
        <v>12129</v>
      </c>
      <c r="BR11" s="12" t="s">
        <v>15851</v>
      </c>
      <c r="BS11" s="12" t="s">
        <v>398</v>
      </c>
      <c r="BT11" s="12" t="str">
        <f>HYPERLINK("https%3A%2F%2Fwww.webofscience.com%2Fwos%2Fwoscc%2Ffull-record%2FWOS:000350556700008","View Full Record in Web of Science")</f>
        <v>View Full Record in Web of Science</v>
      </c>
    </row>
    <row r="12" ht="12.75" customHeight="1">
      <c r="A12" s="12" t="s">
        <v>23</v>
      </c>
      <c r="B12" s="12" t="s">
        <v>472</v>
      </c>
      <c r="C12" s="12" t="s">
        <v>12129</v>
      </c>
      <c r="D12" s="12" t="s">
        <v>12129</v>
      </c>
      <c r="E12" s="12" t="s">
        <v>12129</v>
      </c>
      <c r="F12" s="12" t="s">
        <v>10495</v>
      </c>
      <c r="G12" s="12" t="s">
        <v>12129</v>
      </c>
      <c r="H12" s="12" t="s">
        <v>12129</v>
      </c>
      <c r="I12" s="12" t="s">
        <v>473</v>
      </c>
      <c r="J12" s="12" t="s">
        <v>474</v>
      </c>
      <c r="K12" s="12" t="s">
        <v>12129</v>
      </c>
      <c r="L12" s="12" t="s">
        <v>12129</v>
      </c>
      <c r="M12" s="12" t="s">
        <v>3263</v>
      </c>
      <c r="N12" s="12" t="s">
        <v>35</v>
      </c>
      <c r="O12" s="12" t="s">
        <v>12129</v>
      </c>
      <c r="P12" s="12" t="s">
        <v>12129</v>
      </c>
      <c r="Q12" s="12" t="s">
        <v>12129</v>
      </c>
      <c r="R12" s="12" t="s">
        <v>12129</v>
      </c>
      <c r="S12" s="12" t="s">
        <v>12129</v>
      </c>
      <c r="T12" s="12" t="s">
        <v>15672</v>
      </c>
      <c r="U12" s="12" t="s">
        <v>15673</v>
      </c>
      <c r="V12" s="12" t="s">
        <v>475</v>
      </c>
      <c r="W12" s="12" t="s">
        <v>15939</v>
      </c>
      <c r="X12" s="12" t="s">
        <v>15940</v>
      </c>
      <c r="Y12" s="12" t="s">
        <v>15941</v>
      </c>
      <c r="Z12" s="12" t="s">
        <v>15942</v>
      </c>
      <c r="AA12" s="12" t="s">
        <v>15943</v>
      </c>
      <c r="AB12" s="12" t="s">
        <v>12129</v>
      </c>
      <c r="AC12" s="12" t="s">
        <v>12129</v>
      </c>
      <c r="AD12" s="12" t="s">
        <v>12129</v>
      </c>
      <c r="AE12" s="12" t="s">
        <v>12129</v>
      </c>
      <c r="AF12" s="12" t="s">
        <v>12129</v>
      </c>
      <c r="AG12" s="12">
        <v>92.0</v>
      </c>
      <c r="AH12" s="12">
        <v>128.0</v>
      </c>
      <c r="AI12" s="12">
        <v>150.0</v>
      </c>
      <c r="AJ12" s="12">
        <v>1.0</v>
      </c>
      <c r="AK12" s="12">
        <v>8.0</v>
      </c>
      <c r="AL12" s="12" t="s">
        <v>15674</v>
      </c>
      <c r="AM12" s="12" t="s">
        <v>15675</v>
      </c>
      <c r="AN12" s="12" t="s">
        <v>15944</v>
      </c>
      <c r="AO12" s="12" t="s">
        <v>15945</v>
      </c>
      <c r="AP12" s="12" t="s">
        <v>15946</v>
      </c>
      <c r="AQ12" s="12" t="s">
        <v>12129</v>
      </c>
      <c r="AR12" s="12" t="s">
        <v>15676</v>
      </c>
      <c r="AS12" s="12" t="s">
        <v>15677</v>
      </c>
      <c r="AT12" s="12" t="s">
        <v>12249</v>
      </c>
      <c r="AU12" s="12">
        <v>2014.0</v>
      </c>
      <c r="AV12" s="12">
        <v>2.0</v>
      </c>
      <c r="AW12" s="12">
        <v>3.0</v>
      </c>
      <c r="AX12" s="12" t="s">
        <v>12129</v>
      </c>
      <c r="AY12" s="12" t="s">
        <v>12129</v>
      </c>
      <c r="AZ12" s="12" t="s">
        <v>12129</v>
      </c>
      <c r="BA12" s="12" t="s">
        <v>12129</v>
      </c>
      <c r="BB12" s="12">
        <v>36.0</v>
      </c>
      <c r="BC12" s="12">
        <v>47.0</v>
      </c>
      <c r="BD12" s="12" t="s">
        <v>12129</v>
      </c>
      <c r="BE12" s="12" t="s">
        <v>476</v>
      </c>
      <c r="BF12" s="25" t="str">
        <f>HYPERLINK("http://dx.doi.org/10.1016/S2095-6339(15)30021-6","http://dx.doi.org/10.1016/S2095-6339(15)30021-6")</f>
        <v>http://dx.doi.org/10.1016/S2095-6339(15)30021-6</v>
      </c>
      <c r="BG12" s="12" t="s">
        <v>12129</v>
      </c>
      <c r="BH12" s="12" t="s">
        <v>12129</v>
      </c>
      <c r="BI12" s="12">
        <v>12.0</v>
      </c>
      <c r="BJ12" s="12" t="s">
        <v>478</v>
      </c>
      <c r="BK12" s="12" t="s">
        <v>12150</v>
      </c>
      <c r="BL12" s="12" t="s">
        <v>15678</v>
      </c>
      <c r="BM12" s="12" t="s">
        <v>15947</v>
      </c>
      <c r="BN12" s="12" t="s">
        <v>12129</v>
      </c>
      <c r="BO12" s="12" t="s">
        <v>12399</v>
      </c>
      <c r="BP12" s="12" t="s">
        <v>12129</v>
      </c>
      <c r="BQ12" s="12" t="s">
        <v>12129</v>
      </c>
      <c r="BR12" s="12" t="s">
        <v>15851</v>
      </c>
      <c r="BS12" s="12" t="s">
        <v>479</v>
      </c>
      <c r="BT12" s="12" t="str">
        <f>HYPERLINK("https%3A%2F%2Fwww.webofscience.com%2Fwos%2Fwoscc%2Ffull-record%2FWOS:000435740500003","View Full Record in Web of Science")</f>
        <v>View Full Record in Web of Science</v>
      </c>
    </row>
    <row r="13" ht="12.75" customHeight="1">
      <c r="A13" s="12" t="s">
        <v>23</v>
      </c>
      <c r="B13" s="12" t="s">
        <v>609</v>
      </c>
      <c r="C13" s="12" t="s">
        <v>12129</v>
      </c>
      <c r="D13" s="12" t="s">
        <v>12129</v>
      </c>
      <c r="E13" s="12" t="s">
        <v>12129</v>
      </c>
      <c r="F13" s="12" t="s">
        <v>8181</v>
      </c>
      <c r="G13" s="12" t="s">
        <v>12129</v>
      </c>
      <c r="H13" s="12" t="s">
        <v>12129</v>
      </c>
      <c r="I13" s="12" t="s">
        <v>610</v>
      </c>
      <c r="J13" s="12" t="s">
        <v>611</v>
      </c>
      <c r="K13" s="12" t="s">
        <v>12129</v>
      </c>
      <c r="L13" s="12" t="s">
        <v>12129</v>
      </c>
      <c r="M13" s="12" t="s">
        <v>3263</v>
      </c>
      <c r="N13" s="12" t="s">
        <v>35</v>
      </c>
      <c r="O13" s="12" t="s">
        <v>12129</v>
      </c>
      <c r="P13" s="12" t="s">
        <v>12129</v>
      </c>
      <c r="Q13" s="12" t="s">
        <v>12129</v>
      </c>
      <c r="R13" s="12" t="s">
        <v>12129</v>
      </c>
      <c r="S13" s="12" t="s">
        <v>12129</v>
      </c>
      <c r="T13" s="12" t="s">
        <v>12129</v>
      </c>
      <c r="U13" s="12" t="s">
        <v>12129</v>
      </c>
      <c r="V13" s="12" t="s">
        <v>12129</v>
      </c>
      <c r="W13" s="12" t="s">
        <v>15948</v>
      </c>
      <c r="X13" s="12" t="s">
        <v>15949</v>
      </c>
      <c r="Y13" s="12" t="s">
        <v>15950</v>
      </c>
      <c r="Z13" s="12" t="s">
        <v>12129</v>
      </c>
      <c r="AA13" s="12" t="s">
        <v>15951</v>
      </c>
      <c r="AB13" s="12" t="s">
        <v>12129</v>
      </c>
      <c r="AC13" s="12" t="s">
        <v>12129</v>
      </c>
      <c r="AD13" s="12" t="s">
        <v>12129</v>
      </c>
      <c r="AE13" s="12" t="s">
        <v>12129</v>
      </c>
      <c r="AF13" s="12" t="s">
        <v>12129</v>
      </c>
      <c r="AG13" s="12">
        <v>35.0</v>
      </c>
      <c r="AH13" s="12">
        <v>84.0</v>
      </c>
      <c r="AI13" s="12">
        <v>96.0</v>
      </c>
      <c r="AJ13" s="12">
        <v>0.0</v>
      </c>
      <c r="AK13" s="12">
        <v>48.0</v>
      </c>
      <c r="AL13" s="12" t="s">
        <v>12243</v>
      </c>
      <c r="AM13" s="12" t="s">
        <v>12244</v>
      </c>
      <c r="AN13" s="12" t="s">
        <v>12245</v>
      </c>
      <c r="AO13" s="12" t="s">
        <v>3633</v>
      </c>
      <c r="AP13" s="12" t="s">
        <v>15952</v>
      </c>
      <c r="AQ13" s="12" t="s">
        <v>12129</v>
      </c>
      <c r="AR13" s="12" t="s">
        <v>15521</v>
      </c>
      <c r="AS13" s="12" t="s">
        <v>15522</v>
      </c>
      <c r="AT13" s="12" t="s">
        <v>12660</v>
      </c>
      <c r="AU13" s="12">
        <v>2013.0</v>
      </c>
      <c r="AV13" s="12">
        <v>38.0</v>
      </c>
      <c r="AW13" s="12" t="s">
        <v>12129</v>
      </c>
      <c r="AX13" s="12" t="s">
        <v>12129</v>
      </c>
      <c r="AY13" s="12">
        <v>1.0</v>
      </c>
      <c r="AZ13" s="12" t="s">
        <v>12129</v>
      </c>
      <c r="BA13" s="12" t="s">
        <v>12129</v>
      </c>
      <c r="BB13" s="12">
        <v>221.0</v>
      </c>
      <c r="BC13" s="12">
        <v>242.0</v>
      </c>
      <c r="BD13" s="12" t="s">
        <v>12129</v>
      </c>
      <c r="BE13" s="12" t="s">
        <v>612</v>
      </c>
      <c r="BF13" s="25" t="str">
        <f>HYPERLINK("http://dx.doi.org/10.1111/j.1728-4457.2013.00561.x","http://dx.doi.org/10.1111/j.1728-4457.2013.00561.x")</f>
        <v>http://dx.doi.org/10.1111/j.1728-4457.2013.00561.x</v>
      </c>
      <c r="BG13" s="12" t="s">
        <v>12129</v>
      </c>
      <c r="BH13" s="12" t="s">
        <v>12129</v>
      </c>
      <c r="BI13" s="12">
        <v>22.0</v>
      </c>
      <c r="BJ13" s="12" t="s">
        <v>614</v>
      </c>
      <c r="BK13" s="12" t="s">
        <v>12461</v>
      </c>
      <c r="BL13" s="12" t="s">
        <v>614</v>
      </c>
      <c r="BM13" s="12" t="s">
        <v>15953</v>
      </c>
      <c r="BN13" s="12" t="s">
        <v>12129</v>
      </c>
      <c r="BO13" s="12" t="s">
        <v>12129</v>
      </c>
      <c r="BP13" s="12" t="s">
        <v>12129</v>
      </c>
      <c r="BQ13" s="12" t="s">
        <v>12129</v>
      </c>
      <c r="BR13" s="12" t="s">
        <v>15851</v>
      </c>
      <c r="BS13" s="12" t="s">
        <v>615</v>
      </c>
      <c r="BT13" s="12" t="str">
        <f>HYPERLINK("https%3A%2F%2Fwww.webofscience.com%2Fwos%2Fwoscc%2Ffull-record%2FWOS:000315224500015","View Full Record in Web of Science")</f>
        <v>View Full Record in Web of Science</v>
      </c>
    </row>
    <row r="14" ht="12.75" customHeight="1">
      <c r="A14" s="12" t="s">
        <v>23</v>
      </c>
      <c r="B14" s="12" t="s">
        <v>658</v>
      </c>
      <c r="C14" s="12" t="s">
        <v>12129</v>
      </c>
      <c r="D14" s="12" t="s">
        <v>12129</v>
      </c>
      <c r="E14" s="12" t="s">
        <v>12129</v>
      </c>
      <c r="F14" s="12" t="s">
        <v>6655</v>
      </c>
      <c r="G14" s="12" t="s">
        <v>12129</v>
      </c>
      <c r="H14" s="12" t="s">
        <v>12129</v>
      </c>
      <c r="I14" s="12" t="s">
        <v>659</v>
      </c>
      <c r="J14" s="12" t="s">
        <v>660</v>
      </c>
      <c r="K14" s="12" t="s">
        <v>12129</v>
      </c>
      <c r="L14" s="12" t="s">
        <v>12129</v>
      </c>
      <c r="M14" s="12" t="s">
        <v>3263</v>
      </c>
      <c r="N14" s="12" t="s">
        <v>35</v>
      </c>
      <c r="O14" s="12" t="s">
        <v>12129</v>
      </c>
      <c r="P14" s="12" t="s">
        <v>12129</v>
      </c>
      <c r="Q14" s="12" t="s">
        <v>12129</v>
      </c>
      <c r="R14" s="12" t="s">
        <v>12129</v>
      </c>
      <c r="S14" s="12" t="s">
        <v>12129</v>
      </c>
      <c r="T14" s="12" t="s">
        <v>15516</v>
      </c>
      <c r="U14" s="12" t="s">
        <v>15517</v>
      </c>
      <c r="V14" s="12" t="s">
        <v>661</v>
      </c>
      <c r="W14" s="12" t="s">
        <v>15954</v>
      </c>
      <c r="X14" s="12" t="s">
        <v>15955</v>
      </c>
      <c r="Y14" s="12" t="s">
        <v>15956</v>
      </c>
      <c r="Z14" s="12" t="s">
        <v>15957</v>
      </c>
      <c r="AA14" s="12" t="s">
        <v>15958</v>
      </c>
      <c r="AB14" s="12" t="s">
        <v>15959</v>
      </c>
      <c r="AC14" s="12" t="s">
        <v>15960</v>
      </c>
      <c r="AD14" s="12" t="s">
        <v>15961</v>
      </c>
      <c r="AE14" s="12" t="s">
        <v>15962</v>
      </c>
      <c r="AF14" s="12" t="s">
        <v>12129</v>
      </c>
      <c r="AG14" s="12">
        <v>31.0</v>
      </c>
      <c r="AH14" s="12">
        <v>135.0</v>
      </c>
      <c r="AI14" s="12">
        <v>160.0</v>
      </c>
      <c r="AJ14" s="12">
        <v>0.0</v>
      </c>
      <c r="AK14" s="12">
        <v>109.0</v>
      </c>
      <c r="AL14" s="12" t="s">
        <v>12243</v>
      </c>
      <c r="AM14" s="12" t="s">
        <v>12244</v>
      </c>
      <c r="AN14" s="12" t="s">
        <v>12245</v>
      </c>
      <c r="AO14" s="12" t="s">
        <v>15963</v>
      </c>
      <c r="AP14" s="12" t="s">
        <v>15964</v>
      </c>
      <c r="AQ14" s="12" t="s">
        <v>12129</v>
      </c>
      <c r="AR14" s="12" t="s">
        <v>15518</v>
      </c>
      <c r="AS14" s="12" t="s">
        <v>15519</v>
      </c>
      <c r="AT14" s="12" t="s">
        <v>12787</v>
      </c>
      <c r="AU14" s="12">
        <v>2012.0</v>
      </c>
      <c r="AV14" s="12">
        <v>4.0</v>
      </c>
      <c r="AW14" s="12">
        <v>6.0</v>
      </c>
      <c r="AX14" s="12" t="s">
        <v>12129</v>
      </c>
      <c r="AY14" s="12" t="s">
        <v>12129</v>
      </c>
      <c r="AZ14" s="12" t="s">
        <v>12129</v>
      </c>
      <c r="BA14" s="12" t="s">
        <v>12129</v>
      </c>
      <c r="BB14" s="12">
        <v>908.0</v>
      </c>
      <c r="BC14" s="12">
        <v>918.0</v>
      </c>
      <c r="BD14" s="12" t="s">
        <v>12129</v>
      </c>
      <c r="BE14" s="12" t="s">
        <v>662</v>
      </c>
      <c r="BF14" s="25" t="str">
        <f>HYPERLINK("http://dx.doi.org/10.1111/j.1757-1707.2012.01172.x","http://dx.doi.org/10.1111/j.1757-1707.2012.01172.x")</f>
        <v>http://dx.doi.org/10.1111/j.1757-1707.2012.01172.x</v>
      </c>
      <c r="BG14" s="12" t="s">
        <v>12129</v>
      </c>
      <c r="BH14" s="12" t="s">
        <v>12129</v>
      </c>
      <c r="BI14" s="12">
        <v>11.0</v>
      </c>
      <c r="BJ14" s="12" t="s">
        <v>664</v>
      </c>
      <c r="BK14" s="12" t="s">
        <v>12176</v>
      </c>
      <c r="BL14" s="12" t="s">
        <v>15520</v>
      </c>
      <c r="BM14" s="12" t="s">
        <v>15965</v>
      </c>
      <c r="BN14" s="12" t="s">
        <v>12129</v>
      </c>
      <c r="BO14" s="12" t="s">
        <v>12808</v>
      </c>
      <c r="BP14" s="12" t="s">
        <v>12129</v>
      </c>
      <c r="BQ14" s="12" t="s">
        <v>12129</v>
      </c>
      <c r="BR14" s="12" t="s">
        <v>15851</v>
      </c>
      <c r="BS14" s="12" t="s">
        <v>665</v>
      </c>
      <c r="BT14" s="12" t="str">
        <f>HYPERLINK("https%3A%2F%2Fwww.webofscience.com%2Fwos%2Fwoscc%2Ffull-record%2FWOS:000309450100028","View Full Record in Web of Science")</f>
        <v>View Full Record in Web of Science</v>
      </c>
    </row>
    <row r="15" ht="12.75" customHeight="1">
      <c r="A15" s="12" t="s">
        <v>23</v>
      </c>
      <c r="B15" s="12" t="s">
        <v>824</v>
      </c>
      <c r="C15" s="12" t="s">
        <v>12129</v>
      </c>
      <c r="D15" s="12" t="s">
        <v>12129</v>
      </c>
      <c r="E15" s="12" t="s">
        <v>12129</v>
      </c>
      <c r="F15" s="12" t="s">
        <v>15966</v>
      </c>
      <c r="G15" s="12" t="s">
        <v>12129</v>
      </c>
      <c r="H15" s="12" t="s">
        <v>12129</v>
      </c>
      <c r="I15" s="12" t="s">
        <v>825</v>
      </c>
      <c r="J15" s="12" t="s">
        <v>324</v>
      </c>
      <c r="K15" s="12" t="s">
        <v>12129</v>
      </c>
      <c r="L15" s="12" t="s">
        <v>12129</v>
      </c>
      <c r="M15" s="12" t="s">
        <v>3263</v>
      </c>
      <c r="N15" s="12" t="s">
        <v>35</v>
      </c>
      <c r="O15" s="12" t="s">
        <v>12129</v>
      </c>
      <c r="P15" s="12" t="s">
        <v>12129</v>
      </c>
      <c r="Q15" s="12" t="s">
        <v>12129</v>
      </c>
      <c r="R15" s="12" t="s">
        <v>12129</v>
      </c>
      <c r="S15" s="12" t="s">
        <v>12129</v>
      </c>
      <c r="T15" s="12" t="s">
        <v>12129</v>
      </c>
      <c r="U15" s="12" t="s">
        <v>15493</v>
      </c>
      <c r="V15" s="12" t="s">
        <v>826</v>
      </c>
      <c r="W15" s="12" t="s">
        <v>15967</v>
      </c>
      <c r="X15" s="12" t="s">
        <v>15968</v>
      </c>
      <c r="Y15" s="12" t="s">
        <v>15969</v>
      </c>
      <c r="Z15" s="12" t="s">
        <v>15970</v>
      </c>
      <c r="AA15" s="12" t="s">
        <v>15971</v>
      </c>
      <c r="AB15" s="12" t="s">
        <v>15972</v>
      </c>
      <c r="AC15" s="12" t="s">
        <v>15973</v>
      </c>
      <c r="AD15" s="12" t="s">
        <v>15974</v>
      </c>
      <c r="AE15" s="12" t="s">
        <v>15975</v>
      </c>
      <c r="AF15" s="12" t="s">
        <v>12129</v>
      </c>
      <c r="AG15" s="12">
        <v>31.0</v>
      </c>
      <c r="AH15" s="12">
        <v>972.0</v>
      </c>
      <c r="AI15" s="12">
        <v>1165.0</v>
      </c>
      <c r="AJ15" s="12">
        <v>13.0</v>
      </c>
      <c r="AK15" s="12">
        <v>677.0</v>
      </c>
      <c r="AL15" s="12" t="s">
        <v>15485</v>
      </c>
      <c r="AM15" s="12" t="s">
        <v>12632</v>
      </c>
      <c r="AN15" s="12" t="s">
        <v>15872</v>
      </c>
      <c r="AO15" s="12" t="s">
        <v>1511</v>
      </c>
      <c r="AP15" s="12" t="s">
        <v>12129</v>
      </c>
      <c r="AQ15" s="12" t="s">
        <v>12129</v>
      </c>
      <c r="AR15" s="12" t="s">
        <v>324</v>
      </c>
      <c r="AS15" s="12" t="s">
        <v>1510</v>
      </c>
      <c r="AT15" s="12" t="s">
        <v>15494</v>
      </c>
      <c r="AU15" s="12">
        <v>2010.0</v>
      </c>
      <c r="AV15" s="12">
        <v>329.0</v>
      </c>
      <c r="AW15" s="12">
        <v>5996.0</v>
      </c>
      <c r="AX15" s="12" t="s">
        <v>12129</v>
      </c>
      <c r="AY15" s="12" t="s">
        <v>12129</v>
      </c>
      <c r="AZ15" s="12" t="s">
        <v>12129</v>
      </c>
      <c r="BA15" s="12" t="s">
        <v>12129</v>
      </c>
      <c r="BB15" s="12">
        <v>1185.0</v>
      </c>
      <c r="BC15" s="12">
        <v>1188.0</v>
      </c>
      <c r="BD15" s="12" t="s">
        <v>12129</v>
      </c>
      <c r="BE15" s="12" t="s">
        <v>827</v>
      </c>
      <c r="BF15" s="25" t="str">
        <f>HYPERLINK("http://dx.doi.org/10.1126/science.1192321","http://dx.doi.org/10.1126/science.1192321")</f>
        <v>http://dx.doi.org/10.1126/science.1192321</v>
      </c>
      <c r="BG15" s="12" t="s">
        <v>12129</v>
      </c>
      <c r="BH15" s="12" t="s">
        <v>12129</v>
      </c>
      <c r="BI15" s="12">
        <v>4.0</v>
      </c>
      <c r="BJ15" s="12" t="s">
        <v>39</v>
      </c>
      <c r="BK15" s="12" t="s">
        <v>12176</v>
      </c>
      <c r="BL15" s="12" t="s">
        <v>12202</v>
      </c>
      <c r="BM15" s="12" t="s">
        <v>15976</v>
      </c>
      <c r="BN15" s="12">
        <v>2.0724586E7</v>
      </c>
      <c r="BO15" s="12" t="s">
        <v>12538</v>
      </c>
      <c r="BP15" s="12" t="s">
        <v>12129</v>
      </c>
      <c r="BQ15" s="12" t="s">
        <v>12129</v>
      </c>
      <c r="BR15" s="12" t="s">
        <v>15851</v>
      </c>
      <c r="BS15" s="12" t="s">
        <v>829</v>
      </c>
      <c r="BT15" s="12" t="str">
        <f>HYPERLINK("https%3A%2F%2Fwww.webofscience.com%2Fwos%2Fwoscc%2Ffull-record%2FWOS:000281485600030","View Full Record in Web of Science")</f>
        <v>View Full Record in Web of Science</v>
      </c>
    </row>
    <row r="16" ht="12.75" customHeight="1">
      <c r="A16" s="12" t="s">
        <v>23</v>
      </c>
      <c r="B16" s="12" t="s">
        <v>68</v>
      </c>
      <c r="C16" s="12" t="s">
        <v>12129</v>
      </c>
      <c r="D16" s="12" t="s">
        <v>12129</v>
      </c>
      <c r="E16" s="12" t="s">
        <v>12129</v>
      </c>
      <c r="F16" s="12" t="s">
        <v>9833</v>
      </c>
      <c r="G16" s="12" t="s">
        <v>12129</v>
      </c>
      <c r="H16" s="12" t="s">
        <v>12129</v>
      </c>
      <c r="I16" s="12" t="s">
        <v>69</v>
      </c>
      <c r="J16" s="12" t="s">
        <v>34</v>
      </c>
      <c r="K16" s="12" t="s">
        <v>12129</v>
      </c>
      <c r="L16" s="12" t="s">
        <v>12129</v>
      </c>
      <c r="M16" s="12" t="s">
        <v>3263</v>
      </c>
      <c r="N16" s="12" t="s">
        <v>35</v>
      </c>
      <c r="O16" s="12" t="s">
        <v>12129</v>
      </c>
      <c r="P16" s="12" t="s">
        <v>12129</v>
      </c>
      <c r="Q16" s="12" t="s">
        <v>12129</v>
      </c>
      <c r="R16" s="12" t="s">
        <v>12129</v>
      </c>
      <c r="S16" s="12" t="s">
        <v>12129</v>
      </c>
      <c r="T16" s="12" t="s">
        <v>15568</v>
      </c>
      <c r="U16" s="12" t="s">
        <v>15569</v>
      </c>
      <c r="V16" s="12" t="s">
        <v>70</v>
      </c>
      <c r="W16" s="12" t="s">
        <v>15977</v>
      </c>
      <c r="X16" s="12" t="s">
        <v>15978</v>
      </c>
      <c r="Y16" s="12" t="s">
        <v>15979</v>
      </c>
      <c r="Z16" s="12" t="s">
        <v>15980</v>
      </c>
      <c r="AA16" s="12" t="s">
        <v>15981</v>
      </c>
      <c r="AB16" s="12" t="s">
        <v>12129</v>
      </c>
      <c r="AC16" s="12" t="s">
        <v>15982</v>
      </c>
      <c r="AD16" s="12" t="s">
        <v>15983</v>
      </c>
      <c r="AE16" s="12" t="s">
        <v>15984</v>
      </c>
      <c r="AF16" s="12" t="s">
        <v>12129</v>
      </c>
      <c r="AG16" s="12">
        <v>12.0</v>
      </c>
      <c r="AH16" s="12">
        <v>384.0</v>
      </c>
      <c r="AI16" s="12">
        <v>459.0</v>
      </c>
      <c r="AJ16" s="12">
        <v>2.0</v>
      </c>
      <c r="AK16" s="12">
        <v>88.0</v>
      </c>
      <c r="AL16" s="12" t="s">
        <v>12631</v>
      </c>
      <c r="AM16" s="12" t="s">
        <v>12632</v>
      </c>
      <c r="AN16" s="12" t="s">
        <v>12633</v>
      </c>
      <c r="AO16" s="12" t="s">
        <v>1689</v>
      </c>
      <c r="AP16" s="12" t="s">
        <v>12129</v>
      </c>
      <c r="AQ16" s="12" t="s">
        <v>12129</v>
      </c>
      <c r="AR16" s="12" t="s">
        <v>12634</v>
      </c>
      <c r="AS16" s="12" t="s">
        <v>12635</v>
      </c>
      <c r="AT16" s="12" t="s">
        <v>15570</v>
      </c>
      <c r="AU16" s="12">
        <v>2017.0</v>
      </c>
      <c r="AV16" s="12">
        <v>114.0</v>
      </c>
      <c r="AW16" s="12">
        <v>48.0</v>
      </c>
      <c r="AX16" s="12" t="s">
        <v>12129</v>
      </c>
      <c r="AY16" s="12" t="s">
        <v>12129</v>
      </c>
      <c r="AZ16" s="12" t="s">
        <v>12129</v>
      </c>
      <c r="BA16" s="12" t="s">
        <v>12129</v>
      </c>
      <c r="BB16" s="12">
        <v>12681.0</v>
      </c>
      <c r="BC16" s="12">
        <v>12684.0</v>
      </c>
      <c r="BD16" s="12" t="s">
        <v>12129</v>
      </c>
      <c r="BE16" s="12" t="s">
        <v>71</v>
      </c>
      <c r="BF16" s="25" t="str">
        <f>HYPERLINK("http://dx.doi.org/10.1073/pnas.1716222114","http://dx.doi.org/10.1073/pnas.1716222114")</f>
        <v>http://dx.doi.org/10.1073/pnas.1716222114</v>
      </c>
      <c r="BG16" s="12" t="s">
        <v>12129</v>
      </c>
      <c r="BH16" s="12" t="s">
        <v>12129</v>
      </c>
      <c r="BI16" s="12">
        <v>4.0</v>
      </c>
      <c r="BJ16" s="12" t="s">
        <v>39</v>
      </c>
      <c r="BK16" s="12" t="s">
        <v>12176</v>
      </c>
      <c r="BL16" s="12" t="s">
        <v>12202</v>
      </c>
      <c r="BM16" s="12" t="s">
        <v>15985</v>
      </c>
      <c r="BN16" s="12">
        <v>2.9133388E7</v>
      </c>
      <c r="BO16" s="12" t="s">
        <v>12378</v>
      </c>
      <c r="BP16" s="12" t="s">
        <v>12129</v>
      </c>
      <c r="BQ16" s="12" t="s">
        <v>12129</v>
      </c>
      <c r="BR16" s="12" t="s">
        <v>15851</v>
      </c>
      <c r="BS16" s="12" t="s">
        <v>73</v>
      </c>
      <c r="BT16" s="12" t="str">
        <f>HYPERLINK("https%3A%2F%2Fwww.webofscience.com%2Fwos%2Fwoscc%2Ffull-record%2FWOS:000416891600045","View Full Record in Web of Science")</f>
        <v>View Full Record in Web of Science</v>
      </c>
    </row>
    <row r="17" ht="12.75" customHeight="1">
      <c r="A17" s="12" t="s">
        <v>23</v>
      </c>
      <c r="B17" s="12" t="s">
        <v>148</v>
      </c>
      <c r="C17" s="12" t="s">
        <v>12129</v>
      </c>
      <c r="D17" s="12" t="s">
        <v>12129</v>
      </c>
      <c r="E17" s="12" t="s">
        <v>12129</v>
      </c>
      <c r="F17" s="12" t="s">
        <v>5957</v>
      </c>
      <c r="G17" s="12" t="s">
        <v>12129</v>
      </c>
      <c r="H17" s="12" t="s">
        <v>12129</v>
      </c>
      <c r="I17" s="12" t="s">
        <v>149</v>
      </c>
      <c r="J17" s="12" t="s">
        <v>86</v>
      </c>
      <c r="K17" s="12" t="s">
        <v>12129</v>
      </c>
      <c r="L17" s="12" t="s">
        <v>12129</v>
      </c>
      <c r="M17" s="12" t="s">
        <v>3263</v>
      </c>
      <c r="N17" s="12" t="s">
        <v>35</v>
      </c>
      <c r="O17" s="12" t="s">
        <v>12129</v>
      </c>
      <c r="P17" s="12" t="s">
        <v>12129</v>
      </c>
      <c r="Q17" s="12" t="s">
        <v>12129</v>
      </c>
      <c r="R17" s="12" t="s">
        <v>12129</v>
      </c>
      <c r="S17" s="12" t="s">
        <v>12129</v>
      </c>
      <c r="T17" s="12" t="s">
        <v>12129</v>
      </c>
      <c r="U17" s="12" t="s">
        <v>15512</v>
      </c>
      <c r="V17" s="12" t="s">
        <v>150</v>
      </c>
      <c r="W17" s="12" t="s">
        <v>15986</v>
      </c>
      <c r="X17" s="12" t="s">
        <v>15987</v>
      </c>
      <c r="Y17" s="12" t="s">
        <v>15988</v>
      </c>
      <c r="Z17" s="12" t="s">
        <v>15989</v>
      </c>
      <c r="AA17" s="12" t="s">
        <v>15990</v>
      </c>
      <c r="AB17" s="12" t="s">
        <v>15991</v>
      </c>
      <c r="AC17" s="12" t="s">
        <v>15992</v>
      </c>
      <c r="AD17" s="12" t="s">
        <v>15992</v>
      </c>
      <c r="AE17" s="12" t="s">
        <v>15993</v>
      </c>
      <c r="AF17" s="12" t="s">
        <v>12129</v>
      </c>
      <c r="AG17" s="12">
        <v>53.0</v>
      </c>
      <c r="AH17" s="12">
        <v>597.0</v>
      </c>
      <c r="AI17" s="12">
        <v>666.0</v>
      </c>
      <c r="AJ17" s="12">
        <v>17.0</v>
      </c>
      <c r="AK17" s="12">
        <v>345.0</v>
      </c>
      <c r="AL17" s="12" t="s">
        <v>15485</v>
      </c>
      <c r="AM17" s="12" t="s">
        <v>12632</v>
      </c>
      <c r="AN17" s="12" t="s">
        <v>15872</v>
      </c>
      <c r="AO17" s="12" t="s">
        <v>1614</v>
      </c>
      <c r="AP17" s="12" t="s">
        <v>12129</v>
      </c>
      <c r="AQ17" s="12" t="s">
        <v>12129</v>
      </c>
      <c r="AR17" s="12" t="s">
        <v>15511</v>
      </c>
      <c r="AS17" s="12" t="s">
        <v>5964</v>
      </c>
      <c r="AT17" s="12" t="s">
        <v>13127</v>
      </c>
      <c r="AU17" s="12">
        <v>2017.0</v>
      </c>
      <c r="AV17" s="12">
        <v>3.0</v>
      </c>
      <c r="AW17" s="12">
        <v>1.0</v>
      </c>
      <c r="AX17" s="12" t="s">
        <v>12129</v>
      </c>
      <c r="AY17" s="12" t="s">
        <v>12129</v>
      </c>
      <c r="AZ17" s="12" t="s">
        <v>12129</v>
      </c>
      <c r="BA17" s="12" t="s">
        <v>12129</v>
      </c>
      <c r="BB17" s="12" t="s">
        <v>12129</v>
      </c>
      <c r="BC17" s="12" t="s">
        <v>12129</v>
      </c>
      <c r="BD17" s="12" t="s">
        <v>5963</v>
      </c>
      <c r="BE17" s="12" t="s">
        <v>151</v>
      </c>
      <c r="BF17" s="25" t="str">
        <f>HYPERLINK("http://dx.doi.org/10.1126/sciadv.1600821","http://dx.doi.org/10.1126/sciadv.1600821")</f>
        <v>http://dx.doi.org/10.1126/sciadv.1600821</v>
      </c>
      <c r="BG17" s="12" t="s">
        <v>12129</v>
      </c>
      <c r="BH17" s="12" t="s">
        <v>12129</v>
      </c>
      <c r="BI17" s="12">
        <v>13.0</v>
      </c>
      <c r="BJ17" s="12" t="s">
        <v>39</v>
      </c>
      <c r="BK17" s="12" t="s">
        <v>12176</v>
      </c>
      <c r="BL17" s="12" t="s">
        <v>12202</v>
      </c>
      <c r="BM17" s="12" t="s">
        <v>15994</v>
      </c>
      <c r="BN17" s="12">
        <v>2.8097216E7</v>
      </c>
      <c r="BO17" s="12" t="s">
        <v>12179</v>
      </c>
      <c r="BP17" s="12" t="s">
        <v>12129</v>
      </c>
      <c r="BQ17" s="12" t="s">
        <v>12129</v>
      </c>
      <c r="BR17" s="12" t="s">
        <v>15851</v>
      </c>
      <c r="BS17" s="12" t="s">
        <v>153</v>
      </c>
      <c r="BT17" s="12" t="str">
        <f>HYPERLINK("https%3A%2F%2Fwww.webofscience.com%2Fwos%2Fwoscc%2Ffull-record%2FWOS:000393789900007","View Full Record in Web of Science")</f>
        <v>View Full Record in Web of Science</v>
      </c>
    </row>
    <row r="18" ht="12.75" customHeight="1">
      <c r="A18" s="12" t="s">
        <v>23</v>
      </c>
      <c r="B18" s="12" t="s">
        <v>353</v>
      </c>
      <c r="C18" s="12" t="s">
        <v>12129</v>
      </c>
      <c r="D18" s="12" t="s">
        <v>12129</v>
      </c>
      <c r="E18" s="12" t="s">
        <v>12129</v>
      </c>
      <c r="F18" s="12" t="s">
        <v>7203</v>
      </c>
      <c r="G18" s="12" t="s">
        <v>12129</v>
      </c>
      <c r="H18" s="12" t="s">
        <v>12129</v>
      </c>
      <c r="I18" s="12" t="s">
        <v>354</v>
      </c>
      <c r="J18" s="12" t="s">
        <v>215</v>
      </c>
      <c r="K18" s="12" t="s">
        <v>12129</v>
      </c>
      <c r="L18" s="12" t="s">
        <v>12129</v>
      </c>
      <c r="M18" s="12" t="s">
        <v>3263</v>
      </c>
      <c r="N18" s="12" t="s">
        <v>35</v>
      </c>
      <c r="O18" s="12" t="s">
        <v>12129</v>
      </c>
      <c r="P18" s="12" t="s">
        <v>12129</v>
      </c>
      <c r="Q18" s="12" t="s">
        <v>12129</v>
      </c>
      <c r="R18" s="12" t="s">
        <v>12129</v>
      </c>
      <c r="S18" s="12" t="s">
        <v>12129</v>
      </c>
      <c r="T18" s="12" t="s">
        <v>12129</v>
      </c>
      <c r="U18" s="12" t="s">
        <v>15410</v>
      </c>
      <c r="V18" s="12" t="s">
        <v>355</v>
      </c>
      <c r="W18" s="12" t="s">
        <v>15995</v>
      </c>
      <c r="X18" s="12" t="s">
        <v>15996</v>
      </c>
      <c r="Y18" s="12" t="s">
        <v>15997</v>
      </c>
      <c r="Z18" s="12" t="s">
        <v>15998</v>
      </c>
      <c r="AA18" s="12" t="s">
        <v>15999</v>
      </c>
      <c r="AB18" s="12" t="s">
        <v>16000</v>
      </c>
      <c r="AC18" s="12" t="s">
        <v>16001</v>
      </c>
      <c r="AD18" s="12" t="s">
        <v>16002</v>
      </c>
      <c r="AE18" s="12" t="s">
        <v>16003</v>
      </c>
      <c r="AF18" s="12" t="s">
        <v>12129</v>
      </c>
      <c r="AG18" s="12">
        <v>65.0</v>
      </c>
      <c r="AH18" s="12">
        <v>20.0</v>
      </c>
      <c r="AI18" s="12">
        <v>21.0</v>
      </c>
      <c r="AJ18" s="12">
        <v>1.0</v>
      </c>
      <c r="AK18" s="12">
        <v>58.0</v>
      </c>
      <c r="AL18" s="12" t="s">
        <v>15408</v>
      </c>
      <c r="AM18" s="12" t="s">
        <v>15409</v>
      </c>
      <c r="AN18" s="12" t="s">
        <v>16004</v>
      </c>
      <c r="AO18" s="12" t="s">
        <v>16005</v>
      </c>
      <c r="AP18" s="12" t="s">
        <v>12129</v>
      </c>
      <c r="AQ18" s="12" t="s">
        <v>12129</v>
      </c>
      <c r="AR18" s="12" t="s">
        <v>215</v>
      </c>
      <c r="AS18" s="12" t="s">
        <v>219</v>
      </c>
      <c r="AT18" s="12" t="s">
        <v>12436</v>
      </c>
      <c r="AU18" s="12">
        <v>2015.0</v>
      </c>
      <c r="AV18" s="12">
        <v>28.0</v>
      </c>
      <c r="AW18" s="12">
        <v>2.0</v>
      </c>
      <c r="AX18" s="12" t="s">
        <v>12129</v>
      </c>
      <c r="AY18" s="12" t="s">
        <v>12129</v>
      </c>
      <c r="AZ18" s="12" t="s">
        <v>13188</v>
      </c>
      <c r="BA18" s="12" t="s">
        <v>12129</v>
      </c>
      <c r="BB18" s="12">
        <v>30.0</v>
      </c>
      <c r="BC18" s="12">
        <v>39.0</v>
      </c>
      <c r="BD18" s="12" t="s">
        <v>12129</v>
      </c>
      <c r="BE18" s="12" t="s">
        <v>356</v>
      </c>
      <c r="BF18" s="25" t="str">
        <f>HYPERLINK("http://dx.doi.org/10.5670/oceanog.2015.29","http://dx.doi.org/10.5670/oceanog.2015.29")</f>
        <v>http://dx.doi.org/10.5670/oceanog.2015.29</v>
      </c>
      <c r="BG18" s="12" t="s">
        <v>12129</v>
      </c>
      <c r="BH18" s="12" t="s">
        <v>12129</v>
      </c>
      <c r="BI18" s="12">
        <v>10.0</v>
      </c>
      <c r="BJ18" s="12" t="s">
        <v>219</v>
      </c>
      <c r="BK18" s="12" t="s">
        <v>12176</v>
      </c>
      <c r="BL18" s="12" t="s">
        <v>219</v>
      </c>
      <c r="BM18" s="12" t="s">
        <v>16006</v>
      </c>
      <c r="BN18" s="12" t="s">
        <v>12129</v>
      </c>
      <c r="BO18" s="12" t="s">
        <v>12179</v>
      </c>
      <c r="BP18" s="12" t="s">
        <v>12129</v>
      </c>
      <c r="BQ18" s="12" t="s">
        <v>12129</v>
      </c>
      <c r="BR18" s="12" t="s">
        <v>15851</v>
      </c>
      <c r="BS18" s="12" t="s">
        <v>358</v>
      </c>
      <c r="BT18" s="12" t="str">
        <f>HYPERLINK("https%3A%2F%2Fwww.webofscience.com%2Fwos%2Fwoscc%2Ffull-record%2FWOS:000357231700007","View Full Record in Web of Science")</f>
        <v>View Full Record in Web of Science</v>
      </c>
    </row>
    <row r="19" ht="12.75" customHeight="1">
      <c r="A19" s="12" t="s">
        <v>23</v>
      </c>
      <c r="B19" s="12" t="s">
        <v>414</v>
      </c>
      <c r="C19" s="12" t="s">
        <v>12129</v>
      </c>
      <c r="D19" s="12" t="s">
        <v>12129</v>
      </c>
      <c r="E19" s="12" t="s">
        <v>12129</v>
      </c>
      <c r="F19" s="12" t="s">
        <v>16007</v>
      </c>
      <c r="G19" s="12" t="s">
        <v>12129</v>
      </c>
      <c r="H19" s="12" t="s">
        <v>12129</v>
      </c>
      <c r="I19" s="12" t="s">
        <v>415</v>
      </c>
      <c r="J19" s="12" t="s">
        <v>416</v>
      </c>
      <c r="K19" s="12" t="s">
        <v>12129</v>
      </c>
      <c r="L19" s="12" t="s">
        <v>12129</v>
      </c>
      <c r="M19" s="12" t="s">
        <v>3263</v>
      </c>
      <c r="N19" s="12" t="s">
        <v>35</v>
      </c>
      <c r="O19" s="12" t="s">
        <v>12129</v>
      </c>
      <c r="P19" s="12" t="s">
        <v>12129</v>
      </c>
      <c r="Q19" s="12" t="s">
        <v>12129</v>
      </c>
      <c r="R19" s="12" t="s">
        <v>12129</v>
      </c>
      <c r="S19" s="12" t="s">
        <v>12129</v>
      </c>
      <c r="T19" s="12" t="s">
        <v>12129</v>
      </c>
      <c r="U19" s="12" t="s">
        <v>15632</v>
      </c>
      <c r="V19" s="12" t="s">
        <v>417</v>
      </c>
      <c r="W19" s="12" t="s">
        <v>16008</v>
      </c>
      <c r="X19" s="12" t="s">
        <v>16009</v>
      </c>
      <c r="Y19" s="12" t="s">
        <v>16010</v>
      </c>
      <c r="Z19" s="12" t="s">
        <v>16011</v>
      </c>
      <c r="AA19" s="12" t="s">
        <v>16012</v>
      </c>
      <c r="AB19" s="12" t="s">
        <v>16013</v>
      </c>
      <c r="AC19" s="12" t="s">
        <v>16014</v>
      </c>
      <c r="AD19" s="12" t="s">
        <v>16015</v>
      </c>
      <c r="AE19" s="12" t="s">
        <v>16016</v>
      </c>
      <c r="AF19" s="12" t="s">
        <v>12129</v>
      </c>
      <c r="AG19" s="12">
        <v>30.0</v>
      </c>
      <c r="AH19" s="12">
        <v>523.0</v>
      </c>
      <c r="AI19" s="12">
        <v>586.0</v>
      </c>
      <c r="AJ19" s="12">
        <v>20.0</v>
      </c>
      <c r="AK19" s="12">
        <v>437.0</v>
      </c>
      <c r="AL19" s="12" t="s">
        <v>15615</v>
      </c>
      <c r="AM19" s="12" t="s">
        <v>12170</v>
      </c>
      <c r="AN19" s="12" t="s">
        <v>16017</v>
      </c>
      <c r="AO19" s="12" t="s">
        <v>4293</v>
      </c>
      <c r="AP19" s="12" t="s">
        <v>10365</v>
      </c>
      <c r="AQ19" s="12" t="s">
        <v>12129</v>
      </c>
      <c r="AR19" s="12" t="s">
        <v>15633</v>
      </c>
      <c r="AS19" s="12" t="s">
        <v>15634</v>
      </c>
      <c r="AT19" s="12" t="s">
        <v>12660</v>
      </c>
      <c r="AU19" s="12">
        <v>2015.0</v>
      </c>
      <c r="AV19" s="12">
        <v>5.0</v>
      </c>
      <c r="AW19" s="12">
        <v>2.0</v>
      </c>
      <c r="AX19" s="12" t="s">
        <v>12129</v>
      </c>
      <c r="AY19" s="12" t="s">
        <v>12129</v>
      </c>
      <c r="AZ19" s="12" t="s">
        <v>12129</v>
      </c>
      <c r="BA19" s="12" t="s">
        <v>12129</v>
      </c>
      <c r="BB19" s="12">
        <v>132.0</v>
      </c>
      <c r="BC19" s="12">
        <v>137.0</v>
      </c>
      <c r="BD19" s="12" t="s">
        <v>12129</v>
      </c>
      <c r="BE19" s="12" t="s">
        <v>418</v>
      </c>
      <c r="BF19" s="25" t="str">
        <f>HYPERLINK("http://dx.doi.org/10.1038/NCLIMATE2492","http://dx.doi.org/10.1038/NCLIMATE2492")</f>
        <v>http://dx.doi.org/10.1038/NCLIMATE2492</v>
      </c>
      <c r="BG19" s="12" t="s">
        <v>12129</v>
      </c>
      <c r="BH19" s="12" t="s">
        <v>12129</v>
      </c>
      <c r="BI19" s="12">
        <v>6.0</v>
      </c>
      <c r="BJ19" s="12" t="s">
        <v>420</v>
      </c>
      <c r="BK19" s="12" t="s">
        <v>12729</v>
      </c>
      <c r="BL19" s="12" t="s">
        <v>12397</v>
      </c>
      <c r="BM19" s="12" t="s">
        <v>16018</v>
      </c>
      <c r="BN19" s="12" t="s">
        <v>12129</v>
      </c>
      <c r="BO19" s="12" t="s">
        <v>12253</v>
      </c>
      <c r="BP19" s="12" t="s">
        <v>12129</v>
      </c>
      <c r="BQ19" s="12" t="s">
        <v>12129</v>
      </c>
      <c r="BR19" s="12" t="s">
        <v>15851</v>
      </c>
      <c r="BS19" s="12" t="s">
        <v>421</v>
      </c>
      <c r="BT19" s="12" t="str">
        <f>HYPERLINK("https%3A%2F%2Fwww.webofscience.com%2Fwos%2Fwoscc%2Ffull-record%2FWOS:000350327700022","View Full Record in Web of Science")</f>
        <v>View Full Record in Web of Science</v>
      </c>
    </row>
    <row r="20" ht="12.75" customHeight="1">
      <c r="A20" s="12" t="s">
        <v>23</v>
      </c>
      <c r="B20" s="12" t="s">
        <v>674</v>
      </c>
      <c r="C20" s="12" t="s">
        <v>12129</v>
      </c>
      <c r="D20" s="12" t="s">
        <v>12129</v>
      </c>
      <c r="E20" s="12" t="s">
        <v>12129</v>
      </c>
      <c r="F20" s="12" t="s">
        <v>10615</v>
      </c>
      <c r="G20" s="12" t="s">
        <v>12129</v>
      </c>
      <c r="H20" s="12" t="s">
        <v>12129</v>
      </c>
      <c r="I20" s="12" t="s">
        <v>675</v>
      </c>
      <c r="J20" s="12" t="s">
        <v>676</v>
      </c>
      <c r="K20" s="12" t="s">
        <v>12129</v>
      </c>
      <c r="L20" s="12" t="s">
        <v>12129</v>
      </c>
      <c r="M20" s="12" t="s">
        <v>3263</v>
      </c>
      <c r="N20" s="12" t="s">
        <v>35</v>
      </c>
      <c r="O20" s="12" t="s">
        <v>12129</v>
      </c>
      <c r="P20" s="12" t="s">
        <v>12129</v>
      </c>
      <c r="Q20" s="12" t="s">
        <v>12129</v>
      </c>
      <c r="R20" s="12" t="s">
        <v>12129</v>
      </c>
      <c r="S20" s="12" t="s">
        <v>12129</v>
      </c>
      <c r="T20" s="12" t="s">
        <v>15708</v>
      </c>
      <c r="U20" s="12" t="s">
        <v>15709</v>
      </c>
      <c r="V20" s="12" t="s">
        <v>677</v>
      </c>
      <c r="W20" s="12" t="s">
        <v>16019</v>
      </c>
      <c r="X20" s="12" t="s">
        <v>16020</v>
      </c>
      <c r="Y20" s="12" t="s">
        <v>16021</v>
      </c>
      <c r="Z20" s="12" t="s">
        <v>16022</v>
      </c>
      <c r="AA20" s="12" t="s">
        <v>16023</v>
      </c>
      <c r="AB20" s="12" t="s">
        <v>16024</v>
      </c>
      <c r="AC20" s="12" t="s">
        <v>16025</v>
      </c>
      <c r="AD20" s="12" t="s">
        <v>16026</v>
      </c>
      <c r="AE20" s="12" t="s">
        <v>16027</v>
      </c>
      <c r="AF20" s="12" t="s">
        <v>12129</v>
      </c>
      <c r="AG20" s="12">
        <v>85.0</v>
      </c>
      <c r="AH20" s="12">
        <v>269.0</v>
      </c>
      <c r="AI20" s="12">
        <v>306.0</v>
      </c>
      <c r="AJ20" s="12">
        <v>7.0</v>
      </c>
      <c r="AK20" s="12">
        <v>270.0</v>
      </c>
      <c r="AL20" s="12" t="s">
        <v>15710</v>
      </c>
      <c r="AM20" s="12" t="s">
        <v>13961</v>
      </c>
      <c r="AN20" s="12" t="s">
        <v>16028</v>
      </c>
      <c r="AO20" s="12" t="s">
        <v>16029</v>
      </c>
      <c r="AP20" s="12" t="s">
        <v>16030</v>
      </c>
      <c r="AQ20" s="12" t="s">
        <v>12129</v>
      </c>
      <c r="AR20" s="12" t="s">
        <v>15711</v>
      </c>
      <c r="AS20" s="12" t="s">
        <v>15712</v>
      </c>
      <c r="AT20" s="12" t="s">
        <v>12249</v>
      </c>
      <c r="AU20" s="12">
        <v>2012.0</v>
      </c>
      <c r="AV20" s="12">
        <v>124.0</v>
      </c>
      <c r="AW20" s="12" t="s">
        <v>12129</v>
      </c>
      <c r="AX20" s="12" t="s">
        <v>12129</v>
      </c>
      <c r="AY20" s="12" t="s">
        <v>12129</v>
      </c>
      <c r="AZ20" s="12" t="s">
        <v>12129</v>
      </c>
      <c r="BA20" s="12" t="s">
        <v>12129</v>
      </c>
      <c r="BB20" s="12">
        <v>334.0</v>
      </c>
      <c r="BC20" s="12">
        <v>347.0</v>
      </c>
      <c r="BD20" s="12" t="s">
        <v>12129</v>
      </c>
      <c r="BE20" s="12" t="s">
        <v>678</v>
      </c>
      <c r="BF20" s="25" t="str">
        <f>HYPERLINK("http://dx.doi.org/10.1016/j.rse.2012.05.019","http://dx.doi.org/10.1016/j.rse.2012.05.019")</f>
        <v>http://dx.doi.org/10.1016/j.rse.2012.05.019</v>
      </c>
      <c r="BG20" s="12" t="s">
        <v>12129</v>
      </c>
      <c r="BH20" s="12" t="s">
        <v>12129</v>
      </c>
      <c r="BI20" s="12">
        <v>14.0</v>
      </c>
      <c r="BJ20" s="12" t="s">
        <v>680</v>
      </c>
      <c r="BK20" s="12" t="s">
        <v>12176</v>
      </c>
      <c r="BL20" s="12" t="s">
        <v>15713</v>
      </c>
      <c r="BM20" s="12" t="s">
        <v>16031</v>
      </c>
      <c r="BN20" s="12" t="s">
        <v>12129</v>
      </c>
      <c r="BO20" s="12" t="s">
        <v>12253</v>
      </c>
      <c r="BP20" s="12" t="s">
        <v>12129</v>
      </c>
      <c r="BQ20" s="12" t="s">
        <v>12129</v>
      </c>
      <c r="BR20" s="12" t="s">
        <v>15851</v>
      </c>
      <c r="BS20" s="12" t="s">
        <v>681</v>
      </c>
      <c r="BT20" s="12" t="str">
        <f>HYPERLINK("https%3A%2F%2Fwww.webofscience.com%2Fwos%2Fwoscc%2Ffull-record%2FWOS:000311247700029","View Full Record in Web of Science")</f>
        <v>View Full Record in Web of Science</v>
      </c>
    </row>
    <row r="21" ht="12.75" customHeight="1">
      <c r="A21" s="12" t="s">
        <v>23</v>
      </c>
      <c r="B21" s="12" t="s">
        <v>1041</v>
      </c>
      <c r="C21" s="12" t="s">
        <v>12129</v>
      </c>
      <c r="D21" s="12" t="s">
        <v>12129</v>
      </c>
      <c r="E21" s="12" t="s">
        <v>12129</v>
      </c>
      <c r="F21" s="12" t="s">
        <v>6883</v>
      </c>
      <c r="G21" s="12" t="s">
        <v>12129</v>
      </c>
      <c r="H21" s="12" t="s">
        <v>12129</v>
      </c>
      <c r="I21" s="12" t="s">
        <v>1042</v>
      </c>
      <c r="J21" s="12" t="s">
        <v>1043</v>
      </c>
      <c r="K21" s="12" t="s">
        <v>12129</v>
      </c>
      <c r="L21" s="12" t="s">
        <v>12129</v>
      </c>
      <c r="M21" s="12" t="s">
        <v>3263</v>
      </c>
      <c r="N21" s="12" t="s">
        <v>266</v>
      </c>
      <c r="O21" s="12" t="s">
        <v>16032</v>
      </c>
      <c r="P21" s="12" t="s">
        <v>16033</v>
      </c>
      <c r="Q21" s="12" t="s">
        <v>16034</v>
      </c>
      <c r="R21" s="12" t="s">
        <v>12129</v>
      </c>
      <c r="S21" s="12" t="s">
        <v>12129</v>
      </c>
      <c r="T21" s="12" t="s">
        <v>15714</v>
      </c>
      <c r="U21" s="12" t="s">
        <v>12129</v>
      </c>
      <c r="V21" s="12" t="s">
        <v>1044</v>
      </c>
      <c r="W21" s="12" t="s">
        <v>16035</v>
      </c>
      <c r="X21" s="12" t="s">
        <v>12129</v>
      </c>
      <c r="Y21" s="12" t="s">
        <v>16036</v>
      </c>
      <c r="Z21" s="12" t="s">
        <v>16037</v>
      </c>
      <c r="AA21" s="12" t="s">
        <v>12129</v>
      </c>
      <c r="AB21" s="12" t="s">
        <v>12129</v>
      </c>
      <c r="AC21" s="12" t="s">
        <v>12129</v>
      </c>
      <c r="AD21" s="12" t="s">
        <v>12129</v>
      </c>
      <c r="AE21" s="12" t="s">
        <v>12129</v>
      </c>
      <c r="AF21" s="12" t="s">
        <v>12129</v>
      </c>
      <c r="AG21" s="12">
        <v>19.0</v>
      </c>
      <c r="AH21" s="12">
        <v>55.0</v>
      </c>
      <c r="AI21" s="12">
        <v>72.0</v>
      </c>
      <c r="AJ21" s="12">
        <v>2.0</v>
      </c>
      <c r="AK21" s="12">
        <v>36.0</v>
      </c>
      <c r="AL21" s="12" t="s">
        <v>12294</v>
      </c>
      <c r="AM21" s="12" t="s">
        <v>12295</v>
      </c>
      <c r="AN21" s="12" t="s">
        <v>12296</v>
      </c>
      <c r="AO21" s="12" t="s">
        <v>16038</v>
      </c>
      <c r="AP21" s="12" t="s">
        <v>16039</v>
      </c>
      <c r="AQ21" s="12" t="s">
        <v>12129</v>
      </c>
      <c r="AR21" s="12" t="s">
        <v>15715</v>
      </c>
      <c r="AS21" s="12" t="s">
        <v>15716</v>
      </c>
      <c r="AT21" s="12" t="s">
        <v>12129</v>
      </c>
      <c r="AU21" s="12">
        <v>2007.0</v>
      </c>
      <c r="AV21" s="12">
        <v>32.0</v>
      </c>
      <c r="AW21" s="12" t="s">
        <v>16040</v>
      </c>
      <c r="AX21" s="12" t="s">
        <v>12129</v>
      </c>
      <c r="AY21" s="12" t="s">
        <v>12129</v>
      </c>
      <c r="AZ21" s="12" t="s">
        <v>12129</v>
      </c>
      <c r="BA21" s="12" t="s">
        <v>12129</v>
      </c>
      <c r="BB21" s="12">
        <v>1135.0</v>
      </c>
      <c r="BC21" s="12">
        <v>1140.0</v>
      </c>
      <c r="BD21" s="12" t="s">
        <v>12129</v>
      </c>
      <c r="BE21" s="12" t="s">
        <v>1045</v>
      </c>
      <c r="BF21" s="25" t="str">
        <f>HYPERLINK("http://dx.doi.org/10.1016/j.pce.2007.07.033","http://dx.doi.org/10.1016/j.pce.2007.07.033")</f>
        <v>http://dx.doi.org/10.1016/j.pce.2007.07.033</v>
      </c>
      <c r="BG21" s="12" t="s">
        <v>12129</v>
      </c>
      <c r="BH21" s="12" t="s">
        <v>12129</v>
      </c>
      <c r="BI21" s="12">
        <v>6.0</v>
      </c>
      <c r="BJ21" s="12" t="s">
        <v>1047</v>
      </c>
      <c r="BK21" s="12" t="s">
        <v>14627</v>
      </c>
      <c r="BL21" s="12" t="s">
        <v>15657</v>
      </c>
      <c r="BM21" s="12" t="s">
        <v>16041</v>
      </c>
      <c r="BN21" s="12" t="s">
        <v>12129</v>
      </c>
      <c r="BO21" s="12" t="s">
        <v>12129</v>
      </c>
      <c r="BP21" s="12" t="s">
        <v>12129</v>
      </c>
      <c r="BQ21" s="12" t="s">
        <v>12129</v>
      </c>
      <c r="BR21" s="12" t="s">
        <v>15851</v>
      </c>
      <c r="BS21" s="12" t="s">
        <v>1048</v>
      </c>
      <c r="BT21" s="12" t="str">
        <f>HYPERLINK("https%3A%2F%2Fwww.webofscience.com%2Fwos%2Fwoscc%2Ffull-record%2FWOS:000250159500021","View Full Record in Web of Science")</f>
        <v>View Full Record in Web of Science</v>
      </c>
    </row>
    <row r="22" ht="12.75" customHeight="1">
      <c r="A22" s="12" t="s">
        <v>23</v>
      </c>
      <c r="B22" s="12" t="s">
        <v>75</v>
      </c>
      <c r="C22" s="12" t="s">
        <v>12129</v>
      </c>
      <c r="D22" s="12" t="s">
        <v>12129</v>
      </c>
      <c r="E22" s="12" t="s">
        <v>12129</v>
      </c>
      <c r="F22" s="12" t="s">
        <v>16042</v>
      </c>
      <c r="G22" s="12" t="s">
        <v>12129</v>
      </c>
      <c r="H22" s="12" t="s">
        <v>12129</v>
      </c>
      <c r="I22" s="12" t="s">
        <v>76</v>
      </c>
      <c r="J22" s="12" t="s">
        <v>77</v>
      </c>
      <c r="K22" s="12" t="s">
        <v>12129</v>
      </c>
      <c r="L22" s="12" t="s">
        <v>12129</v>
      </c>
      <c r="M22" s="12" t="s">
        <v>3263</v>
      </c>
      <c r="N22" s="12" t="s">
        <v>35</v>
      </c>
      <c r="O22" s="12" t="s">
        <v>12129</v>
      </c>
      <c r="P22" s="12" t="s">
        <v>12129</v>
      </c>
      <c r="Q22" s="12" t="s">
        <v>12129</v>
      </c>
      <c r="R22" s="12" t="s">
        <v>12129</v>
      </c>
      <c r="S22" s="12" t="s">
        <v>12129</v>
      </c>
      <c r="T22" s="12" t="s">
        <v>12129</v>
      </c>
      <c r="U22" s="12" t="s">
        <v>15619</v>
      </c>
      <c r="V22" s="12" t="s">
        <v>78</v>
      </c>
      <c r="W22" s="12" t="s">
        <v>16043</v>
      </c>
      <c r="X22" s="12" t="s">
        <v>16044</v>
      </c>
      <c r="Y22" s="12" t="s">
        <v>16045</v>
      </c>
      <c r="Z22" s="12" t="s">
        <v>16046</v>
      </c>
      <c r="AA22" s="12" t="s">
        <v>16047</v>
      </c>
      <c r="AB22" s="12" t="s">
        <v>16048</v>
      </c>
      <c r="AC22" s="12" t="s">
        <v>16049</v>
      </c>
      <c r="AD22" s="12" t="s">
        <v>16050</v>
      </c>
      <c r="AE22" s="12" t="s">
        <v>16051</v>
      </c>
      <c r="AF22" s="12" t="s">
        <v>12129</v>
      </c>
      <c r="AG22" s="12">
        <v>45.0</v>
      </c>
      <c r="AH22" s="12">
        <v>354.0</v>
      </c>
      <c r="AI22" s="12">
        <v>392.0</v>
      </c>
      <c r="AJ22" s="12">
        <v>19.0</v>
      </c>
      <c r="AK22" s="12">
        <v>362.0</v>
      </c>
      <c r="AL22" s="12" t="s">
        <v>12723</v>
      </c>
      <c r="AM22" s="12" t="s">
        <v>12724</v>
      </c>
      <c r="AN22" s="12" t="s">
        <v>12725</v>
      </c>
      <c r="AO22" s="12" t="s">
        <v>1708</v>
      </c>
      <c r="AP22" s="12" t="s">
        <v>12129</v>
      </c>
      <c r="AQ22" s="12" t="s">
        <v>12129</v>
      </c>
      <c r="AR22" s="12" t="s">
        <v>15620</v>
      </c>
      <c r="AS22" s="12" t="s">
        <v>15621</v>
      </c>
      <c r="AT22" s="12" t="s">
        <v>12352</v>
      </c>
      <c r="AU22" s="12">
        <v>2017.0</v>
      </c>
      <c r="AV22" s="12">
        <v>1.0</v>
      </c>
      <c r="AW22" s="12">
        <v>7.0</v>
      </c>
      <c r="AX22" s="12" t="s">
        <v>12129</v>
      </c>
      <c r="AY22" s="12" t="s">
        <v>12129</v>
      </c>
      <c r="AZ22" s="12" t="s">
        <v>12129</v>
      </c>
      <c r="BA22" s="12" t="s">
        <v>12129</v>
      </c>
      <c r="BB22" s="12" t="s">
        <v>12129</v>
      </c>
      <c r="BC22" s="12" t="s">
        <v>12129</v>
      </c>
      <c r="BD22" s="12">
        <v>186.0</v>
      </c>
      <c r="BE22" s="12" t="s">
        <v>79</v>
      </c>
      <c r="BF22" s="25" t="str">
        <f>HYPERLINK("http://dx.doi.org/10.1038/s41559-017-0186","http://dx.doi.org/10.1038/s41559-017-0186")</f>
        <v>http://dx.doi.org/10.1038/s41559-017-0186</v>
      </c>
      <c r="BG22" s="12" t="s">
        <v>12129</v>
      </c>
      <c r="BH22" s="12" t="s">
        <v>12129</v>
      </c>
      <c r="BI22" s="12">
        <v>7.0</v>
      </c>
      <c r="BJ22" s="12" t="s">
        <v>81</v>
      </c>
      <c r="BK22" s="12" t="s">
        <v>12176</v>
      </c>
      <c r="BL22" s="12" t="s">
        <v>15622</v>
      </c>
      <c r="BM22" s="12" t="s">
        <v>16052</v>
      </c>
      <c r="BN22" s="12" t="s">
        <v>12129</v>
      </c>
      <c r="BO22" s="12" t="s">
        <v>12399</v>
      </c>
      <c r="BP22" s="12" t="s">
        <v>12129</v>
      </c>
      <c r="BQ22" s="12" t="s">
        <v>12129</v>
      </c>
      <c r="BR22" s="12" t="s">
        <v>15851</v>
      </c>
      <c r="BS22" s="12" t="s">
        <v>82</v>
      </c>
      <c r="BT22" s="12" t="str">
        <f>HYPERLINK("https%3A%2F%2Fwww.webofscience.com%2Fwos%2Fwoscc%2Ffull-record%2FWOS:000417179000015","View Full Record in Web of Science")</f>
        <v>View Full Record in Web of Science</v>
      </c>
    </row>
    <row r="23" ht="12.75" customHeight="1">
      <c r="A23" s="12" t="s">
        <v>23</v>
      </c>
      <c r="B23" s="12" t="s">
        <v>213</v>
      </c>
      <c r="C23" s="12" t="s">
        <v>12129</v>
      </c>
      <c r="D23" s="12" t="s">
        <v>12129</v>
      </c>
      <c r="E23" s="12" t="s">
        <v>12129</v>
      </c>
      <c r="F23" s="12" t="s">
        <v>4693</v>
      </c>
      <c r="G23" s="12" t="s">
        <v>12129</v>
      </c>
      <c r="H23" s="12" t="s">
        <v>12129</v>
      </c>
      <c r="I23" s="12" t="s">
        <v>214</v>
      </c>
      <c r="J23" s="12" t="s">
        <v>215</v>
      </c>
      <c r="K23" s="12" t="s">
        <v>12129</v>
      </c>
      <c r="L23" s="12" t="s">
        <v>12129</v>
      </c>
      <c r="M23" s="12" t="s">
        <v>3263</v>
      </c>
      <c r="N23" s="12" t="s">
        <v>35</v>
      </c>
      <c r="O23" s="12" t="s">
        <v>12129</v>
      </c>
      <c r="P23" s="12" t="s">
        <v>12129</v>
      </c>
      <c r="Q23" s="12" t="s">
        <v>12129</v>
      </c>
      <c r="R23" s="12" t="s">
        <v>12129</v>
      </c>
      <c r="S23" s="12" t="s">
        <v>12129</v>
      </c>
      <c r="T23" s="12" t="s">
        <v>12129</v>
      </c>
      <c r="U23" s="12" t="s">
        <v>15407</v>
      </c>
      <c r="V23" s="12" t="s">
        <v>216</v>
      </c>
      <c r="W23" s="12" t="s">
        <v>16053</v>
      </c>
      <c r="X23" s="12" t="s">
        <v>16054</v>
      </c>
      <c r="Y23" s="12" t="s">
        <v>16055</v>
      </c>
      <c r="Z23" s="12" t="s">
        <v>16056</v>
      </c>
      <c r="AA23" s="12" t="s">
        <v>16057</v>
      </c>
      <c r="AB23" s="12" t="s">
        <v>16058</v>
      </c>
      <c r="AC23" s="12" t="s">
        <v>16059</v>
      </c>
      <c r="AD23" s="12" t="s">
        <v>16060</v>
      </c>
      <c r="AE23" s="12" t="s">
        <v>16061</v>
      </c>
      <c r="AF23" s="12" t="s">
        <v>12129</v>
      </c>
      <c r="AG23" s="12">
        <v>24.0</v>
      </c>
      <c r="AH23" s="12">
        <v>71.0</v>
      </c>
      <c r="AI23" s="12">
        <v>73.0</v>
      </c>
      <c r="AJ23" s="12">
        <v>0.0</v>
      </c>
      <c r="AK23" s="12">
        <v>6.0</v>
      </c>
      <c r="AL23" s="12" t="s">
        <v>15408</v>
      </c>
      <c r="AM23" s="12" t="s">
        <v>15409</v>
      </c>
      <c r="AN23" s="12" t="s">
        <v>16004</v>
      </c>
      <c r="AO23" s="12" t="s">
        <v>16005</v>
      </c>
      <c r="AP23" s="12" t="s">
        <v>12129</v>
      </c>
      <c r="AQ23" s="12" t="s">
        <v>12129</v>
      </c>
      <c r="AR23" s="12" t="s">
        <v>215</v>
      </c>
      <c r="AS23" s="12" t="s">
        <v>219</v>
      </c>
      <c r="AT23" s="12" t="s">
        <v>12436</v>
      </c>
      <c r="AU23" s="12">
        <v>2016.0</v>
      </c>
      <c r="AV23" s="12">
        <v>29.0</v>
      </c>
      <c r="AW23" s="12">
        <v>2.0</v>
      </c>
      <c r="AX23" s="12" t="s">
        <v>12129</v>
      </c>
      <c r="AY23" s="12" t="s">
        <v>12129</v>
      </c>
      <c r="AZ23" s="12" t="s">
        <v>13188</v>
      </c>
      <c r="BA23" s="12" t="s">
        <v>12129</v>
      </c>
      <c r="BB23" s="12">
        <v>28.0</v>
      </c>
      <c r="BC23" s="12">
        <v>37.0</v>
      </c>
      <c r="BD23" s="12" t="s">
        <v>12129</v>
      </c>
      <c r="BE23" s="12" t="s">
        <v>217</v>
      </c>
      <c r="BF23" s="25" t="str">
        <f>HYPERLINK("http://dx.doi.org/10.5670/oceanog.2016.36","http://dx.doi.org/10.5670/oceanog.2016.36")</f>
        <v>http://dx.doi.org/10.5670/oceanog.2016.36</v>
      </c>
      <c r="BG23" s="12" t="s">
        <v>12129</v>
      </c>
      <c r="BH23" s="12" t="s">
        <v>12129</v>
      </c>
      <c r="BI23" s="12">
        <v>10.0</v>
      </c>
      <c r="BJ23" s="12" t="s">
        <v>219</v>
      </c>
      <c r="BK23" s="12" t="s">
        <v>12176</v>
      </c>
      <c r="BL23" s="12" t="s">
        <v>219</v>
      </c>
      <c r="BM23" s="12" t="s">
        <v>16062</v>
      </c>
      <c r="BN23" s="12" t="s">
        <v>12129</v>
      </c>
      <c r="BO23" s="12" t="s">
        <v>13774</v>
      </c>
      <c r="BP23" s="12" t="s">
        <v>12129</v>
      </c>
      <c r="BQ23" s="12" t="s">
        <v>12129</v>
      </c>
      <c r="BR23" s="12" t="s">
        <v>15851</v>
      </c>
      <c r="BS23" s="12" t="s">
        <v>220</v>
      </c>
      <c r="BT23" s="12" t="str">
        <f>HYPERLINK("https%3A%2F%2Fwww.webofscience.com%2Fwos%2Fwoscc%2Ffull-record%2FWOS:000380572500007","View Full Record in Web of Science")</f>
        <v>View Full Record in Web of Science</v>
      </c>
    </row>
    <row r="24" ht="12.75" customHeight="1">
      <c r="A24" s="12" t="s">
        <v>23</v>
      </c>
      <c r="B24" s="12" t="s">
        <v>1154</v>
      </c>
      <c r="C24" s="12" t="s">
        <v>12129</v>
      </c>
      <c r="D24" s="12" t="s">
        <v>12129</v>
      </c>
      <c r="E24" s="12" t="s">
        <v>12129</v>
      </c>
      <c r="F24" s="12" t="s">
        <v>1154</v>
      </c>
      <c r="G24" s="12" t="s">
        <v>12129</v>
      </c>
      <c r="H24" s="12" t="s">
        <v>12129</v>
      </c>
      <c r="I24" s="12" t="s">
        <v>1155</v>
      </c>
      <c r="J24" s="12" t="s">
        <v>1156</v>
      </c>
      <c r="K24" s="12" t="s">
        <v>12129</v>
      </c>
      <c r="L24" s="12" t="s">
        <v>12129</v>
      </c>
      <c r="M24" s="12" t="s">
        <v>3263</v>
      </c>
      <c r="N24" s="12" t="s">
        <v>35</v>
      </c>
      <c r="O24" s="12" t="s">
        <v>12129</v>
      </c>
      <c r="P24" s="12" t="s">
        <v>12129</v>
      </c>
      <c r="Q24" s="12" t="s">
        <v>12129</v>
      </c>
      <c r="R24" s="12" t="s">
        <v>12129</v>
      </c>
      <c r="S24" s="12" t="s">
        <v>12129</v>
      </c>
      <c r="T24" s="12" t="s">
        <v>15653</v>
      </c>
      <c r="U24" s="12" t="s">
        <v>15654</v>
      </c>
      <c r="V24" s="12" t="s">
        <v>1157</v>
      </c>
      <c r="W24" s="12" t="s">
        <v>16063</v>
      </c>
      <c r="X24" s="12" t="s">
        <v>16064</v>
      </c>
      <c r="Y24" s="12" t="s">
        <v>16065</v>
      </c>
      <c r="Z24" s="12" t="s">
        <v>12129</v>
      </c>
      <c r="AA24" s="12" t="s">
        <v>12129</v>
      </c>
      <c r="AB24" s="12" t="s">
        <v>16066</v>
      </c>
      <c r="AC24" s="12" t="s">
        <v>12129</v>
      </c>
      <c r="AD24" s="12" t="s">
        <v>12129</v>
      </c>
      <c r="AE24" s="12" t="s">
        <v>12129</v>
      </c>
      <c r="AF24" s="12" t="s">
        <v>12129</v>
      </c>
      <c r="AG24" s="12">
        <v>38.0</v>
      </c>
      <c r="AH24" s="12">
        <v>58.0</v>
      </c>
      <c r="AI24" s="12">
        <v>76.0</v>
      </c>
      <c r="AJ24" s="12">
        <v>0.0</v>
      </c>
      <c r="AK24" s="12">
        <v>55.0</v>
      </c>
      <c r="AL24" s="12" t="s">
        <v>13181</v>
      </c>
      <c r="AM24" s="12" t="s">
        <v>13961</v>
      </c>
      <c r="AN24" s="12" t="s">
        <v>15170</v>
      </c>
      <c r="AO24" s="12" t="s">
        <v>16067</v>
      </c>
      <c r="AP24" s="12" t="s">
        <v>16068</v>
      </c>
      <c r="AQ24" s="12" t="s">
        <v>12129</v>
      </c>
      <c r="AR24" s="12" t="s">
        <v>15655</v>
      </c>
      <c r="AS24" s="12" t="s">
        <v>15656</v>
      </c>
      <c r="AT24" s="12" t="s">
        <v>13127</v>
      </c>
      <c r="AU24" s="12">
        <v>2004.0</v>
      </c>
      <c r="AV24" s="12">
        <v>31.0</v>
      </c>
      <c r="AW24" s="12">
        <v>1.0</v>
      </c>
      <c r="AX24" s="12" t="s">
        <v>12129</v>
      </c>
      <c r="AY24" s="12" t="s">
        <v>12129</v>
      </c>
      <c r="AZ24" s="12" t="s">
        <v>12129</v>
      </c>
      <c r="BA24" s="12" t="s">
        <v>12129</v>
      </c>
      <c r="BB24" s="12">
        <v>177.0</v>
      </c>
      <c r="BC24" s="12">
        <v>190.0</v>
      </c>
      <c r="BD24" s="12" t="s">
        <v>12129</v>
      </c>
      <c r="BE24" s="12" t="s">
        <v>1158</v>
      </c>
      <c r="BF24" s="25" t="str">
        <f>HYPERLINK("http://dx.doi.org/10.1023/B:NHAZ.0000020259.58716.0d","http://dx.doi.org/10.1023/B:NHAZ.0000020259.58716.0d")</f>
        <v>http://dx.doi.org/10.1023/B:NHAZ.0000020259.58716.0d</v>
      </c>
      <c r="BG24" s="12" t="s">
        <v>12129</v>
      </c>
      <c r="BH24" s="12" t="s">
        <v>12129</v>
      </c>
      <c r="BI24" s="12">
        <v>14.0</v>
      </c>
      <c r="BJ24" s="12" t="s">
        <v>1047</v>
      </c>
      <c r="BK24" s="12" t="s">
        <v>12176</v>
      </c>
      <c r="BL24" s="12" t="s">
        <v>15657</v>
      </c>
      <c r="BM24" s="12" t="s">
        <v>16069</v>
      </c>
      <c r="BN24" s="12" t="s">
        <v>12129</v>
      </c>
      <c r="BO24" s="12" t="s">
        <v>12129</v>
      </c>
      <c r="BP24" s="12" t="s">
        <v>12129</v>
      </c>
      <c r="BQ24" s="12" t="s">
        <v>12129</v>
      </c>
      <c r="BR24" s="12" t="s">
        <v>15851</v>
      </c>
      <c r="BS24" s="12" t="s">
        <v>1160</v>
      </c>
      <c r="BT24" s="12" t="str">
        <f>HYPERLINK("https%3A%2F%2Fwww.webofscience.com%2Fwos%2Fwoscc%2Ffull-record%2FWOS:000220303700010","View Full Record in Web of Science")</f>
        <v>View Full Record in Web of Science</v>
      </c>
    </row>
    <row r="25" ht="12.75" customHeight="1">
      <c r="A25" s="12" t="s">
        <v>23</v>
      </c>
      <c r="B25" s="12" t="s">
        <v>651</v>
      </c>
      <c r="C25" s="12" t="s">
        <v>12129</v>
      </c>
      <c r="D25" s="12" t="s">
        <v>12129</v>
      </c>
      <c r="E25" s="12" t="s">
        <v>12129</v>
      </c>
      <c r="F25" s="12" t="s">
        <v>16070</v>
      </c>
      <c r="G25" s="12" t="s">
        <v>12129</v>
      </c>
      <c r="H25" s="12" t="s">
        <v>12129</v>
      </c>
      <c r="I25" s="12" t="s">
        <v>652</v>
      </c>
      <c r="J25" s="12" t="s">
        <v>416</v>
      </c>
      <c r="K25" s="12" t="s">
        <v>12129</v>
      </c>
      <c r="L25" s="12" t="s">
        <v>12129</v>
      </c>
      <c r="M25" s="12" t="s">
        <v>3263</v>
      </c>
      <c r="N25" s="12" t="s">
        <v>35</v>
      </c>
      <c r="O25" s="12" t="s">
        <v>12129</v>
      </c>
      <c r="P25" s="12" t="s">
        <v>12129</v>
      </c>
      <c r="Q25" s="12" t="s">
        <v>12129</v>
      </c>
      <c r="R25" s="12" t="s">
        <v>12129</v>
      </c>
      <c r="S25" s="12" t="s">
        <v>12129</v>
      </c>
      <c r="T25" s="12" t="s">
        <v>12129</v>
      </c>
      <c r="U25" s="12" t="s">
        <v>15636</v>
      </c>
      <c r="V25" s="12" t="s">
        <v>653</v>
      </c>
      <c r="W25" s="12" t="s">
        <v>16071</v>
      </c>
      <c r="X25" s="12" t="s">
        <v>16072</v>
      </c>
      <c r="Y25" s="12" t="s">
        <v>16073</v>
      </c>
      <c r="Z25" s="12" t="s">
        <v>16074</v>
      </c>
      <c r="AA25" s="12" t="s">
        <v>12129</v>
      </c>
      <c r="AB25" s="12" t="s">
        <v>16075</v>
      </c>
      <c r="AC25" s="12" t="s">
        <v>16076</v>
      </c>
      <c r="AD25" s="12" t="s">
        <v>16076</v>
      </c>
      <c r="AE25" s="12" t="s">
        <v>16077</v>
      </c>
      <c r="AF25" s="12" t="s">
        <v>12129</v>
      </c>
      <c r="AG25" s="12">
        <v>30.0</v>
      </c>
      <c r="AH25" s="12">
        <v>584.0</v>
      </c>
      <c r="AI25" s="12">
        <v>650.0</v>
      </c>
      <c r="AJ25" s="12">
        <v>0.0</v>
      </c>
      <c r="AK25" s="12">
        <v>309.0</v>
      </c>
      <c r="AL25" s="12" t="s">
        <v>15615</v>
      </c>
      <c r="AM25" s="12" t="s">
        <v>12170</v>
      </c>
      <c r="AN25" s="12" t="s">
        <v>16017</v>
      </c>
      <c r="AO25" s="12" t="s">
        <v>4293</v>
      </c>
      <c r="AP25" s="12" t="s">
        <v>10365</v>
      </c>
      <c r="AQ25" s="12" t="s">
        <v>12129</v>
      </c>
      <c r="AR25" s="12" t="s">
        <v>15633</v>
      </c>
      <c r="AS25" s="12" t="s">
        <v>15634</v>
      </c>
      <c r="AT25" s="12" t="s">
        <v>12764</v>
      </c>
      <c r="AU25" s="12">
        <v>2012.0</v>
      </c>
      <c r="AV25" s="12">
        <v>2.0</v>
      </c>
      <c r="AW25" s="12">
        <v>12.0</v>
      </c>
      <c r="AX25" s="12" t="s">
        <v>12129</v>
      </c>
      <c r="AY25" s="12" t="s">
        <v>12129</v>
      </c>
      <c r="AZ25" s="12" t="s">
        <v>12129</v>
      </c>
      <c r="BA25" s="12" t="s">
        <v>12129</v>
      </c>
      <c r="BB25" s="12">
        <v>884.0</v>
      </c>
      <c r="BC25" s="12">
        <v>888.0</v>
      </c>
      <c r="BD25" s="12" t="s">
        <v>12129</v>
      </c>
      <c r="BE25" s="12" t="s">
        <v>654</v>
      </c>
      <c r="BF25" s="25" t="str">
        <f>HYPERLINK("http://dx.doi.org/10.1038/NCLIMATE1597","http://dx.doi.org/10.1038/NCLIMATE1597")</f>
        <v>http://dx.doi.org/10.1038/NCLIMATE1597</v>
      </c>
      <c r="BG25" s="12" t="s">
        <v>12129</v>
      </c>
      <c r="BH25" s="12" t="s">
        <v>12129</v>
      </c>
      <c r="BI25" s="12">
        <v>5.0</v>
      </c>
      <c r="BJ25" s="12" t="s">
        <v>420</v>
      </c>
      <c r="BK25" s="12" t="s">
        <v>12729</v>
      </c>
      <c r="BL25" s="12" t="s">
        <v>12397</v>
      </c>
      <c r="BM25" s="12" t="s">
        <v>16078</v>
      </c>
      <c r="BN25" s="12" t="s">
        <v>12129</v>
      </c>
      <c r="BO25" s="12" t="s">
        <v>12129</v>
      </c>
      <c r="BP25" s="12" t="s">
        <v>12129</v>
      </c>
      <c r="BQ25" s="12" t="s">
        <v>12129</v>
      </c>
      <c r="BR25" s="12" t="s">
        <v>15851</v>
      </c>
      <c r="BS25" s="12" t="s">
        <v>656</v>
      </c>
      <c r="BT25" s="12" t="str">
        <f>HYPERLINK("https%3A%2F%2Fwww.webofscience.com%2Fwos%2Fwoscc%2Ffull-record%2FWOS:000312433700023","View Full Record in Web of Science")</f>
        <v>View Full Record in Web of Science</v>
      </c>
    </row>
    <row r="26" ht="12.75" customHeight="1">
      <c r="A26" s="12" t="s">
        <v>23</v>
      </c>
      <c r="B26" s="12" t="s">
        <v>698</v>
      </c>
      <c r="C26" s="12" t="s">
        <v>12129</v>
      </c>
      <c r="D26" s="12" t="s">
        <v>12129</v>
      </c>
      <c r="E26" s="12" t="s">
        <v>12129</v>
      </c>
      <c r="F26" s="12" t="s">
        <v>16079</v>
      </c>
      <c r="G26" s="12" t="s">
        <v>12129</v>
      </c>
      <c r="H26" s="12" t="s">
        <v>12129</v>
      </c>
      <c r="I26" s="12" t="s">
        <v>699</v>
      </c>
      <c r="J26" s="12" t="s">
        <v>700</v>
      </c>
      <c r="K26" s="12" t="s">
        <v>12129</v>
      </c>
      <c r="L26" s="12" t="s">
        <v>12129</v>
      </c>
      <c r="M26" s="12" t="s">
        <v>3263</v>
      </c>
      <c r="N26" s="12" t="s">
        <v>35</v>
      </c>
      <c r="O26" s="12" t="s">
        <v>12129</v>
      </c>
      <c r="P26" s="12" t="s">
        <v>12129</v>
      </c>
      <c r="Q26" s="12" t="s">
        <v>12129</v>
      </c>
      <c r="R26" s="12" t="s">
        <v>12129</v>
      </c>
      <c r="S26" s="12" t="s">
        <v>12129</v>
      </c>
      <c r="T26" s="12" t="s">
        <v>15771</v>
      </c>
      <c r="U26" s="12" t="s">
        <v>15772</v>
      </c>
      <c r="V26" s="12" t="s">
        <v>701</v>
      </c>
      <c r="W26" s="12" t="s">
        <v>16080</v>
      </c>
      <c r="X26" s="12" t="s">
        <v>16081</v>
      </c>
      <c r="Y26" s="12" t="s">
        <v>16082</v>
      </c>
      <c r="Z26" s="12" t="s">
        <v>16083</v>
      </c>
      <c r="AA26" s="12" t="s">
        <v>12129</v>
      </c>
      <c r="AB26" s="12" t="s">
        <v>16084</v>
      </c>
      <c r="AC26" s="12" t="s">
        <v>16085</v>
      </c>
      <c r="AD26" s="12" t="s">
        <v>16085</v>
      </c>
      <c r="AE26" s="12" t="s">
        <v>16086</v>
      </c>
      <c r="AF26" s="12" t="s">
        <v>12129</v>
      </c>
      <c r="AG26" s="12">
        <v>43.0</v>
      </c>
      <c r="AH26" s="12">
        <v>143.0</v>
      </c>
      <c r="AI26" s="12">
        <v>171.0</v>
      </c>
      <c r="AJ26" s="12">
        <v>1.0</v>
      </c>
      <c r="AK26" s="12">
        <v>70.0</v>
      </c>
      <c r="AL26" s="12" t="s">
        <v>12930</v>
      </c>
      <c r="AM26" s="12" t="s">
        <v>12270</v>
      </c>
      <c r="AN26" s="12" t="s">
        <v>12931</v>
      </c>
      <c r="AO26" s="12" t="s">
        <v>2351</v>
      </c>
      <c r="AP26" s="12" t="s">
        <v>12129</v>
      </c>
      <c r="AQ26" s="12" t="s">
        <v>12129</v>
      </c>
      <c r="AR26" s="12" t="s">
        <v>12416</v>
      </c>
      <c r="AS26" s="12" t="s">
        <v>12417</v>
      </c>
      <c r="AT26" s="12" t="s">
        <v>12436</v>
      </c>
      <c r="AU26" s="12">
        <v>2012.0</v>
      </c>
      <c r="AV26" s="12">
        <v>17.0</v>
      </c>
      <c r="AW26" s="12" t="s">
        <v>12129</v>
      </c>
      <c r="AX26" s="12" t="s">
        <v>12129</v>
      </c>
      <c r="AY26" s="12" t="s">
        <v>12129</v>
      </c>
      <c r="AZ26" s="12" t="s">
        <v>13188</v>
      </c>
      <c r="BA26" s="12" t="s">
        <v>12129</v>
      </c>
      <c r="BB26" s="12">
        <v>108.0</v>
      </c>
      <c r="BC26" s="12">
        <v>119.0</v>
      </c>
      <c r="BD26" s="12" t="s">
        <v>12129</v>
      </c>
      <c r="BE26" s="12" t="s">
        <v>702</v>
      </c>
      <c r="BF26" s="25" t="str">
        <f>HYPERLINK("http://dx.doi.org/10.1016/j.ecolind.2011.04.023","http://dx.doi.org/10.1016/j.ecolind.2011.04.023")</f>
        <v>http://dx.doi.org/10.1016/j.ecolind.2011.04.023</v>
      </c>
      <c r="BG26" s="12" t="s">
        <v>12129</v>
      </c>
      <c r="BH26" s="12" t="s">
        <v>12129</v>
      </c>
      <c r="BI26" s="12">
        <v>12.0</v>
      </c>
      <c r="BJ26" s="12" t="s">
        <v>704</v>
      </c>
      <c r="BK26" s="12" t="s">
        <v>12176</v>
      </c>
      <c r="BL26" s="12" t="s">
        <v>12376</v>
      </c>
      <c r="BM26" s="12" t="s">
        <v>16087</v>
      </c>
      <c r="BN26" s="12" t="s">
        <v>12129</v>
      </c>
      <c r="BO26" s="12" t="s">
        <v>12129</v>
      </c>
      <c r="BP26" s="12" t="s">
        <v>12129</v>
      </c>
      <c r="BQ26" s="12" t="s">
        <v>12129</v>
      </c>
      <c r="BR26" s="12" t="s">
        <v>15851</v>
      </c>
      <c r="BS26" s="12" t="s">
        <v>705</v>
      </c>
      <c r="BT26" s="12" t="str">
        <f>HYPERLINK("https%3A%2F%2Fwww.webofscience.com%2Fwos%2Fwoscc%2Ffull-record%2FWOS:000300208400013","View Full Record in Web of Science")</f>
        <v>View Full Record in Web of Science</v>
      </c>
    </row>
    <row r="27" ht="12.75" customHeight="1">
      <c r="A27" s="12" t="s">
        <v>23</v>
      </c>
      <c r="B27" s="12" t="s">
        <v>1162</v>
      </c>
      <c r="C27" s="12" t="s">
        <v>12129</v>
      </c>
      <c r="D27" s="12" t="s">
        <v>12129</v>
      </c>
      <c r="E27" s="12" t="s">
        <v>12129</v>
      </c>
      <c r="F27" s="12" t="s">
        <v>1162</v>
      </c>
      <c r="G27" s="12" t="s">
        <v>12129</v>
      </c>
      <c r="H27" s="12" t="s">
        <v>12129</v>
      </c>
      <c r="I27" s="12" t="s">
        <v>1163</v>
      </c>
      <c r="J27" s="12" t="s">
        <v>1164</v>
      </c>
      <c r="K27" s="12" t="s">
        <v>12129</v>
      </c>
      <c r="L27" s="12" t="s">
        <v>12129</v>
      </c>
      <c r="M27" s="12" t="s">
        <v>3263</v>
      </c>
      <c r="N27" s="12" t="s">
        <v>35</v>
      </c>
      <c r="O27" s="12" t="s">
        <v>12129</v>
      </c>
      <c r="P27" s="12" t="s">
        <v>12129</v>
      </c>
      <c r="Q27" s="12" t="s">
        <v>12129</v>
      </c>
      <c r="R27" s="12" t="s">
        <v>12129</v>
      </c>
      <c r="S27" s="12" t="s">
        <v>12129</v>
      </c>
      <c r="T27" s="12" t="s">
        <v>15658</v>
      </c>
      <c r="U27" s="12" t="s">
        <v>15659</v>
      </c>
      <c r="V27" s="12" t="s">
        <v>1165</v>
      </c>
      <c r="W27" s="12" t="s">
        <v>16088</v>
      </c>
      <c r="X27" s="12" t="s">
        <v>16089</v>
      </c>
      <c r="Y27" s="12" t="s">
        <v>16090</v>
      </c>
      <c r="Z27" s="12" t="s">
        <v>12129</v>
      </c>
      <c r="AA27" s="12" t="s">
        <v>16091</v>
      </c>
      <c r="AB27" s="12" t="s">
        <v>16092</v>
      </c>
      <c r="AC27" s="12" t="s">
        <v>12129</v>
      </c>
      <c r="AD27" s="12" t="s">
        <v>12129</v>
      </c>
      <c r="AE27" s="12" t="s">
        <v>12129</v>
      </c>
      <c r="AF27" s="12" t="s">
        <v>12129</v>
      </c>
      <c r="AG27" s="12">
        <v>80.0</v>
      </c>
      <c r="AH27" s="12">
        <v>33.0</v>
      </c>
      <c r="AI27" s="12">
        <v>45.0</v>
      </c>
      <c r="AJ27" s="12">
        <v>2.0</v>
      </c>
      <c r="AK27" s="12">
        <v>36.0</v>
      </c>
      <c r="AL27" s="12" t="s">
        <v>15319</v>
      </c>
      <c r="AM27" s="12" t="s">
        <v>13182</v>
      </c>
      <c r="AN27" s="12" t="s">
        <v>13183</v>
      </c>
      <c r="AO27" s="12" t="s">
        <v>12038</v>
      </c>
      <c r="AP27" s="12" t="s">
        <v>12129</v>
      </c>
      <c r="AQ27" s="12" t="s">
        <v>12129</v>
      </c>
      <c r="AR27" s="12" t="s">
        <v>15660</v>
      </c>
      <c r="AS27" s="12" t="s">
        <v>15661</v>
      </c>
      <c r="AT27" s="12" t="s">
        <v>15662</v>
      </c>
      <c r="AU27" s="12">
        <v>2003.0</v>
      </c>
      <c r="AV27" s="12">
        <v>88.0</v>
      </c>
      <c r="AW27" s="12" t="s">
        <v>5851</v>
      </c>
      <c r="AX27" s="12" t="s">
        <v>12129</v>
      </c>
      <c r="AY27" s="12" t="s">
        <v>12129</v>
      </c>
      <c r="AZ27" s="12" t="s">
        <v>12129</v>
      </c>
      <c r="BA27" s="12" t="s">
        <v>12129</v>
      </c>
      <c r="BB27" s="12">
        <v>53.0</v>
      </c>
      <c r="BC27" s="12">
        <v>101.0</v>
      </c>
      <c r="BD27" s="12" t="s">
        <v>12129</v>
      </c>
      <c r="BE27" s="12" t="s">
        <v>1166</v>
      </c>
      <c r="BF27" s="25" t="str">
        <f>HYPERLINK("http://dx.doi.org/10.1023/A:1025548518991","http://dx.doi.org/10.1023/A:1025548518991")</f>
        <v>http://dx.doi.org/10.1023/A:1025548518991</v>
      </c>
      <c r="BG27" s="12" t="s">
        <v>12129</v>
      </c>
      <c r="BH27" s="12" t="s">
        <v>12129</v>
      </c>
      <c r="BI27" s="12">
        <v>49.0</v>
      </c>
      <c r="BJ27" s="12" t="s">
        <v>65</v>
      </c>
      <c r="BK27" s="12" t="s">
        <v>12176</v>
      </c>
      <c r="BL27" s="12" t="s">
        <v>12251</v>
      </c>
      <c r="BM27" s="12" t="s">
        <v>16093</v>
      </c>
      <c r="BN27" s="12">
        <v>1.4570411E7</v>
      </c>
      <c r="BO27" s="12" t="s">
        <v>12129</v>
      </c>
      <c r="BP27" s="12" t="s">
        <v>12129</v>
      </c>
      <c r="BQ27" s="12" t="s">
        <v>12129</v>
      </c>
      <c r="BR27" s="12" t="s">
        <v>15851</v>
      </c>
      <c r="BS27" s="12" t="s">
        <v>1168</v>
      </c>
      <c r="BT27" s="12" t="str">
        <f>HYPERLINK("https%3A%2F%2Fwww.webofscience.com%2Fwos%2Fwoscc%2Ffull-record%2FWOS:000185100800004","View Full Record in Web of Science")</f>
        <v>View Full Record in Web of Science</v>
      </c>
    </row>
    <row r="28" ht="12.75" customHeight="1">
      <c r="A28" s="12" t="s">
        <v>23</v>
      </c>
      <c r="B28" s="12" t="s">
        <v>255</v>
      </c>
      <c r="C28" s="12" t="s">
        <v>12129</v>
      </c>
      <c r="D28" s="12" t="s">
        <v>12129</v>
      </c>
      <c r="E28" s="12" t="s">
        <v>12129</v>
      </c>
      <c r="F28" s="12" t="s">
        <v>11577</v>
      </c>
      <c r="G28" s="12" t="s">
        <v>12129</v>
      </c>
      <c r="H28" s="12" t="s">
        <v>12129</v>
      </c>
      <c r="I28" s="12" t="s">
        <v>256</v>
      </c>
      <c r="J28" s="12" t="s">
        <v>257</v>
      </c>
      <c r="K28" s="12" t="s">
        <v>12129</v>
      </c>
      <c r="L28" s="12" t="s">
        <v>12129</v>
      </c>
      <c r="M28" s="12" t="s">
        <v>3263</v>
      </c>
      <c r="N28" s="12" t="s">
        <v>35</v>
      </c>
      <c r="O28" s="12" t="s">
        <v>12129</v>
      </c>
      <c r="P28" s="12" t="s">
        <v>12129</v>
      </c>
      <c r="Q28" s="12" t="s">
        <v>12129</v>
      </c>
      <c r="R28" s="12" t="s">
        <v>12129</v>
      </c>
      <c r="S28" s="12" t="s">
        <v>12129</v>
      </c>
      <c r="T28" s="12" t="s">
        <v>15721</v>
      </c>
      <c r="U28" s="12" t="s">
        <v>15722</v>
      </c>
      <c r="V28" s="12" t="s">
        <v>258</v>
      </c>
      <c r="W28" s="12" t="s">
        <v>16094</v>
      </c>
      <c r="X28" s="12" t="s">
        <v>16095</v>
      </c>
      <c r="Y28" s="12" t="s">
        <v>16096</v>
      </c>
      <c r="Z28" s="12" t="s">
        <v>16097</v>
      </c>
      <c r="AA28" s="12" t="s">
        <v>16098</v>
      </c>
      <c r="AB28" s="12" t="s">
        <v>16099</v>
      </c>
      <c r="AC28" s="12" t="s">
        <v>16100</v>
      </c>
      <c r="AD28" s="12" t="s">
        <v>16101</v>
      </c>
      <c r="AE28" s="12" t="s">
        <v>16102</v>
      </c>
      <c r="AF28" s="12" t="s">
        <v>12129</v>
      </c>
      <c r="AG28" s="12">
        <v>32.0</v>
      </c>
      <c r="AH28" s="12">
        <v>336.0</v>
      </c>
      <c r="AI28" s="12">
        <v>411.0</v>
      </c>
      <c r="AJ28" s="12">
        <v>2.0</v>
      </c>
      <c r="AK28" s="12">
        <v>175.0</v>
      </c>
      <c r="AL28" s="12" t="s">
        <v>12294</v>
      </c>
      <c r="AM28" s="12" t="s">
        <v>12295</v>
      </c>
      <c r="AN28" s="12" t="s">
        <v>12296</v>
      </c>
      <c r="AO28" s="12" t="s">
        <v>12297</v>
      </c>
      <c r="AP28" s="12" t="s">
        <v>12298</v>
      </c>
      <c r="AQ28" s="12" t="s">
        <v>12129</v>
      </c>
      <c r="AR28" s="12" t="s">
        <v>12299</v>
      </c>
      <c r="AS28" s="12" t="s">
        <v>12300</v>
      </c>
      <c r="AT28" s="12" t="s">
        <v>15723</v>
      </c>
      <c r="AU28" s="12">
        <v>2015.0</v>
      </c>
      <c r="AV28" s="12">
        <v>101.0</v>
      </c>
      <c r="AW28" s="12">
        <v>2.0</v>
      </c>
      <c r="AX28" s="12" t="s">
        <v>12129</v>
      </c>
      <c r="AY28" s="12" t="s">
        <v>12129</v>
      </c>
      <c r="AZ28" s="12" t="s">
        <v>12129</v>
      </c>
      <c r="BA28" s="12" t="s">
        <v>12129</v>
      </c>
      <c r="BB28" s="12">
        <v>618.0</v>
      </c>
      <c r="BC28" s="12">
        <v>623.0</v>
      </c>
      <c r="BD28" s="12" t="s">
        <v>12129</v>
      </c>
      <c r="BE28" s="12" t="s">
        <v>259</v>
      </c>
      <c r="BF28" s="25" t="str">
        <f>HYPERLINK("http://dx.doi.org/10.1016/j.marpolbul.2015.10.042","http://dx.doi.org/10.1016/j.marpolbul.2015.10.042")</f>
        <v>http://dx.doi.org/10.1016/j.marpolbul.2015.10.042</v>
      </c>
      <c r="BG28" s="12" t="s">
        <v>12129</v>
      </c>
      <c r="BH28" s="12" t="s">
        <v>12129</v>
      </c>
      <c r="BI28" s="12">
        <v>6.0</v>
      </c>
      <c r="BJ28" s="12" t="s">
        <v>145</v>
      </c>
      <c r="BK28" s="12" t="s">
        <v>12176</v>
      </c>
      <c r="BL28" s="12" t="s">
        <v>12303</v>
      </c>
      <c r="BM28" s="12" t="s">
        <v>16103</v>
      </c>
      <c r="BN28" s="12">
        <v>2.6522164E7</v>
      </c>
      <c r="BO28" s="12" t="s">
        <v>12564</v>
      </c>
      <c r="BP28" s="12" t="s">
        <v>12129</v>
      </c>
      <c r="BQ28" s="12" t="s">
        <v>12129</v>
      </c>
      <c r="BR28" s="12" t="s">
        <v>15851</v>
      </c>
      <c r="BS28" s="12" t="s">
        <v>261</v>
      </c>
      <c r="BT28" s="12" t="str">
        <f>HYPERLINK("https%3A%2F%2Fwww.webofscience.com%2Fwos%2Fwoscc%2Ffull-record%2FWOS:000367107600019","View Full Record in Web of Science")</f>
        <v>View Full Record in Web of Science</v>
      </c>
    </row>
    <row r="29" ht="12.75" customHeight="1">
      <c r="A29" s="12" t="s">
        <v>23</v>
      </c>
      <c r="B29" s="12" t="s">
        <v>432</v>
      </c>
      <c r="C29" s="12" t="s">
        <v>12129</v>
      </c>
      <c r="D29" s="12" t="s">
        <v>12129</v>
      </c>
      <c r="E29" s="12" t="s">
        <v>12129</v>
      </c>
      <c r="F29" s="12" t="s">
        <v>16104</v>
      </c>
      <c r="G29" s="12" t="s">
        <v>12129</v>
      </c>
      <c r="H29" s="12" t="s">
        <v>12129</v>
      </c>
      <c r="I29" s="12" t="s">
        <v>433</v>
      </c>
      <c r="J29" s="12" t="s">
        <v>61</v>
      </c>
      <c r="K29" s="12" t="s">
        <v>12129</v>
      </c>
      <c r="L29" s="12" t="s">
        <v>12129</v>
      </c>
      <c r="M29" s="12" t="s">
        <v>3263</v>
      </c>
      <c r="N29" s="12" t="s">
        <v>35</v>
      </c>
      <c r="O29" s="12" t="s">
        <v>12129</v>
      </c>
      <c r="P29" s="12" t="s">
        <v>12129</v>
      </c>
      <c r="Q29" s="12" t="s">
        <v>12129</v>
      </c>
      <c r="R29" s="12" t="s">
        <v>12129</v>
      </c>
      <c r="S29" s="12" t="s">
        <v>12129</v>
      </c>
      <c r="T29" s="12" t="s">
        <v>15701</v>
      </c>
      <c r="U29" s="12" t="s">
        <v>15702</v>
      </c>
      <c r="V29" s="12" t="s">
        <v>434</v>
      </c>
      <c r="W29" s="12" t="s">
        <v>16105</v>
      </c>
      <c r="X29" s="12" t="s">
        <v>16106</v>
      </c>
      <c r="Y29" s="12" t="s">
        <v>16107</v>
      </c>
      <c r="Z29" s="12" t="s">
        <v>16108</v>
      </c>
      <c r="AA29" s="12" t="s">
        <v>16109</v>
      </c>
      <c r="AB29" s="12" t="s">
        <v>16110</v>
      </c>
      <c r="AC29" s="12" t="s">
        <v>16111</v>
      </c>
      <c r="AD29" s="12" t="s">
        <v>16112</v>
      </c>
      <c r="AE29" s="12" t="s">
        <v>16113</v>
      </c>
      <c r="AF29" s="12" t="s">
        <v>12129</v>
      </c>
      <c r="AG29" s="12">
        <v>44.0</v>
      </c>
      <c r="AH29" s="12">
        <v>179.0</v>
      </c>
      <c r="AI29" s="12">
        <v>195.0</v>
      </c>
      <c r="AJ29" s="12">
        <v>3.0</v>
      </c>
      <c r="AK29" s="12">
        <v>176.0</v>
      </c>
      <c r="AL29" s="12" t="s">
        <v>12269</v>
      </c>
      <c r="AM29" s="12" t="s">
        <v>12270</v>
      </c>
      <c r="AN29" s="12" t="s">
        <v>12271</v>
      </c>
      <c r="AO29" s="12" t="s">
        <v>6141</v>
      </c>
      <c r="AP29" s="12" t="s">
        <v>12932</v>
      </c>
      <c r="AQ29" s="12" t="s">
        <v>12129</v>
      </c>
      <c r="AR29" s="12" t="s">
        <v>12933</v>
      </c>
      <c r="AS29" s="12" t="s">
        <v>12934</v>
      </c>
      <c r="AT29" s="12" t="s">
        <v>13631</v>
      </c>
      <c r="AU29" s="12">
        <v>2015.0</v>
      </c>
      <c r="AV29" s="12">
        <v>503.0</v>
      </c>
      <c r="AW29" s="12" t="s">
        <v>12129</v>
      </c>
      <c r="AX29" s="12" t="s">
        <v>12129</v>
      </c>
      <c r="AY29" s="12" t="s">
        <v>12129</v>
      </c>
      <c r="AZ29" s="12" t="s">
        <v>13188</v>
      </c>
      <c r="BA29" s="12" t="s">
        <v>12129</v>
      </c>
      <c r="BB29" s="12">
        <v>3.0</v>
      </c>
      <c r="BC29" s="12">
        <v>9.0</v>
      </c>
      <c r="BD29" s="12" t="s">
        <v>12129</v>
      </c>
      <c r="BE29" s="12" t="s">
        <v>435</v>
      </c>
      <c r="BF29" s="25" t="str">
        <f>HYPERLINK("http://dx.doi.org/10.1016/j.scitotenv.2014.06.081","http://dx.doi.org/10.1016/j.scitotenv.2014.06.081")</f>
        <v>http://dx.doi.org/10.1016/j.scitotenv.2014.06.081</v>
      </c>
      <c r="BG29" s="12" t="s">
        <v>12129</v>
      </c>
      <c r="BH29" s="12" t="s">
        <v>12129</v>
      </c>
      <c r="BI29" s="12">
        <v>7.0</v>
      </c>
      <c r="BJ29" s="12" t="s">
        <v>65</v>
      </c>
      <c r="BK29" s="12" t="s">
        <v>12176</v>
      </c>
      <c r="BL29" s="12" t="s">
        <v>12251</v>
      </c>
      <c r="BM29" s="12" t="s">
        <v>16114</v>
      </c>
      <c r="BN29" s="12">
        <v>2.5005236E7</v>
      </c>
      <c r="BO29" s="12" t="s">
        <v>16115</v>
      </c>
      <c r="BP29" s="12" t="s">
        <v>12129</v>
      </c>
      <c r="BQ29" s="12" t="s">
        <v>12129</v>
      </c>
      <c r="BR29" s="12" t="s">
        <v>15851</v>
      </c>
      <c r="BS29" s="12" t="s">
        <v>437</v>
      </c>
      <c r="BT29" s="12" t="str">
        <f>HYPERLINK("https%3A%2F%2Fwww.webofscience.com%2Fwos%2Fwoscc%2Ffull-record%2FWOS:000345729000002","View Full Record in Web of Science")</f>
        <v>View Full Record in Web of Science</v>
      </c>
    </row>
    <row r="30" ht="12.75" customHeight="1">
      <c r="A30" s="12" t="s">
        <v>23</v>
      </c>
      <c r="B30" s="12" t="s">
        <v>1012</v>
      </c>
      <c r="C30" s="12" t="s">
        <v>12129</v>
      </c>
      <c r="D30" s="12" t="s">
        <v>12129</v>
      </c>
      <c r="E30" s="12" t="s">
        <v>12129</v>
      </c>
      <c r="F30" s="12" t="s">
        <v>3355</v>
      </c>
      <c r="G30" s="12" t="s">
        <v>12129</v>
      </c>
      <c r="H30" s="12" t="s">
        <v>12129</v>
      </c>
      <c r="I30" s="12" t="s">
        <v>1013</v>
      </c>
      <c r="J30" s="12" t="s">
        <v>1014</v>
      </c>
      <c r="K30" s="12" t="s">
        <v>12129</v>
      </c>
      <c r="L30" s="12" t="s">
        <v>12129</v>
      </c>
      <c r="M30" s="12" t="s">
        <v>3263</v>
      </c>
      <c r="N30" s="12" t="s">
        <v>35</v>
      </c>
      <c r="O30" s="12" t="s">
        <v>12129</v>
      </c>
      <c r="P30" s="12" t="s">
        <v>12129</v>
      </c>
      <c r="Q30" s="12" t="s">
        <v>12129</v>
      </c>
      <c r="R30" s="12" t="s">
        <v>12129</v>
      </c>
      <c r="S30" s="12" t="s">
        <v>12129</v>
      </c>
      <c r="T30" s="12" t="s">
        <v>15799</v>
      </c>
      <c r="U30" s="12" t="s">
        <v>15800</v>
      </c>
      <c r="V30" s="12" t="s">
        <v>1015</v>
      </c>
      <c r="W30" s="12" t="s">
        <v>16116</v>
      </c>
      <c r="X30" s="12" t="s">
        <v>16117</v>
      </c>
      <c r="Y30" s="12" t="s">
        <v>16118</v>
      </c>
      <c r="Z30" s="12" t="s">
        <v>16119</v>
      </c>
      <c r="AA30" s="12" t="s">
        <v>16120</v>
      </c>
      <c r="AB30" s="12" t="s">
        <v>16121</v>
      </c>
      <c r="AC30" s="12" t="s">
        <v>16122</v>
      </c>
      <c r="AD30" s="12" t="s">
        <v>16123</v>
      </c>
      <c r="AE30" s="12" t="s">
        <v>16124</v>
      </c>
      <c r="AF30" s="12" t="s">
        <v>12129</v>
      </c>
      <c r="AG30" s="12">
        <v>92.0</v>
      </c>
      <c r="AH30" s="12">
        <v>171.0</v>
      </c>
      <c r="AI30" s="12">
        <v>207.0</v>
      </c>
      <c r="AJ30" s="12">
        <v>2.0</v>
      </c>
      <c r="AK30" s="12">
        <v>130.0</v>
      </c>
      <c r="AL30" s="12" t="s">
        <v>15801</v>
      </c>
      <c r="AM30" s="12" t="s">
        <v>15802</v>
      </c>
      <c r="AN30" s="12" t="s">
        <v>16125</v>
      </c>
      <c r="AO30" s="12" t="s">
        <v>16126</v>
      </c>
      <c r="AP30" s="12" t="s">
        <v>16127</v>
      </c>
      <c r="AQ30" s="12" t="s">
        <v>12129</v>
      </c>
      <c r="AR30" s="12" t="s">
        <v>15803</v>
      </c>
      <c r="AS30" s="12" t="s">
        <v>15804</v>
      </c>
      <c r="AT30" s="12" t="s">
        <v>12561</v>
      </c>
      <c r="AU30" s="12">
        <v>2008.0</v>
      </c>
      <c r="AV30" s="12">
        <v>3.0</v>
      </c>
      <c r="AW30" s="12">
        <v>1.0</v>
      </c>
      <c r="AX30" s="12" t="s">
        <v>12129</v>
      </c>
      <c r="AY30" s="12" t="s">
        <v>12129</v>
      </c>
      <c r="AZ30" s="12" t="s">
        <v>12129</v>
      </c>
      <c r="BA30" s="12" t="s">
        <v>12129</v>
      </c>
      <c r="BB30" s="12">
        <v>9.0</v>
      </c>
      <c r="BC30" s="12">
        <v>22.0</v>
      </c>
      <c r="BD30" s="12" t="s">
        <v>12129</v>
      </c>
      <c r="BE30" s="12" t="s">
        <v>1016</v>
      </c>
      <c r="BF30" s="25" t="str">
        <f>HYPERLINK("http://dx.doi.org/10.1007/s11625-008-0042-4","http://dx.doi.org/10.1007/s11625-008-0042-4")</f>
        <v>http://dx.doi.org/10.1007/s11625-008-0042-4</v>
      </c>
      <c r="BG30" s="12" t="s">
        <v>12129</v>
      </c>
      <c r="BH30" s="12" t="s">
        <v>12129</v>
      </c>
      <c r="BI30" s="12">
        <v>14.0</v>
      </c>
      <c r="BJ30" s="12" t="s">
        <v>576</v>
      </c>
      <c r="BK30" s="12" t="s">
        <v>12176</v>
      </c>
      <c r="BL30" s="12" t="s">
        <v>15413</v>
      </c>
      <c r="BM30" s="12" t="s">
        <v>16128</v>
      </c>
      <c r="BN30" s="12" t="s">
        <v>12129</v>
      </c>
      <c r="BO30" s="12" t="s">
        <v>12129</v>
      </c>
      <c r="BP30" s="12" t="s">
        <v>12129</v>
      </c>
      <c r="BQ30" s="12" t="s">
        <v>12129</v>
      </c>
      <c r="BR30" s="12" t="s">
        <v>15851</v>
      </c>
      <c r="BS30" s="12" t="s">
        <v>1018</v>
      </c>
      <c r="BT30" s="12" t="str">
        <f>HYPERLINK("https%3A%2F%2Fwww.webofscience.com%2Fwos%2Fwoscc%2Ffull-record%2FWOS:000264104000003","View Full Record in Web of Science")</f>
        <v>View Full Record in Web of Science</v>
      </c>
    </row>
    <row r="31" ht="12.75" customHeight="1">
      <c r="A31" s="12" t="s">
        <v>23</v>
      </c>
      <c r="B31" s="12" t="s">
        <v>1020</v>
      </c>
      <c r="C31" s="12" t="s">
        <v>12129</v>
      </c>
      <c r="D31" s="12" t="s">
        <v>12129</v>
      </c>
      <c r="E31" s="12" t="s">
        <v>12129</v>
      </c>
      <c r="F31" s="12" t="s">
        <v>2224</v>
      </c>
      <c r="G31" s="12" t="s">
        <v>12129</v>
      </c>
      <c r="H31" s="12" t="s">
        <v>12129</v>
      </c>
      <c r="I31" s="12" t="s">
        <v>1021</v>
      </c>
      <c r="J31" s="12" t="s">
        <v>324</v>
      </c>
      <c r="K31" s="12" t="s">
        <v>12129</v>
      </c>
      <c r="L31" s="12" t="s">
        <v>12129</v>
      </c>
      <c r="M31" s="12" t="s">
        <v>3263</v>
      </c>
      <c r="N31" s="12" t="s">
        <v>35</v>
      </c>
      <c r="O31" s="12" t="s">
        <v>12129</v>
      </c>
      <c r="P31" s="12" t="s">
        <v>12129</v>
      </c>
      <c r="Q31" s="12" t="s">
        <v>12129</v>
      </c>
      <c r="R31" s="12" t="s">
        <v>12129</v>
      </c>
      <c r="S31" s="12" t="s">
        <v>12129</v>
      </c>
      <c r="T31" s="12" t="s">
        <v>12129</v>
      </c>
      <c r="U31" s="12" t="s">
        <v>15504</v>
      </c>
      <c r="V31" s="12" t="s">
        <v>1022</v>
      </c>
      <c r="W31" s="12" t="s">
        <v>16129</v>
      </c>
      <c r="X31" s="12" t="s">
        <v>16130</v>
      </c>
      <c r="Y31" s="12" t="s">
        <v>16131</v>
      </c>
      <c r="Z31" s="12" t="s">
        <v>16132</v>
      </c>
      <c r="AA31" s="12" t="s">
        <v>16133</v>
      </c>
      <c r="AB31" s="12" t="s">
        <v>16134</v>
      </c>
      <c r="AC31" s="12" t="s">
        <v>12129</v>
      </c>
      <c r="AD31" s="12" t="s">
        <v>12129</v>
      </c>
      <c r="AE31" s="12" t="s">
        <v>12129</v>
      </c>
      <c r="AF31" s="12" t="s">
        <v>12129</v>
      </c>
      <c r="AG31" s="12">
        <v>34.0</v>
      </c>
      <c r="AH31" s="12">
        <v>4939.0</v>
      </c>
      <c r="AI31" s="12">
        <v>5702.0</v>
      </c>
      <c r="AJ31" s="12">
        <v>54.0</v>
      </c>
      <c r="AK31" s="12">
        <v>3002.0</v>
      </c>
      <c r="AL31" s="12" t="s">
        <v>15485</v>
      </c>
      <c r="AM31" s="12" t="s">
        <v>12632</v>
      </c>
      <c r="AN31" s="12" t="s">
        <v>15872</v>
      </c>
      <c r="AO31" s="12" t="s">
        <v>1511</v>
      </c>
      <c r="AP31" s="12" t="s">
        <v>12129</v>
      </c>
      <c r="AQ31" s="12" t="s">
        <v>12129</v>
      </c>
      <c r="AR31" s="12" t="s">
        <v>324</v>
      </c>
      <c r="AS31" s="12" t="s">
        <v>1510</v>
      </c>
      <c r="AT31" s="12" t="s">
        <v>13918</v>
      </c>
      <c r="AU31" s="12">
        <v>2008.0</v>
      </c>
      <c r="AV31" s="12">
        <v>319.0</v>
      </c>
      <c r="AW31" s="12">
        <v>5865.0</v>
      </c>
      <c r="AX31" s="12" t="s">
        <v>12129</v>
      </c>
      <c r="AY31" s="12" t="s">
        <v>12129</v>
      </c>
      <c r="AZ31" s="12" t="s">
        <v>12129</v>
      </c>
      <c r="BA31" s="12" t="s">
        <v>12129</v>
      </c>
      <c r="BB31" s="12">
        <v>948.0</v>
      </c>
      <c r="BC31" s="12">
        <v>952.0</v>
      </c>
      <c r="BD31" s="12" t="s">
        <v>12129</v>
      </c>
      <c r="BE31" s="12" t="s">
        <v>1023</v>
      </c>
      <c r="BF31" s="25" t="str">
        <f>HYPERLINK("http://dx.doi.org/10.1126/science.1149345","http://dx.doi.org/10.1126/science.1149345")</f>
        <v>http://dx.doi.org/10.1126/science.1149345</v>
      </c>
      <c r="BG31" s="12" t="s">
        <v>12129</v>
      </c>
      <c r="BH31" s="12" t="s">
        <v>12129</v>
      </c>
      <c r="BI31" s="12">
        <v>5.0</v>
      </c>
      <c r="BJ31" s="12" t="s">
        <v>39</v>
      </c>
      <c r="BK31" s="12" t="s">
        <v>12176</v>
      </c>
      <c r="BL31" s="12" t="s">
        <v>12202</v>
      </c>
      <c r="BM31" s="12" t="s">
        <v>16135</v>
      </c>
      <c r="BN31" s="12">
        <v>1.8276889E7</v>
      </c>
      <c r="BO31" s="12" t="s">
        <v>12129</v>
      </c>
      <c r="BP31" s="12" t="s">
        <v>12129</v>
      </c>
      <c r="BQ31" s="12" t="s">
        <v>12129</v>
      </c>
      <c r="BR31" s="12" t="s">
        <v>15851</v>
      </c>
      <c r="BS31" s="12" t="s">
        <v>1025</v>
      </c>
      <c r="BT31" s="12" t="str">
        <f>HYPERLINK("https%3A%2F%2Fwww.webofscience.com%2Fwos%2Fwoscc%2Ffull-record%2FWOS:000253165700045","View Full Record in Web of Science")</f>
        <v>View Full Record in Web of Science</v>
      </c>
    </row>
    <row r="32" ht="12.75" customHeight="1">
      <c r="A32" s="12" t="s">
        <v>23</v>
      </c>
      <c r="B32" s="12" t="s">
        <v>1050</v>
      </c>
      <c r="C32" s="12" t="s">
        <v>12129</v>
      </c>
      <c r="D32" s="12" t="s">
        <v>12129</v>
      </c>
      <c r="E32" s="12" t="s">
        <v>12129</v>
      </c>
      <c r="F32" s="12" t="s">
        <v>3377</v>
      </c>
      <c r="G32" s="12" t="s">
        <v>12129</v>
      </c>
      <c r="H32" s="12" t="s">
        <v>12129</v>
      </c>
      <c r="I32" s="12" t="s">
        <v>1051</v>
      </c>
      <c r="J32" s="12" t="s">
        <v>1052</v>
      </c>
      <c r="K32" s="12" t="s">
        <v>12129</v>
      </c>
      <c r="L32" s="12" t="s">
        <v>12129</v>
      </c>
      <c r="M32" s="12" t="s">
        <v>3263</v>
      </c>
      <c r="N32" s="12" t="s">
        <v>35</v>
      </c>
      <c r="O32" s="12" t="s">
        <v>12129</v>
      </c>
      <c r="P32" s="12" t="s">
        <v>12129</v>
      </c>
      <c r="Q32" s="12" t="s">
        <v>12129</v>
      </c>
      <c r="R32" s="12" t="s">
        <v>12129</v>
      </c>
      <c r="S32" s="12" t="s">
        <v>12129</v>
      </c>
      <c r="T32" s="12" t="s">
        <v>15745</v>
      </c>
      <c r="U32" s="12" t="s">
        <v>15746</v>
      </c>
      <c r="V32" s="12" t="s">
        <v>1053</v>
      </c>
      <c r="W32" s="12" t="s">
        <v>16136</v>
      </c>
      <c r="X32" s="12" t="s">
        <v>16137</v>
      </c>
      <c r="Y32" s="12" t="s">
        <v>16138</v>
      </c>
      <c r="Z32" s="12" t="s">
        <v>16119</v>
      </c>
      <c r="AA32" s="12" t="s">
        <v>16139</v>
      </c>
      <c r="AB32" s="12" t="s">
        <v>16140</v>
      </c>
      <c r="AC32" s="12" t="s">
        <v>12129</v>
      </c>
      <c r="AD32" s="12" t="s">
        <v>12129</v>
      </c>
      <c r="AE32" s="12" t="s">
        <v>12129</v>
      </c>
      <c r="AF32" s="12" t="s">
        <v>12129</v>
      </c>
      <c r="AG32" s="12">
        <v>45.0</v>
      </c>
      <c r="AH32" s="12">
        <v>205.0</v>
      </c>
      <c r="AI32" s="12">
        <v>239.0</v>
      </c>
      <c r="AJ32" s="12">
        <v>2.0</v>
      </c>
      <c r="AK32" s="12">
        <v>143.0</v>
      </c>
      <c r="AL32" s="12" t="s">
        <v>12930</v>
      </c>
      <c r="AM32" s="12" t="s">
        <v>12270</v>
      </c>
      <c r="AN32" s="12" t="s">
        <v>12931</v>
      </c>
      <c r="AO32" s="12" t="s">
        <v>13743</v>
      </c>
      <c r="AP32" s="12" t="s">
        <v>13744</v>
      </c>
      <c r="AQ32" s="12" t="s">
        <v>12129</v>
      </c>
      <c r="AR32" s="12" t="s">
        <v>13745</v>
      </c>
      <c r="AS32" s="12" t="s">
        <v>13746</v>
      </c>
      <c r="AT32" s="12" t="s">
        <v>12249</v>
      </c>
      <c r="AU32" s="12">
        <v>2006.0</v>
      </c>
      <c r="AV32" s="12">
        <v>53.0</v>
      </c>
      <c r="AW32" s="12">
        <v>3.0</v>
      </c>
      <c r="AX32" s="12" t="s">
        <v>12129</v>
      </c>
      <c r="AY32" s="12" t="s">
        <v>12129</v>
      </c>
      <c r="AZ32" s="12" t="s">
        <v>12129</v>
      </c>
      <c r="BA32" s="12" t="s">
        <v>12129</v>
      </c>
      <c r="BB32" s="12">
        <v>155.0</v>
      </c>
      <c r="BC32" s="12">
        <v>168.0</v>
      </c>
      <c r="BD32" s="12" t="s">
        <v>12129</v>
      </c>
      <c r="BE32" s="12" t="s">
        <v>1054</v>
      </c>
      <c r="BF32" s="25" t="str">
        <f>HYPERLINK("http://dx.doi.org/10.1016/j.gloplacha.2006.04.001","http://dx.doi.org/10.1016/j.gloplacha.2006.04.001")</f>
        <v>http://dx.doi.org/10.1016/j.gloplacha.2006.04.001</v>
      </c>
      <c r="BG32" s="12" t="s">
        <v>12129</v>
      </c>
      <c r="BH32" s="12" t="s">
        <v>12129</v>
      </c>
      <c r="BI32" s="12">
        <v>14.0</v>
      </c>
      <c r="BJ32" s="12" t="s">
        <v>1056</v>
      </c>
      <c r="BK32" s="12" t="s">
        <v>12176</v>
      </c>
      <c r="BL32" s="12" t="s">
        <v>13748</v>
      </c>
      <c r="BM32" s="12" t="s">
        <v>16141</v>
      </c>
      <c r="BN32" s="12" t="s">
        <v>12129</v>
      </c>
      <c r="BO32" s="12" t="s">
        <v>12129</v>
      </c>
      <c r="BP32" s="12" t="s">
        <v>12129</v>
      </c>
      <c r="BQ32" s="12" t="s">
        <v>12129</v>
      </c>
      <c r="BR32" s="12" t="s">
        <v>15851</v>
      </c>
      <c r="BS32" s="12" t="s">
        <v>1057</v>
      </c>
      <c r="BT32" s="12" t="str">
        <f>HYPERLINK("https%3A%2F%2Fwww.webofscience.com%2Fwos%2Fwoscc%2Ffull-record%2FWOS:000240743000001","View Full Record in Web of Science")</f>
        <v>View Full Record in Web of Science</v>
      </c>
    </row>
    <row r="33" ht="12.75" customHeight="1">
      <c r="A33" s="12" t="s">
        <v>23</v>
      </c>
      <c r="B33" s="12" t="s">
        <v>1184</v>
      </c>
      <c r="C33" s="12" t="s">
        <v>12129</v>
      </c>
      <c r="D33" s="12" t="s">
        <v>12129</v>
      </c>
      <c r="E33" s="12" t="s">
        <v>12129</v>
      </c>
      <c r="F33" s="12" t="s">
        <v>1184</v>
      </c>
      <c r="G33" s="12" t="s">
        <v>12129</v>
      </c>
      <c r="H33" s="12" t="s">
        <v>12129</v>
      </c>
      <c r="I33" s="12" t="s">
        <v>1185</v>
      </c>
      <c r="J33" s="12" t="s">
        <v>1186</v>
      </c>
      <c r="K33" s="12" t="s">
        <v>12129</v>
      </c>
      <c r="L33" s="12" t="s">
        <v>12129</v>
      </c>
      <c r="M33" s="12" t="s">
        <v>3263</v>
      </c>
      <c r="N33" s="12" t="s">
        <v>35</v>
      </c>
      <c r="O33" s="12" t="s">
        <v>12129</v>
      </c>
      <c r="P33" s="12" t="s">
        <v>12129</v>
      </c>
      <c r="Q33" s="12" t="s">
        <v>12129</v>
      </c>
      <c r="R33" s="12" t="s">
        <v>12129</v>
      </c>
      <c r="S33" s="12" t="s">
        <v>12129</v>
      </c>
      <c r="T33" s="12" t="s">
        <v>15431</v>
      </c>
      <c r="U33" s="12" t="s">
        <v>15432</v>
      </c>
      <c r="V33" s="12" t="s">
        <v>1187</v>
      </c>
      <c r="W33" s="12" t="s">
        <v>16142</v>
      </c>
      <c r="X33" s="12" t="s">
        <v>16143</v>
      </c>
      <c r="Y33" s="12" t="s">
        <v>16144</v>
      </c>
      <c r="Z33" s="12" t="s">
        <v>12129</v>
      </c>
      <c r="AA33" s="12" t="s">
        <v>12129</v>
      </c>
      <c r="AB33" s="12" t="s">
        <v>16145</v>
      </c>
      <c r="AC33" s="12" t="s">
        <v>12129</v>
      </c>
      <c r="AD33" s="12" t="s">
        <v>12129</v>
      </c>
      <c r="AE33" s="12" t="s">
        <v>12129</v>
      </c>
      <c r="AF33" s="12" t="s">
        <v>12129</v>
      </c>
      <c r="AG33" s="12">
        <v>32.0</v>
      </c>
      <c r="AH33" s="12">
        <v>276.0</v>
      </c>
      <c r="AI33" s="12">
        <v>362.0</v>
      </c>
      <c r="AJ33" s="12">
        <v>2.0</v>
      </c>
      <c r="AK33" s="12">
        <v>203.0</v>
      </c>
      <c r="AL33" s="12" t="s">
        <v>15433</v>
      </c>
      <c r="AM33" s="12" t="s">
        <v>12632</v>
      </c>
      <c r="AN33" s="12" t="s">
        <v>16146</v>
      </c>
      <c r="AO33" s="12" t="s">
        <v>16147</v>
      </c>
      <c r="AP33" s="12" t="s">
        <v>12129</v>
      </c>
      <c r="AQ33" s="12" t="s">
        <v>12129</v>
      </c>
      <c r="AR33" s="12" t="s">
        <v>1186</v>
      </c>
      <c r="AS33" s="12" t="s">
        <v>2633</v>
      </c>
      <c r="AT33" s="12" t="s">
        <v>12436</v>
      </c>
      <c r="AU33" s="12">
        <v>2002.0</v>
      </c>
      <c r="AV33" s="12">
        <v>25.0</v>
      </c>
      <c r="AW33" s="12">
        <v>2.0</v>
      </c>
      <c r="AX33" s="12" t="s">
        <v>12129</v>
      </c>
      <c r="AY33" s="12" t="s">
        <v>12129</v>
      </c>
      <c r="AZ33" s="12" t="s">
        <v>12129</v>
      </c>
      <c r="BA33" s="12" t="s">
        <v>12129</v>
      </c>
      <c r="BB33" s="12">
        <v>173.0</v>
      </c>
      <c r="BC33" s="12">
        <v>183.0</v>
      </c>
      <c r="BD33" s="12" t="s">
        <v>12129</v>
      </c>
      <c r="BE33" s="12" t="s">
        <v>1188</v>
      </c>
      <c r="BF33" s="25" t="str">
        <f>HYPERLINK("http://dx.doi.org/10.1675/1524-4695(2002)025[0173:GCCASL]2.0.CO;2","http://dx.doi.org/10.1675/1524-4695(2002)025[0173:GCCASL]2.0.CO;2")</f>
        <v>http://dx.doi.org/10.1675/1524-4695(2002)025[0173:GCCASL]2.0.CO;2</v>
      </c>
      <c r="BG33" s="12" t="s">
        <v>12129</v>
      </c>
      <c r="BH33" s="12" t="s">
        <v>12129</v>
      </c>
      <c r="BI33" s="12">
        <v>11.0</v>
      </c>
      <c r="BJ33" s="12" t="s">
        <v>270</v>
      </c>
      <c r="BK33" s="12" t="s">
        <v>12176</v>
      </c>
      <c r="BL33" s="12" t="s">
        <v>12509</v>
      </c>
      <c r="BM33" s="12" t="s">
        <v>16148</v>
      </c>
      <c r="BN33" s="12" t="s">
        <v>12129</v>
      </c>
      <c r="BO33" s="12" t="s">
        <v>12129</v>
      </c>
      <c r="BP33" s="12" t="s">
        <v>12129</v>
      </c>
      <c r="BQ33" s="12" t="s">
        <v>12129</v>
      </c>
      <c r="BR33" s="12" t="s">
        <v>15851</v>
      </c>
      <c r="BS33" s="12" t="s">
        <v>1190</v>
      </c>
      <c r="BT33" s="12" t="str">
        <f>HYPERLINK("https%3A%2F%2Fwww.webofscience.com%2Fwos%2Fwoscc%2Ffull-record%2FWOS:000176179900006","View Full Record in Web of Science")</f>
        <v>View Full Record in Web of Science</v>
      </c>
    </row>
    <row r="34" ht="12.75" customHeight="1">
      <c r="A34" s="12" t="s">
        <v>23</v>
      </c>
      <c r="B34" s="12" t="s">
        <v>1218</v>
      </c>
      <c r="C34" s="12" t="s">
        <v>12129</v>
      </c>
      <c r="D34" s="12" t="s">
        <v>12129</v>
      </c>
      <c r="E34" s="12" t="s">
        <v>12129</v>
      </c>
      <c r="F34" s="12" t="s">
        <v>1218</v>
      </c>
      <c r="G34" s="12" t="s">
        <v>12129</v>
      </c>
      <c r="H34" s="12" t="s">
        <v>12129</v>
      </c>
      <c r="I34" s="12" t="s">
        <v>1219</v>
      </c>
      <c r="J34" s="12" t="s">
        <v>795</v>
      </c>
      <c r="K34" s="12" t="s">
        <v>12129</v>
      </c>
      <c r="L34" s="12" t="s">
        <v>12129</v>
      </c>
      <c r="M34" s="12" t="s">
        <v>3263</v>
      </c>
      <c r="N34" s="12" t="s">
        <v>35</v>
      </c>
      <c r="O34" s="12" t="s">
        <v>12129</v>
      </c>
      <c r="P34" s="12" t="s">
        <v>12129</v>
      </c>
      <c r="Q34" s="12" t="s">
        <v>12129</v>
      </c>
      <c r="R34" s="12" t="s">
        <v>12129</v>
      </c>
      <c r="S34" s="12" t="s">
        <v>12129</v>
      </c>
      <c r="T34" s="12" t="s">
        <v>12129</v>
      </c>
      <c r="U34" s="12" t="s">
        <v>15435</v>
      </c>
      <c r="V34" s="12" t="s">
        <v>12129</v>
      </c>
      <c r="W34" s="12" t="s">
        <v>16149</v>
      </c>
      <c r="X34" s="12" t="s">
        <v>16150</v>
      </c>
      <c r="Y34" s="12" t="s">
        <v>16151</v>
      </c>
      <c r="Z34" s="12" t="s">
        <v>16152</v>
      </c>
      <c r="AA34" s="12" t="s">
        <v>16153</v>
      </c>
      <c r="AB34" s="12" t="s">
        <v>16154</v>
      </c>
      <c r="AC34" s="12" t="s">
        <v>12129</v>
      </c>
      <c r="AD34" s="12" t="s">
        <v>12129</v>
      </c>
      <c r="AE34" s="12" t="s">
        <v>12129</v>
      </c>
      <c r="AF34" s="12" t="s">
        <v>12129</v>
      </c>
      <c r="AG34" s="12">
        <v>84.0</v>
      </c>
      <c r="AH34" s="12">
        <v>860.0</v>
      </c>
      <c r="AI34" s="12">
        <v>1055.0</v>
      </c>
      <c r="AJ34" s="12">
        <v>3.0</v>
      </c>
      <c r="AK34" s="12">
        <v>239.0</v>
      </c>
      <c r="AL34" s="12" t="s">
        <v>13792</v>
      </c>
      <c r="AM34" s="12" t="s">
        <v>12295</v>
      </c>
      <c r="AN34" s="12" t="s">
        <v>13793</v>
      </c>
      <c r="AO34" s="12" t="s">
        <v>2585</v>
      </c>
      <c r="AP34" s="12" t="s">
        <v>8172</v>
      </c>
      <c r="AQ34" s="12" t="s">
        <v>12129</v>
      </c>
      <c r="AR34" s="12" t="s">
        <v>795</v>
      </c>
      <c r="AS34" s="12" t="s">
        <v>6090</v>
      </c>
      <c r="AT34" s="12" t="s">
        <v>13078</v>
      </c>
      <c r="AU34" s="12">
        <v>2001.0</v>
      </c>
      <c r="AV34" s="12">
        <v>51.0</v>
      </c>
      <c r="AW34" s="12">
        <v>3.0</v>
      </c>
      <c r="AX34" s="12" t="s">
        <v>12129</v>
      </c>
      <c r="AY34" s="12" t="s">
        <v>12129</v>
      </c>
      <c r="AZ34" s="12" t="s">
        <v>12129</v>
      </c>
      <c r="BA34" s="12" t="s">
        <v>12129</v>
      </c>
      <c r="BB34" s="12">
        <v>180.0</v>
      </c>
      <c r="BC34" s="12">
        <v>198.0</v>
      </c>
      <c r="BD34" s="12" t="s">
        <v>12129</v>
      </c>
      <c r="BE34" s="12" t="s">
        <v>1220</v>
      </c>
      <c r="BF34" s="25" t="str">
        <f>HYPERLINK("http://dx.doi.org/10.1641/0006-3568(2001)051[0180:ADITNU]2.0.CO;2","http://dx.doi.org/10.1641/0006-3568(2001)051[0180:ADITNU]2.0.CO;2")</f>
        <v>http://dx.doi.org/10.1641/0006-3568(2001)051[0180:ADITNU]2.0.CO;2</v>
      </c>
      <c r="BG34" s="12" t="s">
        <v>12129</v>
      </c>
      <c r="BH34" s="12" t="s">
        <v>12129</v>
      </c>
      <c r="BI34" s="12">
        <v>19.0</v>
      </c>
      <c r="BJ34" s="12" t="s">
        <v>185</v>
      </c>
      <c r="BK34" s="12" t="s">
        <v>12176</v>
      </c>
      <c r="BL34" s="12" t="s">
        <v>13772</v>
      </c>
      <c r="BM34" s="12" t="s">
        <v>16155</v>
      </c>
      <c r="BN34" s="12" t="s">
        <v>12129</v>
      </c>
      <c r="BO34" s="12" t="s">
        <v>12538</v>
      </c>
      <c r="BP34" s="12" t="s">
        <v>12129</v>
      </c>
      <c r="BQ34" s="12" t="s">
        <v>12129</v>
      </c>
      <c r="BR34" s="12" t="s">
        <v>15851</v>
      </c>
      <c r="BS34" s="12" t="s">
        <v>1222</v>
      </c>
      <c r="BT34" s="12" t="str">
        <f>HYPERLINK("https%3A%2F%2Fwww.webofscience.com%2Fwos%2Fwoscc%2Ffull-record%2FWOS:000168710400004","View Full Record in Web of Science")</f>
        <v>View Full Record in Web of Science</v>
      </c>
    </row>
    <row r="35" ht="12.75" customHeight="1">
      <c r="A35" s="12" t="s">
        <v>23</v>
      </c>
      <c r="B35" s="12" t="s">
        <v>59</v>
      </c>
      <c r="C35" s="12" t="s">
        <v>12129</v>
      </c>
      <c r="D35" s="12" t="s">
        <v>12129</v>
      </c>
      <c r="E35" s="12" t="s">
        <v>12129</v>
      </c>
      <c r="F35" s="12" t="s">
        <v>16156</v>
      </c>
      <c r="G35" s="12" t="s">
        <v>12129</v>
      </c>
      <c r="H35" s="12" t="s">
        <v>12129</v>
      </c>
      <c r="I35" s="12" t="s">
        <v>60</v>
      </c>
      <c r="J35" s="12" t="s">
        <v>61</v>
      </c>
      <c r="K35" s="12" t="s">
        <v>12129</v>
      </c>
      <c r="L35" s="12" t="s">
        <v>12129</v>
      </c>
      <c r="M35" s="12" t="s">
        <v>3263</v>
      </c>
      <c r="N35" s="12" t="s">
        <v>35</v>
      </c>
      <c r="O35" s="12" t="s">
        <v>12129</v>
      </c>
      <c r="P35" s="12" t="s">
        <v>12129</v>
      </c>
      <c r="Q35" s="12" t="s">
        <v>12129</v>
      </c>
      <c r="R35" s="12" t="s">
        <v>12129</v>
      </c>
      <c r="S35" s="12" t="s">
        <v>12129</v>
      </c>
      <c r="T35" s="12" t="s">
        <v>15699</v>
      </c>
      <c r="U35" s="12" t="s">
        <v>15700</v>
      </c>
      <c r="V35" s="12" t="s">
        <v>62</v>
      </c>
      <c r="W35" s="12" t="s">
        <v>16157</v>
      </c>
      <c r="X35" s="12" t="s">
        <v>16158</v>
      </c>
      <c r="Y35" s="12" t="s">
        <v>16159</v>
      </c>
      <c r="Z35" s="12" t="s">
        <v>16160</v>
      </c>
      <c r="AA35" s="12" t="s">
        <v>16161</v>
      </c>
      <c r="AB35" s="12" t="s">
        <v>16162</v>
      </c>
      <c r="AC35" s="12" t="s">
        <v>16163</v>
      </c>
      <c r="AD35" s="12" t="s">
        <v>16164</v>
      </c>
      <c r="AE35" s="12" t="s">
        <v>16165</v>
      </c>
      <c r="AF35" s="12" t="s">
        <v>12129</v>
      </c>
      <c r="AG35" s="12">
        <v>38.0</v>
      </c>
      <c r="AH35" s="12">
        <v>112.0</v>
      </c>
      <c r="AI35" s="12">
        <v>121.0</v>
      </c>
      <c r="AJ35" s="12">
        <v>1.0</v>
      </c>
      <c r="AK35" s="12">
        <v>186.0</v>
      </c>
      <c r="AL35" s="12" t="s">
        <v>12930</v>
      </c>
      <c r="AM35" s="12" t="s">
        <v>12270</v>
      </c>
      <c r="AN35" s="12" t="s">
        <v>12931</v>
      </c>
      <c r="AO35" s="12" t="s">
        <v>6141</v>
      </c>
      <c r="AP35" s="12" t="s">
        <v>12932</v>
      </c>
      <c r="AQ35" s="12" t="s">
        <v>12129</v>
      </c>
      <c r="AR35" s="12" t="s">
        <v>12933</v>
      </c>
      <c r="AS35" s="12" t="s">
        <v>12934</v>
      </c>
      <c r="AT35" s="12" t="s">
        <v>13146</v>
      </c>
      <c r="AU35" s="12">
        <v>2017.0</v>
      </c>
      <c r="AV35" s="12">
        <v>599.0</v>
      </c>
      <c r="AW35" s="12" t="s">
        <v>12129</v>
      </c>
      <c r="AX35" s="12" t="s">
        <v>12129</v>
      </c>
      <c r="AY35" s="12" t="s">
        <v>12129</v>
      </c>
      <c r="AZ35" s="12" t="s">
        <v>12129</v>
      </c>
      <c r="BA35" s="12" t="s">
        <v>12129</v>
      </c>
      <c r="BB35" s="12">
        <v>1372.0</v>
      </c>
      <c r="BC35" s="12">
        <v>1381.0</v>
      </c>
      <c r="BD35" s="12" t="s">
        <v>12129</v>
      </c>
      <c r="BE35" s="12" t="s">
        <v>63</v>
      </c>
      <c r="BF35" s="25" t="str">
        <f>HYPERLINK("http://dx.doi.org/10.1016/j.scitotenv.2017.05.039","http://dx.doi.org/10.1016/j.scitotenv.2017.05.039")</f>
        <v>http://dx.doi.org/10.1016/j.scitotenv.2017.05.039</v>
      </c>
      <c r="BG35" s="12" t="s">
        <v>12129</v>
      </c>
      <c r="BH35" s="12" t="s">
        <v>12129</v>
      </c>
      <c r="BI35" s="12">
        <v>10.0</v>
      </c>
      <c r="BJ35" s="12" t="s">
        <v>65</v>
      </c>
      <c r="BK35" s="12" t="s">
        <v>12176</v>
      </c>
      <c r="BL35" s="12" t="s">
        <v>12251</v>
      </c>
      <c r="BM35" s="12" t="s">
        <v>16166</v>
      </c>
      <c r="BN35" s="12">
        <v>2.8531948E7</v>
      </c>
      <c r="BO35" s="12" t="s">
        <v>13149</v>
      </c>
      <c r="BP35" s="12" t="s">
        <v>12129</v>
      </c>
      <c r="BQ35" s="12" t="s">
        <v>12129</v>
      </c>
      <c r="BR35" s="12" t="s">
        <v>15851</v>
      </c>
      <c r="BS35" s="12" t="s">
        <v>66</v>
      </c>
      <c r="BT35" s="12" t="str">
        <f>HYPERLINK("https%3A%2F%2Fwww.webofscience.com%2Fwos%2Fwoscc%2Ffull-record%2FWOS:000405253500033","View Full Record in Web of Science")</f>
        <v>View Full Record in Web of Science</v>
      </c>
    </row>
    <row r="36" ht="12.75" customHeight="1">
      <c r="A36" s="12" t="s">
        <v>23</v>
      </c>
      <c r="B36" s="12" t="s">
        <v>263</v>
      </c>
      <c r="C36" s="12" t="s">
        <v>12129</v>
      </c>
      <c r="D36" s="12" t="s">
        <v>12129</v>
      </c>
      <c r="E36" s="12" t="s">
        <v>12129</v>
      </c>
      <c r="F36" s="12" t="s">
        <v>5185</v>
      </c>
      <c r="G36" s="12" t="s">
        <v>12129</v>
      </c>
      <c r="H36" s="12" t="s">
        <v>12129</v>
      </c>
      <c r="I36" s="12" t="s">
        <v>264</v>
      </c>
      <c r="J36" s="12" t="s">
        <v>265</v>
      </c>
      <c r="K36" s="12" t="s">
        <v>12129</v>
      </c>
      <c r="L36" s="12" t="s">
        <v>12129</v>
      </c>
      <c r="M36" s="12" t="s">
        <v>3263</v>
      </c>
      <c r="N36" s="12" t="s">
        <v>266</v>
      </c>
      <c r="O36" s="12" t="s">
        <v>16167</v>
      </c>
      <c r="P36" s="12" t="s">
        <v>16168</v>
      </c>
      <c r="Q36" s="12" t="s">
        <v>16169</v>
      </c>
      <c r="R36" s="12" t="s">
        <v>12129</v>
      </c>
      <c r="S36" s="12" t="s">
        <v>16170</v>
      </c>
      <c r="T36" s="12" t="s">
        <v>15808</v>
      </c>
      <c r="U36" s="12" t="s">
        <v>15809</v>
      </c>
      <c r="V36" s="12" t="s">
        <v>267</v>
      </c>
      <c r="W36" s="12" t="s">
        <v>16171</v>
      </c>
      <c r="X36" s="12" t="s">
        <v>16172</v>
      </c>
      <c r="Y36" s="12" t="s">
        <v>16173</v>
      </c>
      <c r="Z36" s="12" t="s">
        <v>16174</v>
      </c>
      <c r="AA36" s="12" t="s">
        <v>16175</v>
      </c>
      <c r="AB36" s="12" t="s">
        <v>16176</v>
      </c>
      <c r="AC36" s="12" t="s">
        <v>16177</v>
      </c>
      <c r="AD36" s="12" t="s">
        <v>16178</v>
      </c>
      <c r="AE36" s="12" t="s">
        <v>16179</v>
      </c>
      <c r="AF36" s="12" t="s">
        <v>12129</v>
      </c>
      <c r="AG36" s="12">
        <v>80.0</v>
      </c>
      <c r="AH36" s="12">
        <v>34.0</v>
      </c>
      <c r="AI36" s="12">
        <v>36.0</v>
      </c>
      <c r="AJ36" s="12">
        <v>1.0</v>
      </c>
      <c r="AK36" s="12">
        <v>30.0</v>
      </c>
      <c r="AL36" s="12" t="s">
        <v>14027</v>
      </c>
      <c r="AM36" s="12" t="s">
        <v>14028</v>
      </c>
      <c r="AN36" s="12" t="s">
        <v>14029</v>
      </c>
      <c r="AO36" s="12" t="s">
        <v>5187</v>
      </c>
      <c r="AP36" s="12" t="s">
        <v>16180</v>
      </c>
      <c r="AQ36" s="12" t="s">
        <v>12129</v>
      </c>
      <c r="AR36" s="12" t="s">
        <v>15810</v>
      </c>
      <c r="AS36" s="12" t="s">
        <v>15811</v>
      </c>
      <c r="AT36" s="12" t="s">
        <v>12764</v>
      </c>
      <c r="AU36" s="12">
        <v>2015.0</v>
      </c>
      <c r="AV36" s="12">
        <v>156.0</v>
      </c>
      <c r="AW36" s="12" t="s">
        <v>12129</v>
      </c>
      <c r="AX36" s="12" t="s">
        <v>12129</v>
      </c>
      <c r="AY36" s="12">
        <v>1.0</v>
      </c>
      <c r="AZ36" s="12" t="s">
        <v>12129</v>
      </c>
      <c r="BA36" s="12" t="s">
        <v>12129</v>
      </c>
      <c r="BB36" s="12" t="s">
        <v>16181</v>
      </c>
      <c r="BC36" s="12" t="s">
        <v>16182</v>
      </c>
      <c r="BD36" s="12" t="s">
        <v>12129</v>
      </c>
      <c r="BE36" s="12" t="s">
        <v>268</v>
      </c>
      <c r="BF36" s="25" t="str">
        <f>HYPERLINK("http://dx.doi.org/10.1007/s10336-015-1155-z","http://dx.doi.org/10.1007/s10336-015-1155-z")</f>
        <v>http://dx.doi.org/10.1007/s10336-015-1155-z</v>
      </c>
      <c r="BG36" s="12" t="s">
        <v>12129</v>
      </c>
      <c r="BH36" s="12" t="s">
        <v>12129</v>
      </c>
      <c r="BI36" s="12">
        <v>11.0</v>
      </c>
      <c r="BJ36" s="12" t="s">
        <v>270</v>
      </c>
      <c r="BK36" s="12" t="s">
        <v>14627</v>
      </c>
      <c r="BL36" s="12" t="s">
        <v>12509</v>
      </c>
      <c r="BM36" s="12" t="s">
        <v>16183</v>
      </c>
      <c r="BN36" s="12" t="s">
        <v>12129</v>
      </c>
      <c r="BO36" s="12" t="s">
        <v>12253</v>
      </c>
      <c r="BP36" s="12" t="s">
        <v>12129</v>
      </c>
      <c r="BQ36" s="12" t="s">
        <v>12129</v>
      </c>
      <c r="BR36" s="12" t="s">
        <v>15851</v>
      </c>
      <c r="BS36" s="12" t="s">
        <v>271</v>
      </c>
      <c r="BT36" s="12" t="str">
        <f>HYPERLINK("https%3A%2F%2Fwww.webofscience.com%2Fwos%2Fwoscc%2Ffull-record%2FWOS:000367457200003","View Full Record in Web of Science")</f>
        <v>View Full Record in Web of Science</v>
      </c>
    </row>
    <row r="37" ht="12.75" customHeight="1">
      <c r="A37" s="12" t="s">
        <v>23</v>
      </c>
      <c r="B37" s="12" t="s">
        <v>847</v>
      </c>
      <c r="C37" s="12" t="s">
        <v>12129</v>
      </c>
      <c r="D37" s="12" t="s">
        <v>12129</v>
      </c>
      <c r="E37" s="12" t="s">
        <v>12129</v>
      </c>
      <c r="F37" s="12" t="s">
        <v>16184</v>
      </c>
      <c r="G37" s="12" t="s">
        <v>12129</v>
      </c>
      <c r="H37" s="12" t="s">
        <v>12129</v>
      </c>
      <c r="I37" s="12" t="s">
        <v>848</v>
      </c>
      <c r="J37" s="12" t="s">
        <v>849</v>
      </c>
      <c r="K37" s="12" t="s">
        <v>12129</v>
      </c>
      <c r="L37" s="12" t="s">
        <v>12129</v>
      </c>
      <c r="M37" s="12" t="s">
        <v>3263</v>
      </c>
      <c r="N37" s="12" t="s">
        <v>35</v>
      </c>
      <c r="O37" s="12" t="s">
        <v>12129</v>
      </c>
      <c r="P37" s="12" t="s">
        <v>12129</v>
      </c>
      <c r="Q37" s="12" t="s">
        <v>12129</v>
      </c>
      <c r="R37" s="12" t="s">
        <v>12129</v>
      </c>
      <c r="S37" s="12" t="s">
        <v>12129</v>
      </c>
      <c r="T37" s="12" t="s">
        <v>15773</v>
      </c>
      <c r="U37" s="12" t="s">
        <v>15774</v>
      </c>
      <c r="V37" s="12" t="s">
        <v>850</v>
      </c>
      <c r="W37" s="12" t="s">
        <v>16185</v>
      </c>
      <c r="X37" s="12" t="s">
        <v>16186</v>
      </c>
      <c r="Y37" s="12" t="s">
        <v>16187</v>
      </c>
      <c r="Z37" s="12" t="s">
        <v>16188</v>
      </c>
      <c r="AA37" s="12" t="s">
        <v>16189</v>
      </c>
      <c r="AB37" s="12" t="s">
        <v>16190</v>
      </c>
      <c r="AC37" s="12" t="s">
        <v>16191</v>
      </c>
      <c r="AD37" s="12" t="s">
        <v>16192</v>
      </c>
      <c r="AE37" s="12" t="s">
        <v>16193</v>
      </c>
      <c r="AF37" s="12" t="s">
        <v>12129</v>
      </c>
      <c r="AG37" s="12">
        <v>205.0</v>
      </c>
      <c r="AH37" s="12">
        <v>255.0</v>
      </c>
      <c r="AI37" s="12">
        <v>288.0</v>
      </c>
      <c r="AJ37" s="12">
        <v>1.0</v>
      </c>
      <c r="AK37" s="12">
        <v>174.0</v>
      </c>
      <c r="AL37" s="12" t="s">
        <v>12294</v>
      </c>
      <c r="AM37" s="12" t="s">
        <v>12295</v>
      </c>
      <c r="AN37" s="12" t="s">
        <v>12296</v>
      </c>
      <c r="AO37" s="12" t="s">
        <v>16194</v>
      </c>
      <c r="AP37" s="12" t="s">
        <v>16195</v>
      </c>
      <c r="AQ37" s="12" t="s">
        <v>12129</v>
      </c>
      <c r="AR37" s="12" t="s">
        <v>15775</v>
      </c>
      <c r="AS37" s="12" t="s">
        <v>15776</v>
      </c>
      <c r="AT37" s="12" t="s">
        <v>12275</v>
      </c>
      <c r="AU37" s="12">
        <v>2010.0</v>
      </c>
      <c r="AV37" s="12">
        <v>57.0</v>
      </c>
      <c r="AW37" s="12">
        <v>16.0</v>
      </c>
      <c r="AX37" s="12" t="s">
        <v>12129</v>
      </c>
      <c r="AY37" s="12" t="s">
        <v>12129</v>
      </c>
      <c r="AZ37" s="12" t="s">
        <v>12129</v>
      </c>
      <c r="BA37" s="12" t="s">
        <v>12129</v>
      </c>
      <c r="BB37" s="12">
        <v>1504.0</v>
      </c>
      <c r="BC37" s="12">
        <v>1518.0</v>
      </c>
      <c r="BD37" s="12" t="s">
        <v>12129</v>
      </c>
      <c r="BE37" s="12" t="s">
        <v>851</v>
      </c>
      <c r="BF37" s="25" t="str">
        <f>HYPERLINK("http://dx.doi.org/10.1016/j.dsr2.2010.02.018","http://dx.doi.org/10.1016/j.dsr2.2010.02.018")</f>
        <v>http://dx.doi.org/10.1016/j.dsr2.2010.02.018</v>
      </c>
      <c r="BG37" s="12" t="s">
        <v>12129</v>
      </c>
      <c r="BH37" s="12" t="s">
        <v>12129</v>
      </c>
      <c r="BI37" s="12">
        <v>15.0</v>
      </c>
      <c r="BJ37" s="12" t="s">
        <v>219</v>
      </c>
      <c r="BK37" s="12" t="s">
        <v>12176</v>
      </c>
      <c r="BL37" s="12" t="s">
        <v>219</v>
      </c>
      <c r="BM37" s="12" t="s">
        <v>16196</v>
      </c>
      <c r="BN37" s="12" t="s">
        <v>12129</v>
      </c>
      <c r="BO37" s="12" t="s">
        <v>12253</v>
      </c>
      <c r="BP37" s="12" t="s">
        <v>12129</v>
      </c>
      <c r="BQ37" s="12" t="s">
        <v>12129</v>
      </c>
      <c r="BR37" s="12" t="s">
        <v>15851</v>
      </c>
      <c r="BS37" s="12" t="s">
        <v>853</v>
      </c>
      <c r="BT37" s="12" t="str">
        <f>HYPERLINK("https%3A%2F%2Fwww.webofscience.com%2Fwos%2Fwoscc%2Ffull-record%2FWOS:000280377900008","View Full Record in Web of Science")</f>
        <v>View Full Record in Web of Science</v>
      </c>
    </row>
    <row r="38" ht="12.75" customHeight="1">
      <c r="A38" s="12" t="s">
        <v>23</v>
      </c>
      <c r="B38" s="12" t="s">
        <v>84</v>
      </c>
      <c r="C38" s="12" t="s">
        <v>12129</v>
      </c>
      <c r="D38" s="12" t="s">
        <v>12129</v>
      </c>
      <c r="E38" s="12" t="s">
        <v>12129</v>
      </c>
      <c r="F38" s="12" t="s">
        <v>2955</v>
      </c>
      <c r="G38" s="12" t="s">
        <v>12129</v>
      </c>
      <c r="H38" s="12" t="s">
        <v>12129</v>
      </c>
      <c r="I38" s="12" t="s">
        <v>85</v>
      </c>
      <c r="J38" s="12" t="s">
        <v>86</v>
      </c>
      <c r="K38" s="12" t="s">
        <v>12129</v>
      </c>
      <c r="L38" s="12" t="s">
        <v>12129</v>
      </c>
      <c r="M38" s="12" t="s">
        <v>3263</v>
      </c>
      <c r="N38" s="12" t="s">
        <v>35</v>
      </c>
      <c r="O38" s="12" t="s">
        <v>12129</v>
      </c>
      <c r="P38" s="12" t="s">
        <v>12129</v>
      </c>
      <c r="Q38" s="12" t="s">
        <v>12129</v>
      </c>
      <c r="R38" s="12" t="s">
        <v>12129</v>
      </c>
      <c r="S38" s="12" t="s">
        <v>12129</v>
      </c>
      <c r="T38" s="12" t="s">
        <v>12129</v>
      </c>
      <c r="U38" s="12" t="s">
        <v>15510</v>
      </c>
      <c r="V38" s="12" t="s">
        <v>87</v>
      </c>
      <c r="W38" s="12" t="s">
        <v>16197</v>
      </c>
      <c r="X38" s="12" t="s">
        <v>16198</v>
      </c>
      <c r="Y38" s="12" t="s">
        <v>16199</v>
      </c>
      <c r="Z38" s="12" t="s">
        <v>16200</v>
      </c>
      <c r="AA38" s="12" t="s">
        <v>16201</v>
      </c>
      <c r="AB38" s="12" t="s">
        <v>16202</v>
      </c>
      <c r="AC38" s="12" t="s">
        <v>16203</v>
      </c>
      <c r="AD38" s="12" t="s">
        <v>16204</v>
      </c>
      <c r="AE38" s="12" t="s">
        <v>16205</v>
      </c>
      <c r="AF38" s="12" t="s">
        <v>12129</v>
      </c>
      <c r="AG38" s="12">
        <v>42.0</v>
      </c>
      <c r="AH38" s="12">
        <v>12057.0</v>
      </c>
      <c r="AI38" s="12">
        <v>14062.0</v>
      </c>
      <c r="AJ38" s="12">
        <v>444.0</v>
      </c>
      <c r="AK38" s="12">
        <v>7717.0</v>
      </c>
      <c r="AL38" s="12" t="s">
        <v>15485</v>
      </c>
      <c r="AM38" s="12" t="s">
        <v>12632</v>
      </c>
      <c r="AN38" s="12" t="s">
        <v>15872</v>
      </c>
      <c r="AO38" s="12" t="s">
        <v>1614</v>
      </c>
      <c r="AP38" s="12" t="s">
        <v>12129</v>
      </c>
      <c r="AQ38" s="12" t="s">
        <v>12129</v>
      </c>
      <c r="AR38" s="12" t="s">
        <v>15511</v>
      </c>
      <c r="AS38" s="12" t="s">
        <v>5964</v>
      </c>
      <c r="AT38" s="12" t="s">
        <v>12352</v>
      </c>
      <c r="AU38" s="12">
        <v>2017.0</v>
      </c>
      <c r="AV38" s="12">
        <v>3.0</v>
      </c>
      <c r="AW38" s="12">
        <v>7.0</v>
      </c>
      <c r="AX38" s="12" t="s">
        <v>12129</v>
      </c>
      <c r="AY38" s="12" t="s">
        <v>12129</v>
      </c>
      <c r="AZ38" s="12" t="s">
        <v>12129</v>
      </c>
      <c r="BA38" s="12" t="s">
        <v>12129</v>
      </c>
      <c r="BB38" s="12" t="s">
        <v>12129</v>
      </c>
      <c r="BC38" s="12" t="s">
        <v>12129</v>
      </c>
      <c r="BD38" s="12" t="s">
        <v>2957</v>
      </c>
      <c r="BE38" s="12" t="s">
        <v>88</v>
      </c>
      <c r="BF38" s="25" t="str">
        <f>HYPERLINK("http://dx.doi.org/10.1126/sciadv.1700782","http://dx.doi.org/10.1126/sciadv.1700782")</f>
        <v>http://dx.doi.org/10.1126/sciadv.1700782</v>
      </c>
      <c r="BG38" s="12" t="s">
        <v>12129</v>
      </c>
      <c r="BH38" s="12" t="s">
        <v>12129</v>
      </c>
      <c r="BI38" s="12">
        <v>5.0</v>
      </c>
      <c r="BJ38" s="12" t="s">
        <v>39</v>
      </c>
      <c r="BK38" s="12" t="s">
        <v>12176</v>
      </c>
      <c r="BL38" s="12" t="s">
        <v>12202</v>
      </c>
      <c r="BM38" s="12" t="s">
        <v>16206</v>
      </c>
      <c r="BN38" s="12">
        <v>2.8776036E7</v>
      </c>
      <c r="BO38" s="12" t="s">
        <v>12179</v>
      </c>
      <c r="BP38" s="12" t="s">
        <v>12129</v>
      </c>
      <c r="BQ38" s="12" t="s">
        <v>12129</v>
      </c>
      <c r="BR38" s="12" t="s">
        <v>15851</v>
      </c>
      <c r="BS38" s="12" t="s">
        <v>90</v>
      </c>
      <c r="BT38" s="12" t="str">
        <f>HYPERLINK("https%3A%2F%2Fwww.webofscience.com%2Fwos%2Fwoscc%2Ffull-record%2FWOS:000411588000033","View Full Record in Web of Science")</f>
        <v>View Full Record in Web of Science</v>
      </c>
    </row>
    <row r="39" ht="12.75" customHeight="1">
      <c r="A39" s="12" t="s">
        <v>23</v>
      </c>
      <c r="B39" s="12" t="s">
        <v>346</v>
      </c>
      <c r="C39" s="12" t="s">
        <v>12129</v>
      </c>
      <c r="D39" s="12" t="s">
        <v>12129</v>
      </c>
      <c r="E39" s="12" t="s">
        <v>12129</v>
      </c>
      <c r="F39" s="12" t="s">
        <v>16207</v>
      </c>
      <c r="G39" s="12" t="s">
        <v>12129</v>
      </c>
      <c r="H39" s="12" t="s">
        <v>12129</v>
      </c>
      <c r="I39" s="12" t="s">
        <v>347</v>
      </c>
      <c r="J39" s="12" t="s">
        <v>324</v>
      </c>
      <c r="K39" s="12" t="s">
        <v>12129</v>
      </c>
      <c r="L39" s="12" t="s">
        <v>12129</v>
      </c>
      <c r="M39" s="12" t="s">
        <v>3263</v>
      </c>
      <c r="N39" s="12" t="s">
        <v>35</v>
      </c>
      <c r="O39" s="12" t="s">
        <v>12129</v>
      </c>
      <c r="P39" s="12" t="s">
        <v>12129</v>
      </c>
      <c r="Q39" s="12" t="s">
        <v>12129</v>
      </c>
      <c r="R39" s="12" t="s">
        <v>12129</v>
      </c>
      <c r="S39" s="12" t="s">
        <v>12129</v>
      </c>
      <c r="T39" s="12" t="s">
        <v>12129</v>
      </c>
      <c r="U39" s="12" t="s">
        <v>15487</v>
      </c>
      <c r="V39" s="12" t="s">
        <v>348</v>
      </c>
      <c r="W39" s="12" t="s">
        <v>16208</v>
      </c>
      <c r="X39" s="12" t="s">
        <v>16209</v>
      </c>
      <c r="Y39" s="12" t="s">
        <v>16210</v>
      </c>
      <c r="Z39" s="12" t="s">
        <v>16211</v>
      </c>
      <c r="AA39" s="12" t="s">
        <v>16212</v>
      </c>
      <c r="AB39" s="12" t="s">
        <v>16213</v>
      </c>
      <c r="AC39" s="12" t="s">
        <v>16214</v>
      </c>
      <c r="AD39" s="12" t="s">
        <v>16215</v>
      </c>
      <c r="AE39" s="12" t="s">
        <v>16216</v>
      </c>
      <c r="AF39" s="12" t="s">
        <v>12129</v>
      </c>
      <c r="AG39" s="12">
        <v>29.0</v>
      </c>
      <c r="AH39" s="12">
        <v>361.0</v>
      </c>
      <c r="AI39" s="12">
        <v>402.0</v>
      </c>
      <c r="AJ39" s="12">
        <v>6.0</v>
      </c>
      <c r="AK39" s="12">
        <v>287.0</v>
      </c>
      <c r="AL39" s="12" t="s">
        <v>15485</v>
      </c>
      <c r="AM39" s="12" t="s">
        <v>12632</v>
      </c>
      <c r="AN39" s="12" t="s">
        <v>15872</v>
      </c>
      <c r="AO39" s="12" t="s">
        <v>1511</v>
      </c>
      <c r="AP39" s="12" t="s">
        <v>1917</v>
      </c>
      <c r="AQ39" s="12" t="s">
        <v>12129</v>
      </c>
      <c r="AR39" s="12" t="s">
        <v>324</v>
      </c>
      <c r="AS39" s="12" t="s">
        <v>1510</v>
      </c>
      <c r="AT39" s="12" t="s">
        <v>15488</v>
      </c>
      <c r="AU39" s="12">
        <v>2015.0</v>
      </c>
      <c r="AV39" s="12">
        <v>348.0</v>
      </c>
      <c r="AW39" s="12">
        <v>6240.0</v>
      </c>
      <c r="AX39" s="12" t="s">
        <v>12129</v>
      </c>
      <c r="AY39" s="12" t="s">
        <v>12129</v>
      </c>
      <c r="AZ39" s="12" t="s">
        <v>12129</v>
      </c>
      <c r="BA39" s="12" t="s">
        <v>12129</v>
      </c>
      <c r="BB39" s="12">
        <v>1248.0</v>
      </c>
      <c r="BC39" s="12">
        <v>1251.0</v>
      </c>
      <c r="BD39" s="12" t="s">
        <v>12129</v>
      </c>
      <c r="BE39" s="12" t="s">
        <v>349</v>
      </c>
      <c r="BF39" s="25" t="str">
        <f>HYPERLINK("http://dx.doi.org/10.1126/science.aaa8913","http://dx.doi.org/10.1126/science.aaa8913")</f>
        <v>http://dx.doi.org/10.1126/science.aaa8913</v>
      </c>
      <c r="BG39" s="12" t="s">
        <v>12129</v>
      </c>
      <c r="BH39" s="12" t="s">
        <v>12129</v>
      </c>
      <c r="BI39" s="12">
        <v>4.0</v>
      </c>
      <c r="BJ39" s="12" t="s">
        <v>39</v>
      </c>
      <c r="BK39" s="12" t="s">
        <v>12176</v>
      </c>
      <c r="BL39" s="12" t="s">
        <v>12202</v>
      </c>
      <c r="BM39" s="12" t="s">
        <v>16217</v>
      </c>
      <c r="BN39" s="12">
        <v>2.6068851E7</v>
      </c>
      <c r="BO39" s="12" t="s">
        <v>12129</v>
      </c>
      <c r="BP39" s="12" t="s">
        <v>12129</v>
      </c>
      <c r="BQ39" s="12" t="s">
        <v>12129</v>
      </c>
      <c r="BR39" s="12" t="s">
        <v>15851</v>
      </c>
      <c r="BS39" s="12" t="s">
        <v>351</v>
      </c>
      <c r="BT39" s="12" t="str">
        <f>HYPERLINK("https%3A%2F%2Fwww.webofscience.com%2Fwos%2Fwoscc%2Ffull-record%2FWOS:000356011500053","View Full Record in Web of Science")</f>
        <v>View Full Record in Web of Science</v>
      </c>
    </row>
    <row r="40" ht="12.75" customHeight="1">
      <c r="A40" s="12" t="s">
        <v>23</v>
      </c>
      <c r="B40" s="12" t="s">
        <v>831</v>
      </c>
      <c r="C40" s="12" t="s">
        <v>12129</v>
      </c>
      <c r="D40" s="12" t="s">
        <v>12129</v>
      </c>
      <c r="E40" s="12" t="s">
        <v>12129</v>
      </c>
      <c r="F40" s="12" t="s">
        <v>2319</v>
      </c>
      <c r="G40" s="12" t="s">
        <v>12129</v>
      </c>
      <c r="H40" s="12" t="s">
        <v>12129</v>
      </c>
      <c r="I40" s="12" t="s">
        <v>832</v>
      </c>
      <c r="J40" s="12" t="s">
        <v>833</v>
      </c>
      <c r="K40" s="12" t="s">
        <v>12129</v>
      </c>
      <c r="L40" s="12" t="s">
        <v>12129</v>
      </c>
      <c r="M40" s="12" t="s">
        <v>3263</v>
      </c>
      <c r="N40" s="12" t="s">
        <v>35</v>
      </c>
      <c r="O40" s="12" t="s">
        <v>12129</v>
      </c>
      <c r="P40" s="12" t="s">
        <v>12129</v>
      </c>
      <c r="Q40" s="12" t="s">
        <v>12129</v>
      </c>
      <c r="R40" s="12" t="s">
        <v>12129</v>
      </c>
      <c r="S40" s="12" t="s">
        <v>12129</v>
      </c>
      <c r="T40" s="12" t="s">
        <v>15783</v>
      </c>
      <c r="U40" s="12" t="s">
        <v>15784</v>
      </c>
      <c r="V40" s="12" t="s">
        <v>834</v>
      </c>
      <c r="W40" s="12" t="s">
        <v>16218</v>
      </c>
      <c r="X40" s="12" t="s">
        <v>16219</v>
      </c>
      <c r="Y40" s="12" t="s">
        <v>16220</v>
      </c>
      <c r="Z40" s="12" t="s">
        <v>12129</v>
      </c>
      <c r="AA40" s="12" t="s">
        <v>16221</v>
      </c>
      <c r="AB40" s="12" t="s">
        <v>16222</v>
      </c>
      <c r="AC40" s="12" t="s">
        <v>12129</v>
      </c>
      <c r="AD40" s="12" t="s">
        <v>12129</v>
      </c>
      <c r="AE40" s="12" t="s">
        <v>12129</v>
      </c>
      <c r="AF40" s="12" t="s">
        <v>12129</v>
      </c>
      <c r="AG40" s="12">
        <v>58.0</v>
      </c>
      <c r="AH40" s="12">
        <v>159.0</v>
      </c>
      <c r="AI40" s="12">
        <v>180.0</v>
      </c>
      <c r="AJ40" s="12">
        <v>3.0</v>
      </c>
      <c r="AK40" s="12">
        <v>124.0</v>
      </c>
      <c r="AL40" s="12" t="s">
        <v>12269</v>
      </c>
      <c r="AM40" s="12" t="s">
        <v>12270</v>
      </c>
      <c r="AN40" s="12" t="s">
        <v>12271</v>
      </c>
      <c r="AO40" s="12" t="s">
        <v>2321</v>
      </c>
      <c r="AP40" s="12" t="s">
        <v>16223</v>
      </c>
      <c r="AQ40" s="12" t="s">
        <v>12129</v>
      </c>
      <c r="AR40" s="12" t="s">
        <v>15785</v>
      </c>
      <c r="AS40" s="12" t="s">
        <v>15786</v>
      </c>
      <c r="AT40" s="12" t="s">
        <v>15787</v>
      </c>
      <c r="AU40" s="12">
        <v>2010.0</v>
      </c>
      <c r="AV40" s="12">
        <v>99.0</v>
      </c>
      <c r="AW40" s="12">
        <v>3.0</v>
      </c>
      <c r="AX40" s="12" t="s">
        <v>12129</v>
      </c>
      <c r="AY40" s="12" t="s">
        <v>12129</v>
      </c>
      <c r="AZ40" s="12" t="s">
        <v>12129</v>
      </c>
      <c r="BA40" s="12" t="s">
        <v>12129</v>
      </c>
      <c r="BB40" s="12">
        <v>397.0</v>
      </c>
      <c r="BC40" s="12">
        <v>404.0</v>
      </c>
      <c r="BD40" s="12" t="s">
        <v>12129</v>
      </c>
      <c r="BE40" s="12" t="s">
        <v>835</v>
      </c>
      <c r="BF40" s="25" t="str">
        <f>HYPERLINK("http://dx.doi.org/10.1016/j.aquatox.2010.05.019","http://dx.doi.org/10.1016/j.aquatox.2010.05.019")</f>
        <v>http://dx.doi.org/10.1016/j.aquatox.2010.05.019</v>
      </c>
      <c r="BG40" s="12" t="s">
        <v>12129</v>
      </c>
      <c r="BH40" s="12" t="s">
        <v>12129</v>
      </c>
      <c r="BI40" s="12">
        <v>8.0</v>
      </c>
      <c r="BJ40" s="12" t="s">
        <v>837</v>
      </c>
      <c r="BK40" s="12" t="s">
        <v>12176</v>
      </c>
      <c r="BL40" s="12" t="s">
        <v>837</v>
      </c>
      <c r="BM40" s="12" t="s">
        <v>16224</v>
      </c>
      <c r="BN40" s="12">
        <v>2.0591511E7</v>
      </c>
      <c r="BO40" s="12" t="s">
        <v>12129</v>
      </c>
      <c r="BP40" s="12" t="s">
        <v>12129</v>
      </c>
      <c r="BQ40" s="12" t="s">
        <v>12129</v>
      </c>
      <c r="BR40" s="12" t="s">
        <v>15851</v>
      </c>
      <c r="BS40" s="12" t="s">
        <v>838</v>
      </c>
      <c r="BT40" s="12" t="str">
        <f>HYPERLINK("https%3A%2F%2Fwww.webofscience.com%2Fwos%2Fwoscc%2Ffull-record%2FWOS:000281493400010","View Full Record in Web of Science")</f>
        <v>View Full Record in Web of Science</v>
      </c>
    </row>
    <row r="41" ht="12.75" customHeight="1">
      <c r="A41" s="12" t="s">
        <v>23</v>
      </c>
      <c r="B41" s="12" t="s">
        <v>1083</v>
      </c>
      <c r="C41" s="12" t="s">
        <v>12129</v>
      </c>
      <c r="D41" s="12" t="s">
        <v>12129</v>
      </c>
      <c r="E41" s="12" t="s">
        <v>12129</v>
      </c>
      <c r="F41" s="12" t="s">
        <v>1083</v>
      </c>
      <c r="G41" s="12" t="s">
        <v>12129</v>
      </c>
      <c r="H41" s="12" t="s">
        <v>12129</v>
      </c>
      <c r="I41" s="12" t="s">
        <v>1084</v>
      </c>
      <c r="J41" s="12" t="s">
        <v>1085</v>
      </c>
      <c r="K41" s="12" t="s">
        <v>12129</v>
      </c>
      <c r="L41" s="12" t="s">
        <v>12129</v>
      </c>
      <c r="M41" s="12" t="s">
        <v>3263</v>
      </c>
      <c r="N41" s="12" t="s">
        <v>35</v>
      </c>
      <c r="O41" s="12" t="s">
        <v>12129</v>
      </c>
      <c r="P41" s="12" t="s">
        <v>12129</v>
      </c>
      <c r="Q41" s="12" t="s">
        <v>12129</v>
      </c>
      <c r="R41" s="12" t="s">
        <v>12129</v>
      </c>
      <c r="S41" s="12" t="s">
        <v>12129</v>
      </c>
      <c r="T41" s="12" t="s">
        <v>15821</v>
      </c>
      <c r="U41" s="12" t="s">
        <v>15822</v>
      </c>
      <c r="V41" s="12" t="s">
        <v>1086</v>
      </c>
      <c r="W41" s="12" t="s">
        <v>16225</v>
      </c>
      <c r="X41" s="12" t="s">
        <v>16226</v>
      </c>
      <c r="Y41" s="12" t="s">
        <v>16227</v>
      </c>
      <c r="Z41" s="12" t="s">
        <v>16228</v>
      </c>
      <c r="AA41" s="12" t="s">
        <v>16229</v>
      </c>
      <c r="AB41" s="12" t="s">
        <v>16230</v>
      </c>
      <c r="AC41" s="12" t="s">
        <v>12129</v>
      </c>
      <c r="AD41" s="12" t="s">
        <v>12129</v>
      </c>
      <c r="AE41" s="12" t="s">
        <v>12129</v>
      </c>
      <c r="AF41" s="12" t="s">
        <v>12129</v>
      </c>
      <c r="AG41" s="12">
        <v>25.0</v>
      </c>
      <c r="AH41" s="12">
        <v>16332.0</v>
      </c>
      <c r="AI41" s="12">
        <v>18842.0</v>
      </c>
      <c r="AJ41" s="12">
        <v>39.0</v>
      </c>
      <c r="AK41" s="12">
        <v>2484.0</v>
      </c>
      <c r="AL41" s="12" t="s">
        <v>12243</v>
      </c>
      <c r="AM41" s="12" t="s">
        <v>12244</v>
      </c>
      <c r="AN41" s="12" t="s">
        <v>12245</v>
      </c>
      <c r="AO41" s="12" t="s">
        <v>16231</v>
      </c>
      <c r="AP41" s="12" t="s">
        <v>16232</v>
      </c>
      <c r="AQ41" s="12" t="s">
        <v>12129</v>
      </c>
      <c r="AR41" s="12" t="s">
        <v>15823</v>
      </c>
      <c r="AS41" s="12" t="s">
        <v>15824</v>
      </c>
      <c r="AT41" s="12" t="s">
        <v>12764</v>
      </c>
      <c r="AU41" s="12">
        <v>2005.0</v>
      </c>
      <c r="AV41" s="12">
        <v>25.0</v>
      </c>
      <c r="AW41" s="12">
        <v>15.0</v>
      </c>
      <c r="AX41" s="12" t="s">
        <v>12129</v>
      </c>
      <c r="AY41" s="12" t="s">
        <v>12129</v>
      </c>
      <c r="AZ41" s="12" t="s">
        <v>12129</v>
      </c>
      <c r="BA41" s="12" t="s">
        <v>12129</v>
      </c>
      <c r="BB41" s="12">
        <v>1965.0</v>
      </c>
      <c r="BC41" s="12">
        <v>1978.0</v>
      </c>
      <c r="BD41" s="12" t="s">
        <v>12129</v>
      </c>
      <c r="BE41" s="12" t="s">
        <v>1087</v>
      </c>
      <c r="BF41" s="25" t="str">
        <f>HYPERLINK("http://dx.doi.org/10.1002/joc.1276","http://dx.doi.org/10.1002/joc.1276")</f>
        <v>http://dx.doi.org/10.1002/joc.1276</v>
      </c>
      <c r="BG41" s="12" t="s">
        <v>12129</v>
      </c>
      <c r="BH41" s="12" t="s">
        <v>12129</v>
      </c>
      <c r="BI41" s="12">
        <v>14.0</v>
      </c>
      <c r="BJ41" s="12" t="s">
        <v>47</v>
      </c>
      <c r="BK41" s="12" t="s">
        <v>12176</v>
      </c>
      <c r="BL41" s="12" t="s">
        <v>47</v>
      </c>
      <c r="BM41" s="12" t="s">
        <v>16233</v>
      </c>
      <c r="BN41" s="12" t="s">
        <v>12129</v>
      </c>
      <c r="BO41" s="12" t="s">
        <v>12129</v>
      </c>
      <c r="BP41" s="12" t="s">
        <v>12129</v>
      </c>
      <c r="BQ41" s="12" t="s">
        <v>12129</v>
      </c>
      <c r="BR41" s="12" t="s">
        <v>15851</v>
      </c>
      <c r="BS41" s="12" t="s">
        <v>1089</v>
      </c>
      <c r="BT41" s="12" t="str">
        <f>HYPERLINK("https%3A%2F%2Fwww.webofscience.com%2Fwos%2Fwoscc%2Ffull-record%2FWOS:000234519700002","View Full Record in Web of Science")</f>
        <v>View Full Record in Web of Science</v>
      </c>
    </row>
    <row r="42" ht="12.75" customHeight="1">
      <c r="A42" s="12" t="s">
        <v>23</v>
      </c>
      <c r="B42" s="12" t="s">
        <v>32</v>
      </c>
      <c r="C42" s="12" t="s">
        <v>12129</v>
      </c>
      <c r="D42" s="12" t="s">
        <v>12129</v>
      </c>
      <c r="E42" s="12" t="s">
        <v>12129</v>
      </c>
      <c r="F42" s="12" t="s">
        <v>16234</v>
      </c>
      <c r="G42" s="12" t="s">
        <v>12129</v>
      </c>
      <c r="H42" s="12" t="s">
        <v>12129</v>
      </c>
      <c r="I42" s="12" t="s">
        <v>33</v>
      </c>
      <c r="J42" s="12" t="s">
        <v>34</v>
      </c>
      <c r="K42" s="12" t="s">
        <v>12129</v>
      </c>
      <c r="L42" s="12" t="s">
        <v>12129</v>
      </c>
      <c r="M42" s="12" t="s">
        <v>3263</v>
      </c>
      <c r="N42" s="12" t="s">
        <v>35</v>
      </c>
      <c r="O42" s="12" t="s">
        <v>12129</v>
      </c>
      <c r="P42" s="12" t="s">
        <v>12129</v>
      </c>
      <c r="Q42" s="12" t="s">
        <v>12129</v>
      </c>
      <c r="R42" s="12" t="s">
        <v>12129</v>
      </c>
      <c r="S42" s="12" t="s">
        <v>12129</v>
      </c>
      <c r="T42" s="12" t="s">
        <v>12129</v>
      </c>
      <c r="U42" s="12" t="s">
        <v>15566</v>
      </c>
      <c r="V42" s="12" t="s">
        <v>36</v>
      </c>
      <c r="W42" s="12" t="s">
        <v>16235</v>
      </c>
      <c r="X42" s="12" t="s">
        <v>16236</v>
      </c>
      <c r="Y42" s="12" t="s">
        <v>16237</v>
      </c>
      <c r="Z42" s="12" t="s">
        <v>16238</v>
      </c>
      <c r="AA42" s="12" t="s">
        <v>16239</v>
      </c>
      <c r="AB42" s="12" t="s">
        <v>16240</v>
      </c>
      <c r="AC42" s="12" t="s">
        <v>16241</v>
      </c>
      <c r="AD42" s="12" t="s">
        <v>16242</v>
      </c>
      <c r="AE42" s="12" t="s">
        <v>16243</v>
      </c>
      <c r="AF42" s="12" t="s">
        <v>12129</v>
      </c>
      <c r="AG42" s="12">
        <v>50.0</v>
      </c>
      <c r="AH42" s="12">
        <v>506.0</v>
      </c>
      <c r="AI42" s="12">
        <v>553.0</v>
      </c>
      <c r="AJ42" s="12">
        <v>16.0</v>
      </c>
      <c r="AK42" s="12">
        <v>296.0</v>
      </c>
      <c r="AL42" s="12" t="s">
        <v>12631</v>
      </c>
      <c r="AM42" s="12" t="s">
        <v>12632</v>
      </c>
      <c r="AN42" s="12" t="s">
        <v>12633</v>
      </c>
      <c r="AO42" s="12" t="s">
        <v>1689</v>
      </c>
      <c r="AP42" s="12" t="s">
        <v>3248</v>
      </c>
      <c r="AQ42" s="12" t="s">
        <v>12129</v>
      </c>
      <c r="AR42" s="12" t="s">
        <v>12634</v>
      </c>
      <c r="AS42" s="12" t="s">
        <v>12635</v>
      </c>
      <c r="AT42" s="12" t="s">
        <v>15567</v>
      </c>
      <c r="AU42" s="12">
        <v>2018.0</v>
      </c>
      <c r="AV42" s="12">
        <v>115.0</v>
      </c>
      <c r="AW42" s="12">
        <v>10.0</v>
      </c>
      <c r="AX42" s="12" t="s">
        <v>12129</v>
      </c>
      <c r="AY42" s="12" t="s">
        <v>12129</v>
      </c>
      <c r="AZ42" s="12" t="s">
        <v>12129</v>
      </c>
      <c r="BA42" s="12" t="s">
        <v>12129</v>
      </c>
      <c r="BB42" s="12" t="s">
        <v>16244</v>
      </c>
      <c r="BC42" s="12" t="s">
        <v>16245</v>
      </c>
      <c r="BD42" s="12" t="s">
        <v>12129</v>
      </c>
      <c r="BE42" s="12" t="s">
        <v>37</v>
      </c>
      <c r="BF42" s="25" t="str">
        <f>HYPERLINK("http://dx.doi.org/10.1073/pnas.1719429115","http://dx.doi.org/10.1073/pnas.1719429115")</f>
        <v>http://dx.doi.org/10.1073/pnas.1719429115</v>
      </c>
      <c r="BG42" s="12" t="s">
        <v>12129</v>
      </c>
      <c r="BH42" s="12" t="s">
        <v>12129</v>
      </c>
      <c r="BI42" s="12">
        <v>10.0</v>
      </c>
      <c r="BJ42" s="12" t="s">
        <v>39</v>
      </c>
      <c r="BK42" s="12" t="s">
        <v>12729</v>
      </c>
      <c r="BL42" s="12" t="s">
        <v>12202</v>
      </c>
      <c r="BM42" s="12" t="s">
        <v>16246</v>
      </c>
      <c r="BN42" s="12">
        <v>2.9432147E7</v>
      </c>
      <c r="BO42" s="12" t="s">
        <v>12378</v>
      </c>
      <c r="BP42" s="12" t="s">
        <v>12129</v>
      </c>
      <c r="BQ42" s="12" t="s">
        <v>12129</v>
      </c>
      <c r="BR42" s="12" t="s">
        <v>15851</v>
      </c>
      <c r="BS42" s="12" t="s">
        <v>40</v>
      </c>
      <c r="BT42" s="12" t="str">
        <f>HYPERLINK("https%3A%2F%2Fwww.webofscience.com%2Fwos%2Fwoscc%2Ffull-record%2FWOS:000426671900017","View Full Record in Web of Science")</f>
        <v>View Full Record in Web of Science</v>
      </c>
    </row>
    <row r="43" ht="12.75" customHeight="1">
      <c r="A43" s="12" t="s">
        <v>23</v>
      </c>
      <c r="B43" s="12" t="s">
        <v>92</v>
      </c>
      <c r="C43" s="12" t="s">
        <v>12129</v>
      </c>
      <c r="D43" s="12" t="s">
        <v>12129</v>
      </c>
      <c r="E43" s="12" t="s">
        <v>12129</v>
      </c>
      <c r="F43" s="12" t="s">
        <v>16247</v>
      </c>
      <c r="G43" s="12" t="s">
        <v>12129</v>
      </c>
      <c r="H43" s="12" t="s">
        <v>12129</v>
      </c>
      <c r="I43" s="12" t="s">
        <v>93</v>
      </c>
      <c r="J43" s="12" t="s">
        <v>44</v>
      </c>
      <c r="K43" s="12" t="s">
        <v>12129</v>
      </c>
      <c r="L43" s="12" t="s">
        <v>12129</v>
      </c>
      <c r="M43" s="12" t="s">
        <v>3263</v>
      </c>
      <c r="N43" s="12" t="s">
        <v>35</v>
      </c>
      <c r="O43" s="12" t="s">
        <v>12129</v>
      </c>
      <c r="P43" s="12" t="s">
        <v>12129</v>
      </c>
      <c r="Q43" s="12" t="s">
        <v>12129</v>
      </c>
      <c r="R43" s="12" t="s">
        <v>12129</v>
      </c>
      <c r="S43" s="12" t="s">
        <v>12129</v>
      </c>
      <c r="T43" s="12" t="s">
        <v>12129</v>
      </c>
      <c r="U43" s="12" t="s">
        <v>15458</v>
      </c>
      <c r="V43" s="12" t="s">
        <v>94</v>
      </c>
      <c r="W43" s="12" t="s">
        <v>16248</v>
      </c>
      <c r="X43" s="12" t="s">
        <v>16249</v>
      </c>
      <c r="Y43" s="12" t="s">
        <v>16250</v>
      </c>
      <c r="Z43" s="12" t="s">
        <v>16251</v>
      </c>
      <c r="AA43" s="12" t="s">
        <v>16252</v>
      </c>
      <c r="AB43" s="12" t="s">
        <v>16253</v>
      </c>
      <c r="AC43" s="12" t="s">
        <v>16254</v>
      </c>
      <c r="AD43" s="12" t="s">
        <v>16255</v>
      </c>
      <c r="AE43" s="12" t="s">
        <v>16256</v>
      </c>
      <c r="AF43" s="12" t="s">
        <v>12129</v>
      </c>
      <c r="AG43" s="12">
        <v>56.0</v>
      </c>
      <c r="AH43" s="12">
        <v>292.0</v>
      </c>
      <c r="AI43" s="12">
        <v>306.0</v>
      </c>
      <c r="AJ43" s="12">
        <v>4.0</v>
      </c>
      <c r="AK43" s="12">
        <v>64.0</v>
      </c>
      <c r="AL43" s="12" t="s">
        <v>15454</v>
      </c>
      <c r="AM43" s="12" t="s">
        <v>15455</v>
      </c>
      <c r="AN43" s="12" t="s">
        <v>15846</v>
      </c>
      <c r="AO43" s="12" t="s">
        <v>6932</v>
      </c>
      <c r="AP43" s="12" t="s">
        <v>15847</v>
      </c>
      <c r="AQ43" s="12" t="s">
        <v>12129</v>
      </c>
      <c r="AR43" s="12" t="s">
        <v>15456</v>
      </c>
      <c r="AS43" s="12" t="s">
        <v>15457</v>
      </c>
      <c r="AT43" s="12" t="s">
        <v>12352</v>
      </c>
      <c r="AU43" s="12">
        <v>2017.0</v>
      </c>
      <c r="AV43" s="12">
        <v>98.0</v>
      </c>
      <c r="AW43" s="12">
        <v>7.0</v>
      </c>
      <c r="AX43" s="12" t="s">
        <v>12129</v>
      </c>
      <c r="AY43" s="12" t="s">
        <v>12129</v>
      </c>
      <c r="AZ43" s="12" t="s">
        <v>12129</v>
      </c>
      <c r="BA43" s="12" t="s">
        <v>12129</v>
      </c>
      <c r="BB43" s="12">
        <v>1363.0</v>
      </c>
      <c r="BC43" s="12">
        <v>1382.0</v>
      </c>
      <c r="BD43" s="12" t="s">
        <v>12129</v>
      </c>
      <c r="BE43" s="12" t="s">
        <v>95</v>
      </c>
      <c r="BF43" s="25" t="str">
        <f>HYPERLINK("http://dx.doi.org/10.1175/BAMS-D-16-0009.1","http://dx.doi.org/10.1175/BAMS-D-16-0009.1")</f>
        <v>http://dx.doi.org/10.1175/BAMS-D-16-0009.1</v>
      </c>
      <c r="BG43" s="12" t="s">
        <v>12129</v>
      </c>
      <c r="BH43" s="12" t="s">
        <v>12129</v>
      </c>
      <c r="BI43" s="12">
        <v>20.0</v>
      </c>
      <c r="BJ43" s="12" t="s">
        <v>47</v>
      </c>
      <c r="BK43" s="12" t="s">
        <v>12176</v>
      </c>
      <c r="BL43" s="12" t="s">
        <v>47</v>
      </c>
      <c r="BM43" s="12" t="s">
        <v>16257</v>
      </c>
      <c r="BN43" s="12" t="s">
        <v>12129</v>
      </c>
      <c r="BO43" s="12" t="s">
        <v>12399</v>
      </c>
      <c r="BP43" s="12" t="s">
        <v>12129</v>
      </c>
      <c r="BQ43" s="12" t="s">
        <v>12129</v>
      </c>
      <c r="BR43" s="12" t="s">
        <v>15851</v>
      </c>
      <c r="BS43" s="12" t="s">
        <v>97</v>
      </c>
      <c r="BT43" s="12" t="str">
        <f>HYPERLINK("https%3A%2F%2Fwww.webofscience.com%2Fwos%2Fwoscc%2Ffull-record%2FWOS:000406502800006","View Full Record in Web of Science")</f>
        <v>View Full Record in Web of Science</v>
      </c>
    </row>
    <row r="44" ht="12.75" customHeight="1">
      <c r="A44" s="12" t="s">
        <v>23</v>
      </c>
      <c r="B44" s="12" t="s">
        <v>155</v>
      </c>
      <c r="C44" s="12" t="s">
        <v>12129</v>
      </c>
      <c r="D44" s="12" t="s">
        <v>12129</v>
      </c>
      <c r="E44" s="12" t="s">
        <v>12129</v>
      </c>
      <c r="F44" s="12" t="s">
        <v>2478</v>
      </c>
      <c r="G44" s="12" t="s">
        <v>12129</v>
      </c>
      <c r="H44" s="12" t="s">
        <v>12129</v>
      </c>
      <c r="I44" s="12" t="s">
        <v>156</v>
      </c>
      <c r="J44" s="12" t="s">
        <v>157</v>
      </c>
      <c r="K44" s="12" t="s">
        <v>12129</v>
      </c>
      <c r="L44" s="12" t="s">
        <v>12129</v>
      </c>
      <c r="M44" s="12" t="s">
        <v>3263</v>
      </c>
      <c r="N44" s="12" t="s">
        <v>35</v>
      </c>
      <c r="O44" s="12" t="s">
        <v>12129</v>
      </c>
      <c r="P44" s="12" t="s">
        <v>12129</v>
      </c>
      <c r="Q44" s="12" t="s">
        <v>12129</v>
      </c>
      <c r="R44" s="12" t="s">
        <v>12129</v>
      </c>
      <c r="S44" s="12" t="s">
        <v>12129</v>
      </c>
      <c r="T44" s="12" t="s">
        <v>12129</v>
      </c>
      <c r="U44" s="12" t="s">
        <v>15608</v>
      </c>
      <c r="V44" s="12" t="s">
        <v>158</v>
      </c>
      <c r="W44" s="12" t="s">
        <v>16258</v>
      </c>
      <c r="X44" s="12" t="s">
        <v>16259</v>
      </c>
      <c r="Y44" s="12" t="s">
        <v>16260</v>
      </c>
      <c r="Z44" s="12" t="s">
        <v>16261</v>
      </c>
      <c r="AA44" s="12" t="s">
        <v>16262</v>
      </c>
      <c r="AB44" s="12" t="s">
        <v>16263</v>
      </c>
      <c r="AC44" s="12" t="s">
        <v>16264</v>
      </c>
      <c r="AD44" s="12" t="s">
        <v>16265</v>
      </c>
      <c r="AE44" s="12" t="s">
        <v>16266</v>
      </c>
      <c r="AF44" s="12" t="s">
        <v>12129</v>
      </c>
      <c r="AG44" s="12">
        <v>75.0</v>
      </c>
      <c r="AH44" s="12">
        <v>404.0</v>
      </c>
      <c r="AI44" s="12">
        <v>471.0</v>
      </c>
      <c r="AJ44" s="12">
        <v>1.0</v>
      </c>
      <c r="AK44" s="12">
        <v>450.0</v>
      </c>
      <c r="AL44" s="12" t="s">
        <v>12723</v>
      </c>
      <c r="AM44" s="12" t="s">
        <v>12724</v>
      </c>
      <c r="AN44" s="12" t="s">
        <v>12725</v>
      </c>
      <c r="AO44" s="12" t="s">
        <v>2481</v>
      </c>
      <c r="AP44" s="12" t="s">
        <v>12129</v>
      </c>
      <c r="AQ44" s="12" t="s">
        <v>12129</v>
      </c>
      <c r="AR44" s="12" t="s">
        <v>15609</v>
      </c>
      <c r="AS44" s="12" t="s">
        <v>15610</v>
      </c>
      <c r="AT44" s="12" t="s">
        <v>15611</v>
      </c>
      <c r="AU44" s="12">
        <v>2016.0</v>
      </c>
      <c r="AV44" s="12">
        <v>6.0</v>
      </c>
      <c r="AW44" s="12" t="s">
        <v>12129</v>
      </c>
      <c r="AX44" s="12" t="s">
        <v>12129</v>
      </c>
      <c r="AY44" s="12" t="s">
        <v>12129</v>
      </c>
      <c r="AZ44" s="12" t="s">
        <v>12129</v>
      </c>
      <c r="BA44" s="12" t="s">
        <v>12129</v>
      </c>
      <c r="BB44" s="12" t="s">
        <v>12129</v>
      </c>
      <c r="BC44" s="12" t="s">
        <v>12129</v>
      </c>
      <c r="BD44" s="12">
        <v>38402.0</v>
      </c>
      <c r="BE44" s="12" t="s">
        <v>159</v>
      </c>
      <c r="BF44" s="25" t="str">
        <f>HYPERLINK("http://dx.doi.org/10.1038/srep38402","http://dx.doi.org/10.1038/srep38402")</f>
        <v>http://dx.doi.org/10.1038/srep38402</v>
      </c>
      <c r="BG44" s="12" t="s">
        <v>12129</v>
      </c>
      <c r="BH44" s="12" t="s">
        <v>12129</v>
      </c>
      <c r="BI44" s="12">
        <v>14.0</v>
      </c>
      <c r="BJ44" s="12" t="s">
        <v>39</v>
      </c>
      <c r="BK44" s="12" t="s">
        <v>12176</v>
      </c>
      <c r="BL44" s="12" t="s">
        <v>12202</v>
      </c>
      <c r="BM44" s="12" t="s">
        <v>16267</v>
      </c>
      <c r="BN44" s="12">
        <v>2.792208E7</v>
      </c>
      <c r="BO44" s="12" t="s">
        <v>12179</v>
      </c>
      <c r="BP44" s="12" t="s">
        <v>12129</v>
      </c>
      <c r="BQ44" s="12" t="s">
        <v>12129</v>
      </c>
      <c r="BR44" s="12" t="s">
        <v>15851</v>
      </c>
      <c r="BS44" s="12" t="s">
        <v>161</v>
      </c>
      <c r="BT44" s="12" t="str">
        <f>HYPERLINK("https%3A%2F%2Fwww.webofscience.com%2Fwos%2Fwoscc%2Ffull-record%2FWOS:000389239400001","View Full Record in Web of Science")</f>
        <v>View Full Record in Web of Science</v>
      </c>
    </row>
    <row r="45" ht="12.75" customHeight="1">
      <c r="A45" s="12" t="s">
        <v>23</v>
      </c>
      <c r="B45" s="12" t="s">
        <v>290</v>
      </c>
      <c r="C45" s="12" t="s">
        <v>12129</v>
      </c>
      <c r="D45" s="12" t="s">
        <v>12129</v>
      </c>
      <c r="E45" s="12" t="s">
        <v>12129</v>
      </c>
      <c r="F45" s="12" t="s">
        <v>5145</v>
      </c>
      <c r="G45" s="12" t="s">
        <v>12129</v>
      </c>
      <c r="H45" s="12" t="s">
        <v>12129</v>
      </c>
      <c r="I45" s="12" t="s">
        <v>291</v>
      </c>
      <c r="J45" s="12" t="s">
        <v>292</v>
      </c>
      <c r="K45" s="12" t="s">
        <v>12129</v>
      </c>
      <c r="L45" s="12" t="s">
        <v>12129</v>
      </c>
      <c r="M45" s="12" t="s">
        <v>3263</v>
      </c>
      <c r="N45" s="12" t="s">
        <v>266</v>
      </c>
      <c r="O45" s="12" t="s">
        <v>16268</v>
      </c>
      <c r="P45" s="12" t="s">
        <v>16269</v>
      </c>
      <c r="Q45" s="12" t="s">
        <v>16270</v>
      </c>
      <c r="R45" s="12" t="s">
        <v>12129</v>
      </c>
      <c r="S45" s="12" t="s">
        <v>12129</v>
      </c>
      <c r="T45" s="12" t="s">
        <v>15717</v>
      </c>
      <c r="U45" s="12" t="s">
        <v>15718</v>
      </c>
      <c r="V45" s="12" t="s">
        <v>293</v>
      </c>
      <c r="W45" s="12" t="s">
        <v>16271</v>
      </c>
      <c r="X45" s="12" t="s">
        <v>16272</v>
      </c>
      <c r="Y45" s="12" t="s">
        <v>16273</v>
      </c>
      <c r="Z45" s="12" t="s">
        <v>16274</v>
      </c>
      <c r="AA45" s="12" t="s">
        <v>16275</v>
      </c>
      <c r="AB45" s="12" t="s">
        <v>16276</v>
      </c>
      <c r="AC45" s="12" t="s">
        <v>16277</v>
      </c>
      <c r="AD45" s="12" t="s">
        <v>16278</v>
      </c>
      <c r="AE45" s="12" t="s">
        <v>16279</v>
      </c>
      <c r="AF45" s="12" t="s">
        <v>12129</v>
      </c>
      <c r="AG45" s="12">
        <v>47.0</v>
      </c>
      <c r="AH45" s="12">
        <v>268.0</v>
      </c>
      <c r="AI45" s="12">
        <v>306.0</v>
      </c>
      <c r="AJ45" s="12">
        <v>7.0</v>
      </c>
      <c r="AK45" s="12">
        <v>215.0</v>
      </c>
      <c r="AL45" s="12" t="s">
        <v>12321</v>
      </c>
      <c r="AM45" s="12" t="s">
        <v>12295</v>
      </c>
      <c r="AN45" s="12" t="s">
        <v>12454</v>
      </c>
      <c r="AO45" s="12" t="s">
        <v>16280</v>
      </c>
      <c r="AP45" s="12" t="s">
        <v>16281</v>
      </c>
      <c r="AQ45" s="12" t="s">
        <v>12129</v>
      </c>
      <c r="AR45" s="12" t="s">
        <v>15719</v>
      </c>
      <c r="AS45" s="12" t="s">
        <v>15720</v>
      </c>
      <c r="AT45" s="12" t="s">
        <v>13517</v>
      </c>
      <c r="AU45" s="12">
        <v>2015.0</v>
      </c>
      <c r="AV45" s="12">
        <v>115.0</v>
      </c>
      <c r="AW45" s="12" t="s">
        <v>12129</v>
      </c>
      <c r="AX45" s="12" t="s">
        <v>12129</v>
      </c>
      <c r="AY45" s="12" t="s">
        <v>12129</v>
      </c>
      <c r="AZ45" s="12" t="s">
        <v>12129</v>
      </c>
      <c r="BA45" s="12" t="s">
        <v>12129</v>
      </c>
      <c r="BB45" s="12">
        <v>17.0</v>
      </c>
      <c r="BC45" s="12">
        <v>24.0</v>
      </c>
      <c r="BD45" s="12" t="s">
        <v>12129</v>
      </c>
      <c r="BE45" s="12" t="s">
        <v>294</v>
      </c>
      <c r="BF45" s="25" t="str">
        <f>HYPERLINK("http://dx.doi.org/10.1016/j.ocecoaman.2015.05.021","http://dx.doi.org/10.1016/j.ocecoaman.2015.05.021")</f>
        <v>http://dx.doi.org/10.1016/j.ocecoaman.2015.05.021</v>
      </c>
      <c r="BG45" s="12" t="s">
        <v>12129</v>
      </c>
      <c r="BH45" s="12" t="s">
        <v>12129</v>
      </c>
      <c r="BI45" s="12">
        <v>8.0</v>
      </c>
      <c r="BJ45" s="12" t="s">
        <v>296</v>
      </c>
      <c r="BK45" s="12" t="s">
        <v>14627</v>
      </c>
      <c r="BL45" s="12" t="s">
        <v>296</v>
      </c>
      <c r="BM45" s="12" t="s">
        <v>16282</v>
      </c>
      <c r="BN45" s="12" t="s">
        <v>12129</v>
      </c>
      <c r="BO45" s="12" t="s">
        <v>12808</v>
      </c>
      <c r="BP45" s="12" t="s">
        <v>12129</v>
      </c>
      <c r="BQ45" s="12" t="s">
        <v>12129</v>
      </c>
      <c r="BR45" s="12" t="s">
        <v>15851</v>
      </c>
      <c r="BS45" s="12" t="s">
        <v>297</v>
      </c>
      <c r="BT45" s="12" t="str">
        <f>HYPERLINK("https%3A%2F%2Fwww.webofscience.com%2Fwos%2Fwoscc%2Ffull-record%2FWOS:000364252300004","View Full Record in Web of Science")</f>
        <v>View Full Record in Web of Science</v>
      </c>
    </row>
    <row r="46" ht="12.75" customHeight="1">
      <c r="A46" s="12" t="s">
        <v>23</v>
      </c>
      <c r="B46" s="12" t="s">
        <v>786</v>
      </c>
      <c r="C46" s="12" t="s">
        <v>12129</v>
      </c>
      <c r="D46" s="12" t="s">
        <v>12129</v>
      </c>
      <c r="E46" s="12" t="s">
        <v>12129</v>
      </c>
      <c r="F46" s="12" t="s">
        <v>16283</v>
      </c>
      <c r="G46" s="12" t="s">
        <v>12129</v>
      </c>
      <c r="H46" s="12" t="s">
        <v>12129</v>
      </c>
      <c r="I46" s="12" t="s">
        <v>787</v>
      </c>
      <c r="J46" s="12" t="s">
        <v>362</v>
      </c>
      <c r="K46" s="12" t="s">
        <v>12129</v>
      </c>
      <c r="L46" s="12" t="s">
        <v>12129</v>
      </c>
      <c r="M46" s="12" t="s">
        <v>3263</v>
      </c>
      <c r="N46" s="12" t="s">
        <v>35</v>
      </c>
      <c r="O46" s="12" t="s">
        <v>12129</v>
      </c>
      <c r="P46" s="12" t="s">
        <v>12129</v>
      </c>
      <c r="Q46" s="12" t="s">
        <v>12129</v>
      </c>
      <c r="R46" s="12" t="s">
        <v>12129</v>
      </c>
      <c r="S46" s="12" t="s">
        <v>12129</v>
      </c>
      <c r="T46" s="12" t="s">
        <v>12129</v>
      </c>
      <c r="U46" s="12" t="s">
        <v>15445</v>
      </c>
      <c r="V46" s="12" t="s">
        <v>788</v>
      </c>
      <c r="W46" s="12" t="s">
        <v>16284</v>
      </c>
      <c r="X46" s="12" t="s">
        <v>16285</v>
      </c>
      <c r="Y46" s="12" t="s">
        <v>16286</v>
      </c>
      <c r="Z46" s="12" t="s">
        <v>16287</v>
      </c>
      <c r="AA46" s="12" t="s">
        <v>16288</v>
      </c>
      <c r="AB46" s="12" t="s">
        <v>16289</v>
      </c>
      <c r="AC46" s="12" t="s">
        <v>16290</v>
      </c>
      <c r="AD46" s="12" t="s">
        <v>16291</v>
      </c>
      <c r="AE46" s="12" t="s">
        <v>16292</v>
      </c>
      <c r="AF46" s="12" t="s">
        <v>12129</v>
      </c>
      <c r="AG46" s="12">
        <v>118.0</v>
      </c>
      <c r="AH46" s="12">
        <v>202.0</v>
      </c>
      <c r="AI46" s="12">
        <v>259.0</v>
      </c>
      <c r="AJ46" s="12">
        <v>5.0</v>
      </c>
      <c r="AK46" s="12">
        <v>238.0</v>
      </c>
      <c r="AL46" s="12" t="s">
        <v>12195</v>
      </c>
      <c r="AM46" s="12" t="s">
        <v>12196</v>
      </c>
      <c r="AN46" s="12" t="s">
        <v>12197</v>
      </c>
      <c r="AO46" s="12" t="s">
        <v>1877</v>
      </c>
      <c r="AP46" s="12" t="s">
        <v>12129</v>
      </c>
      <c r="AQ46" s="12" t="s">
        <v>12129</v>
      </c>
      <c r="AR46" s="12" t="s">
        <v>362</v>
      </c>
      <c r="AS46" s="12" t="s">
        <v>12198</v>
      </c>
      <c r="AT46" s="12" t="s">
        <v>14309</v>
      </c>
      <c r="AU46" s="12">
        <v>2010.0</v>
      </c>
      <c r="AV46" s="12">
        <v>5.0</v>
      </c>
      <c r="AW46" s="12">
        <v>12.0</v>
      </c>
      <c r="AX46" s="12" t="s">
        <v>12129</v>
      </c>
      <c r="AY46" s="12" t="s">
        <v>12129</v>
      </c>
      <c r="AZ46" s="12" t="s">
        <v>12129</v>
      </c>
      <c r="BA46" s="12" t="s">
        <v>12129</v>
      </c>
      <c r="BB46" s="12" t="s">
        <v>12129</v>
      </c>
      <c r="BC46" s="12" t="s">
        <v>12129</v>
      </c>
      <c r="BD46" s="12" t="s">
        <v>16293</v>
      </c>
      <c r="BE46" s="12" t="s">
        <v>789</v>
      </c>
      <c r="BF46" s="25" t="str">
        <f>HYPERLINK("http://dx.doi.org/10.1371/journal.pone.0014327","http://dx.doi.org/10.1371/journal.pone.0014327")</f>
        <v>http://dx.doi.org/10.1371/journal.pone.0014327</v>
      </c>
      <c r="BG46" s="12" t="s">
        <v>12129</v>
      </c>
      <c r="BH46" s="12" t="s">
        <v>12129</v>
      </c>
      <c r="BI46" s="12">
        <v>22.0</v>
      </c>
      <c r="BJ46" s="12" t="s">
        <v>39</v>
      </c>
      <c r="BK46" s="12" t="s">
        <v>12729</v>
      </c>
      <c r="BL46" s="12" t="s">
        <v>12202</v>
      </c>
      <c r="BM46" s="12" t="s">
        <v>16294</v>
      </c>
      <c r="BN46" s="12">
        <v>2.1179509E7</v>
      </c>
      <c r="BO46" s="12" t="s">
        <v>12179</v>
      </c>
      <c r="BP46" s="12" t="s">
        <v>12129</v>
      </c>
      <c r="BQ46" s="12" t="s">
        <v>12129</v>
      </c>
      <c r="BR46" s="12" t="s">
        <v>15851</v>
      </c>
      <c r="BS46" s="12" t="s">
        <v>791</v>
      </c>
      <c r="BT46" s="12" t="str">
        <f>HYPERLINK("https%3A%2F%2Fwww.webofscience.com%2Fwos%2Fwoscc%2Ffull-record%2FWOS:000285340000006","View Full Record in Web of Science")</f>
        <v>View Full Record in Web of Science</v>
      </c>
    </row>
    <row r="47" ht="12.75" customHeight="1">
      <c r="A47" s="12" t="s">
        <v>23</v>
      </c>
      <c r="B47" s="12" t="s">
        <v>817</v>
      </c>
      <c r="C47" s="12" t="s">
        <v>12129</v>
      </c>
      <c r="D47" s="12" t="s">
        <v>12129</v>
      </c>
      <c r="E47" s="12" t="s">
        <v>12129</v>
      </c>
      <c r="F47" s="12" t="s">
        <v>2891</v>
      </c>
      <c r="G47" s="12" t="s">
        <v>12129</v>
      </c>
      <c r="H47" s="12" t="s">
        <v>12129</v>
      </c>
      <c r="I47" s="12" t="s">
        <v>818</v>
      </c>
      <c r="J47" s="12" t="s">
        <v>34</v>
      </c>
      <c r="K47" s="12" t="s">
        <v>12129</v>
      </c>
      <c r="L47" s="12" t="s">
        <v>12129</v>
      </c>
      <c r="M47" s="12" t="s">
        <v>3263</v>
      </c>
      <c r="N47" s="12" t="s">
        <v>35</v>
      </c>
      <c r="O47" s="12" t="s">
        <v>12129</v>
      </c>
      <c r="P47" s="12" t="s">
        <v>12129</v>
      </c>
      <c r="Q47" s="12" t="s">
        <v>12129</v>
      </c>
      <c r="R47" s="12" t="s">
        <v>12129</v>
      </c>
      <c r="S47" s="12" t="s">
        <v>12129</v>
      </c>
      <c r="T47" s="12" t="s">
        <v>15599</v>
      </c>
      <c r="U47" s="12" t="s">
        <v>15600</v>
      </c>
      <c r="V47" s="12" t="s">
        <v>819</v>
      </c>
      <c r="W47" s="12" t="s">
        <v>16295</v>
      </c>
      <c r="X47" s="12" t="s">
        <v>16296</v>
      </c>
      <c r="Y47" s="12" t="s">
        <v>16297</v>
      </c>
      <c r="Z47" s="12" t="s">
        <v>16298</v>
      </c>
      <c r="AA47" s="12" t="s">
        <v>16299</v>
      </c>
      <c r="AB47" s="12" t="s">
        <v>16300</v>
      </c>
      <c r="AC47" s="12" t="s">
        <v>16301</v>
      </c>
      <c r="AD47" s="12" t="s">
        <v>16302</v>
      </c>
      <c r="AE47" s="12" t="s">
        <v>16303</v>
      </c>
      <c r="AF47" s="12" t="s">
        <v>12129</v>
      </c>
      <c r="AG47" s="12">
        <v>50.0</v>
      </c>
      <c r="AH47" s="12">
        <v>1274.0</v>
      </c>
      <c r="AI47" s="12">
        <v>1515.0</v>
      </c>
      <c r="AJ47" s="12">
        <v>12.0</v>
      </c>
      <c r="AK47" s="12">
        <v>381.0</v>
      </c>
      <c r="AL47" s="12" t="s">
        <v>12631</v>
      </c>
      <c r="AM47" s="12" t="s">
        <v>12632</v>
      </c>
      <c r="AN47" s="12" t="s">
        <v>12633</v>
      </c>
      <c r="AO47" s="12" t="s">
        <v>1689</v>
      </c>
      <c r="AP47" s="12" t="s">
        <v>12129</v>
      </c>
      <c r="AQ47" s="12" t="s">
        <v>12129</v>
      </c>
      <c r="AR47" s="12" t="s">
        <v>12634</v>
      </c>
      <c r="AS47" s="12" t="s">
        <v>12635</v>
      </c>
      <c r="AT47" s="12" t="s">
        <v>15601</v>
      </c>
      <c r="AU47" s="12">
        <v>2010.0</v>
      </c>
      <c r="AV47" s="12">
        <v>107.0</v>
      </c>
      <c r="AW47" s="12">
        <v>38.0</v>
      </c>
      <c r="AX47" s="12" t="s">
        <v>12129</v>
      </c>
      <c r="AY47" s="12" t="s">
        <v>12129</v>
      </c>
      <c r="AZ47" s="12" t="s">
        <v>12129</v>
      </c>
      <c r="BA47" s="12" t="s">
        <v>12129</v>
      </c>
      <c r="BB47" s="12">
        <v>16732.0</v>
      </c>
      <c r="BC47" s="12">
        <v>16737.0</v>
      </c>
      <c r="BD47" s="12" t="s">
        <v>12129</v>
      </c>
      <c r="BE47" s="12" t="s">
        <v>820</v>
      </c>
      <c r="BF47" s="25" t="str">
        <f>HYPERLINK("http://dx.doi.org/10.1073/pnas.0910275107","http://dx.doi.org/10.1073/pnas.0910275107")</f>
        <v>http://dx.doi.org/10.1073/pnas.0910275107</v>
      </c>
      <c r="BG47" s="12" t="s">
        <v>12129</v>
      </c>
      <c r="BH47" s="12" t="s">
        <v>12129</v>
      </c>
      <c r="BI47" s="12">
        <v>6.0</v>
      </c>
      <c r="BJ47" s="12" t="s">
        <v>39</v>
      </c>
      <c r="BK47" s="12" t="s">
        <v>12176</v>
      </c>
      <c r="BL47" s="12" t="s">
        <v>12202</v>
      </c>
      <c r="BM47" s="12" t="s">
        <v>16304</v>
      </c>
      <c r="BN47" s="12">
        <v>2.080775E7</v>
      </c>
      <c r="BO47" s="12" t="s">
        <v>12378</v>
      </c>
      <c r="BP47" s="12" t="s">
        <v>12129</v>
      </c>
      <c r="BQ47" s="12" t="s">
        <v>12129</v>
      </c>
      <c r="BR47" s="12" t="s">
        <v>15851</v>
      </c>
      <c r="BS47" s="12" t="s">
        <v>822</v>
      </c>
      <c r="BT47" s="12" t="str">
        <f>HYPERLINK("https%3A%2F%2Fwww.webofscience.com%2Fwos%2Fwoscc%2Ffull-record%2FWOS:000282003700063","View Full Record in Web of Science")</f>
        <v>View Full Record in Web of Science</v>
      </c>
    </row>
    <row r="48" ht="12.75" customHeight="1">
      <c r="A48" s="12" t="s">
        <v>23</v>
      </c>
      <c r="B48" s="12" t="s">
        <v>960</v>
      </c>
      <c r="C48" s="12" t="s">
        <v>12129</v>
      </c>
      <c r="D48" s="12" t="s">
        <v>12129</v>
      </c>
      <c r="E48" s="12" t="s">
        <v>12129</v>
      </c>
      <c r="F48" s="12" t="s">
        <v>16305</v>
      </c>
      <c r="G48" s="12" t="s">
        <v>12129</v>
      </c>
      <c r="H48" s="12" t="s">
        <v>12129</v>
      </c>
      <c r="I48" s="12" t="s">
        <v>961</v>
      </c>
      <c r="J48" s="12" t="s">
        <v>324</v>
      </c>
      <c r="K48" s="12" t="s">
        <v>12129</v>
      </c>
      <c r="L48" s="12" t="s">
        <v>12129</v>
      </c>
      <c r="M48" s="12" t="s">
        <v>3263</v>
      </c>
      <c r="N48" s="12" t="s">
        <v>35</v>
      </c>
      <c r="O48" s="12" t="s">
        <v>12129</v>
      </c>
      <c r="P48" s="12" t="s">
        <v>12129</v>
      </c>
      <c r="Q48" s="12" t="s">
        <v>12129</v>
      </c>
      <c r="R48" s="12" t="s">
        <v>12129</v>
      </c>
      <c r="S48" s="12" t="s">
        <v>12129</v>
      </c>
      <c r="T48" s="12" t="s">
        <v>12129</v>
      </c>
      <c r="U48" s="12" t="s">
        <v>15502</v>
      </c>
      <c r="V48" s="12" t="s">
        <v>962</v>
      </c>
      <c r="W48" s="12" t="s">
        <v>16306</v>
      </c>
      <c r="X48" s="12" t="s">
        <v>16307</v>
      </c>
      <c r="Y48" s="12" t="s">
        <v>16308</v>
      </c>
      <c r="Z48" s="12" t="s">
        <v>16309</v>
      </c>
      <c r="AA48" s="12" t="s">
        <v>16310</v>
      </c>
      <c r="AB48" s="12" t="s">
        <v>16311</v>
      </c>
      <c r="AC48" s="12" t="s">
        <v>16312</v>
      </c>
      <c r="AD48" s="12" t="s">
        <v>16313</v>
      </c>
      <c r="AE48" s="12" t="s">
        <v>16314</v>
      </c>
      <c r="AF48" s="12" t="s">
        <v>12129</v>
      </c>
      <c r="AG48" s="12">
        <v>41.0</v>
      </c>
      <c r="AH48" s="12">
        <v>1716.0</v>
      </c>
      <c r="AI48" s="12">
        <v>1989.0</v>
      </c>
      <c r="AJ48" s="12">
        <v>10.0</v>
      </c>
      <c r="AK48" s="12">
        <v>1399.0</v>
      </c>
      <c r="AL48" s="12" t="s">
        <v>15485</v>
      </c>
      <c r="AM48" s="12" t="s">
        <v>12632</v>
      </c>
      <c r="AN48" s="12" t="s">
        <v>15872</v>
      </c>
      <c r="AO48" s="12" t="s">
        <v>1511</v>
      </c>
      <c r="AP48" s="12" t="s">
        <v>1917</v>
      </c>
      <c r="AQ48" s="12" t="s">
        <v>12129</v>
      </c>
      <c r="AR48" s="12" t="s">
        <v>324</v>
      </c>
      <c r="AS48" s="12" t="s">
        <v>1510</v>
      </c>
      <c r="AT48" s="12" t="s">
        <v>15503</v>
      </c>
      <c r="AU48" s="12">
        <v>2009.0</v>
      </c>
      <c r="AV48" s="12">
        <v>325.0</v>
      </c>
      <c r="AW48" s="12">
        <v>5940.0</v>
      </c>
      <c r="AX48" s="12" t="s">
        <v>12129</v>
      </c>
      <c r="AY48" s="12" t="s">
        <v>12129</v>
      </c>
      <c r="AZ48" s="12" t="s">
        <v>12129</v>
      </c>
      <c r="BA48" s="12" t="s">
        <v>12129</v>
      </c>
      <c r="BB48" s="12">
        <v>578.0</v>
      </c>
      <c r="BC48" s="12">
        <v>585.0</v>
      </c>
      <c r="BD48" s="12" t="s">
        <v>12129</v>
      </c>
      <c r="BE48" s="12" t="s">
        <v>963</v>
      </c>
      <c r="BF48" s="25" t="str">
        <f>HYPERLINK("http://dx.doi.org/10.1126/science.1173146","http://dx.doi.org/10.1126/science.1173146")</f>
        <v>http://dx.doi.org/10.1126/science.1173146</v>
      </c>
      <c r="BG48" s="12" t="s">
        <v>12129</v>
      </c>
      <c r="BH48" s="12" t="s">
        <v>12129</v>
      </c>
      <c r="BI48" s="12">
        <v>8.0</v>
      </c>
      <c r="BJ48" s="12" t="s">
        <v>39</v>
      </c>
      <c r="BK48" s="12" t="s">
        <v>12176</v>
      </c>
      <c r="BL48" s="12" t="s">
        <v>12202</v>
      </c>
      <c r="BM48" s="12" t="s">
        <v>16315</v>
      </c>
      <c r="BN48" s="12">
        <v>1.9644114E7</v>
      </c>
      <c r="BO48" s="12" t="s">
        <v>12253</v>
      </c>
      <c r="BP48" s="12" t="s">
        <v>12129</v>
      </c>
      <c r="BQ48" s="12" t="s">
        <v>12129</v>
      </c>
      <c r="BR48" s="12" t="s">
        <v>15851</v>
      </c>
      <c r="BS48" s="12" t="s">
        <v>965</v>
      </c>
      <c r="BT48" s="12" t="str">
        <f>HYPERLINK("https%3A%2F%2Fwww.webofscience.com%2Fwos%2Fwoscc%2Ffull-record%2FWOS:000268493000042","View Full Record in Web of Science")</f>
        <v>View Full Record in Web of Science</v>
      </c>
    </row>
    <row r="49" ht="12.75" customHeight="1">
      <c r="A49" s="12" t="s">
        <v>23</v>
      </c>
      <c r="B49" s="12" t="s">
        <v>99</v>
      </c>
      <c r="C49" s="12" t="s">
        <v>12129</v>
      </c>
      <c r="D49" s="12" t="s">
        <v>12129</v>
      </c>
      <c r="E49" s="12" t="s">
        <v>12129</v>
      </c>
      <c r="F49" s="12" t="s">
        <v>16316</v>
      </c>
      <c r="G49" s="12" t="s">
        <v>12129</v>
      </c>
      <c r="H49" s="12" t="s">
        <v>12129</v>
      </c>
      <c r="I49" s="12" t="s">
        <v>100</v>
      </c>
      <c r="J49" s="12" t="s">
        <v>101</v>
      </c>
      <c r="K49" s="12" t="s">
        <v>12129</v>
      </c>
      <c r="L49" s="12" t="s">
        <v>12129</v>
      </c>
      <c r="M49" s="12" t="s">
        <v>3263</v>
      </c>
      <c r="N49" s="12" t="s">
        <v>35</v>
      </c>
      <c r="O49" s="12" t="s">
        <v>12129</v>
      </c>
      <c r="P49" s="12" t="s">
        <v>12129</v>
      </c>
      <c r="Q49" s="12" t="s">
        <v>12129</v>
      </c>
      <c r="R49" s="12" t="s">
        <v>12129</v>
      </c>
      <c r="S49" s="12" t="s">
        <v>12129</v>
      </c>
      <c r="T49" s="12" t="s">
        <v>12129</v>
      </c>
      <c r="U49" s="12" t="s">
        <v>15629</v>
      </c>
      <c r="V49" s="12" t="s">
        <v>102</v>
      </c>
      <c r="W49" s="12" t="s">
        <v>16317</v>
      </c>
      <c r="X49" s="12" t="s">
        <v>16318</v>
      </c>
      <c r="Y49" s="12" t="s">
        <v>16319</v>
      </c>
      <c r="Z49" s="12" t="s">
        <v>16320</v>
      </c>
      <c r="AA49" s="12" t="s">
        <v>16321</v>
      </c>
      <c r="AB49" s="12" t="s">
        <v>16322</v>
      </c>
      <c r="AC49" s="12" t="s">
        <v>16323</v>
      </c>
      <c r="AD49" s="12" t="s">
        <v>16323</v>
      </c>
      <c r="AE49" s="12" t="s">
        <v>16324</v>
      </c>
      <c r="AF49" s="12" t="s">
        <v>12129</v>
      </c>
      <c r="AG49" s="12">
        <v>44.0</v>
      </c>
      <c r="AH49" s="12">
        <v>2775.0</v>
      </c>
      <c r="AI49" s="12">
        <v>3185.0</v>
      </c>
      <c r="AJ49" s="12">
        <v>88.0</v>
      </c>
      <c r="AK49" s="12">
        <v>1760.0</v>
      </c>
      <c r="AL49" s="12" t="s">
        <v>15615</v>
      </c>
      <c r="AM49" s="12" t="s">
        <v>12170</v>
      </c>
      <c r="AN49" s="12" t="s">
        <v>16017</v>
      </c>
      <c r="AO49" s="12" t="s">
        <v>2151</v>
      </c>
      <c r="AP49" s="12" t="s">
        <v>12129</v>
      </c>
      <c r="AQ49" s="12" t="s">
        <v>12129</v>
      </c>
      <c r="AR49" s="12" t="s">
        <v>12746</v>
      </c>
      <c r="AS49" s="12" t="s">
        <v>12747</v>
      </c>
      <c r="AT49" s="12" t="s">
        <v>14470</v>
      </c>
      <c r="AU49" s="12">
        <v>2017.0</v>
      </c>
      <c r="AV49" s="12">
        <v>8.0</v>
      </c>
      <c r="AW49" s="12" t="s">
        <v>12129</v>
      </c>
      <c r="AX49" s="12" t="s">
        <v>12129</v>
      </c>
      <c r="AY49" s="12" t="s">
        <v>12129</v>
      </c>
      <c r="AZ49" s="12" t="s">
        <v>12129</v>
      </c>
      <c r="BA49" s="12" t="s">
        <v>12129</v>
      </c>
      <c r="BB49" s="12" t="s">
        <v>12129</v>
      </c>
      <c r="BC49" s="12" t="s">
        <v>12129</v>
      </c>
      <c r="BD49" s="12">
        <v>15611.0</v>
      </c>
      <c r="BE49" s="12" t="s">
        <v>103</v>
      </c>
      <c r="BF49" s="25" t="str">
        <f>HYPERLINK("http://dx.doi.org/10.1038/ncomms15611","http://dx.doi.org/10.1038/ncomms15611")</f>
        <v>http://dx.doi.org/10.1038/ncomms15611</v>
      </c>
      <c r="BG49" s="12" t="s">
        <v>12129</v>
      </c>
      <c r="BH49" s="12" t="s">
        <v>12129</v>
      </c>
      <c r="BI49" s="12">
        <v>10.0</v>
      </c>
      <c r="BJ49" s="12" t="s">
        <v>39</v>
      </c>
      <c r="BK49" s="12" t="s">
        <v>12176</v>
      </c>
      <c r="BL49" s="12" t="s">
        <v>12202</v>
      </c>
      <c r="BM49" s="12" t="s">
        <v>16325</v>
      </c>
      <c r="BN49" s="12">
        <v>2.8589961E7</v>
      </c>
      <c r="BO49" s="12" t="s">
        <v>12179</v>
      </c>
      <c r="BP49" s="12" t="s">
        <v>12129</v>
      </c>
      <c r="BQ49" s="12" t="s">
        <v>12129</v>
      </c>
      <c r="BR49" s="12" t="s">
        <v>15851</v>
      </c>
      <c r="BS49" s="12" t="s">
        <v>105</v>
      </c>
      <c r="BT49" s="12" t="str">
        <f>HYPERLINK("https%3A%2F%2Fwww.webofscience.com%2Fwos%2Fwoscc%2Ffull-record%2FWOS:000402803800001","View Full Record in Web of Science")</f>
        <v>View Full Record in Web of Science</v>
      </c>
    </row>
    <row r="50" ht="12.75" customHeight="1">
      <c r="A50" s="12" t="s">
        <v>23</v>
      </c>
      <c r="B50" s="12" t="s">
        <v>114</v>
      </c>
      <c r="C50" s="12" t="s">
        <v>12129</v>
      </c>
      <c r="D50" s="12" t="s">
        <v>12129</v>
      </c>
      <c r="E50" s="12" t="s">
        <v>12129</v>
      </c>
      <c r="F50" s="12" t="s">
        <v>16326</v>
      </c>
      <c r="G50" s="12" t="s">
        <v>12129</v>
      </c>
      <c r="H50" s="12" t="s">
        <v>12129</v>
      </c>
      <c r="I50" s="12" t="s">
        <v>115</v>
      </c>
      <c r="J50" s="12" t="s">
        <v>101</v>
      </c>
      <c r="K50" s="12" t="s">
        <v>12129</v>
      </c>
      <c r="L50" s="12" t="s">
        <v>12129</v>
      </c>
      <c r="M50" s="12" t="s">
        <v>3263</v>
      </c>
      <c r="N50" s="12" t="s">
        <v>35</v>
      </c>
      <c r="O50" s="12" t="s">
        <v>12129</v>
      </c>
      <c r="P50" s="12" t="s">
        <v>12129</v>
      </c>
      <c r="Q50" s="12" t="s">
        <v>12129</v>
      </c>
      <c r="R50" s="12" t="s">
        <v>12129</v>
      </c>
      <c r="S50" s="12" t="s">
        <v>12129</v>
      </c>
      <c r="T50" s="12" t="s">
        <v>12129</v>
      </c>
      <c r="U50" s="12" t="s">
        <v>15630</v>
      </c>
      <c r="V50" s="12" t="s">
        <v>116</v>
      </c>
      <c r="W50" s="12" t="s">
        <v>16327</v>
      </c>
      <c r="X50" s="12" t="s">
        <v>16328</v>
      </c>
      <c r="Y50" s="12" t="s">
        <v>16329</v>
      </c>
      <c r="Z50" s="12" t="s">
        <v>16330</v>
      </c>
      <c r="AA50" s="12" t="s">
        <v>16331</v>
      </c>
      <c r="AB50" s="12" t="s">
        <v>16332</v>
      </c>
      <c r="AC50" s="12" t="s">
        <v>16333</v>
      </c>
      <c r="AD50" s="12" t="s">
        <v>16334</v>
      </c>
      <c r="AE50" s="12" t="s">
        <v>16335</v>
      </c>
      <c r="AF50" s="12" t="s">
        <v>12129</v>
      </c>
      <c r="AG50" s="12">
        <v>44.0</v>
      </c>
      <c r="AH50" s="12">
        <v>1748.0</v>
      </c>
      <c r="AI50" s="12">
        <v>1939.0</v>
      </c>
      <c r="AJ50" s="12">
        <v>26.0</v>
      </c>
      <c r="AK50" s="12">
        <v>265.0</v>
      </c>
      <c r="AL50" s="12" t="s">
        <v>12723</v>
      </c>
      <c r="AM50" s="12" t="s">
        <v>12724</v>
      </c>
      <c r="AN50" s="12" t="s">
        <v>12725</v>
      </c>
      <c r="AO50" s="12" t="s">
        <v>12129</v>
      </c>
      <c r="AP50" s="12" t="s">
        <v>2151</v>
      </c>
      <c r="AQ50" s="12" t="s">
        <v>12129</v>
      </c>
      <c r="AR50" s="12" t="s">
        <v>12746</v>
      </c>
      <c r="AS50" s="12" t="s">
        <v>12747</v>
      </c>
      <c r="AT50" s="12" t="s">
        <v>13918</v>
      </c>
      <c r="AU50" s="12">
        <v>2017.0</v>
      </c>
      <c r="AV50" s="12">
        <v>8.0</v>
      </c>
      <c r="AW50" s="12" t="s">
        <v>12129</v>
      </c>
      <c r="AX50" s="12" t="s">
        <v>12129</v>
      </c>
      <c r="AY50" s="12" t="s">
        <v>12129</v>
      </c>
      <c r="AZ50" s="12" t="s">
        <v>12129</v>
      </c>
      <c r="BA50" s="12" t="s">
        <v>12129</v>
      </c>
      <c r="BB50" s="12" t="s">
        <v>12129</v>
      </c>
      <c r="BC50" s="12" t="s">
        <v>12129</v>
      </c>
      <c r="BD50" s="12">
        <v>14435.0</v>
      </c>
      <c r="BE50" s="12" t="s">
        <v>117</v>
      </c>
      <c r="BF50" s="25" t="str">
        <f>HYPERLINK("http://dx.doi.org/10.1038/ncomms14435","http://dx.doi.org/10.1038/ncomms14435")</f>
        <v>http://dx.doi.org/10.1038/ncomms14435</v>
      </c>
      <c r="BG50" s="12" t="s">
        <v>12129</v>
      </c>
      <c r="BH50" s="12" t="s">
        <v>12129</v>
      </c>
      <c r="BI50" s="12">
        <v>9.0</v>
      </c>
      <c r="BJ50" s="12" t="s">
        <v>39</v>
      </c>
      <c r="BK50" s="12" t="s">
        <v>12176</v>
      </c>
      <c r="BL50" s="12" t="s">
        <v>12202</v>
      </c>
      <c r="BM50" s="12" t="s">
        <v>16336</v>
      </c>
      <c r="BN50" s="12">
        <v>2.819842E7</v>
      </c>
      <c r="BO50" s="12" t="s">
        <v>16337</v>
      </c>
      <c r="BP50" s="12" t="s">
        <v>12129</v>
      </c>
      <c r="BQ50" s="12" t="s">
        <v>12129</v>
      </c>
      <c r="BR50" s="12" t="s">
        <v>15851</v>
      </c>
      <c r="BS50" s="12" t="s">
        <v>119</v>
      </c>
      <c r="BT50" s="12" t="str">
        <f>HYPERLINK("https%3A%2F%2Fwww.webofscience.com%2Fwos%2Fwoscc%2Ffull-record%2FWOS:000394221600001","View Full Record in Web of Science")</f>
        <v>View Full Record in Web of Science</v>
      </c>
    </row>
    <row r="51" ht="12.75" customHeight="1">
      <c r="A51" s="12" t="s">
        <v>23</v>
      </c>
      <c r="B51" s="12" t="s">
        <v>448</v>
      </c>
      <c r="C51" s="12" t="s">
        <v>12129</v>
      </c>
      <c r="D51" s="12" t="s">
        <v>12129</v>
      </c>
      <c r="E51" s="12" t="s">
        <v>12129</v>
      </c>
      <c r="F51" s="12" t="s">
        <v>9667</v>
      </c>
      <c r="G51" s="12" t="s">
        <v>12129</v>
      </c>
      <c r="H51" s="12" t="s">
        <v>12129</v>
      </c>
      <c r="I51" s="12" t="s">
        <v>449</v>
      </c>
      <c r="J51" s="12" t="s">
        <v>362</v>
      </c>
      <c r="K51" s="12" t="s">
        <v>12129</v>
      </c>
      <c r="L51" s="12" t="s">
        <v>12129</v>
      </c>
      <c r="M51" s="12" t="s">
        <v>3263</v>
      </c>
      <c r="N51" s="12" t="s">
        <v>35</v>
      </c>
      <c r="O51" s="12" t="s">
        <v>12129</v>
      </c>
      <c r="P51" s="12" t="s">
        <v>12129</v>
      </c>
      <c r="Q51" s="12" t="s">
        <v>12129</v>
      </c>
      <c r="R51" s="12" t="s">
        <v>12129</v>
      </c>
      <c r="S51" s="12" t="s">
        <v>12129</v>
      </c>
      <c r="T51" s="12" t="s">
        <v>12129</v>
      </c>
      <c r="U51" s="12" t="s">
        <v>15441</v>
      </c>
      <c r="V51" s="12" t="s">
        <v>450</v>
      </c>
      <c r="W51" s="12" t="s">
        <v>16338</v>
      </c>
      <c r="X51" s="12" t="s">
        <v>16339</v>
      </c>
      <c r="Y51" s="12" t="s">
        <v>16340</v>
      </c>
      <c r="Z51" s="12" t="s">
        <v>16341</v>
      </c>
      <c r="AA51" s="12" t="s">
        <v>16342</v>
      </c>
      <c r="AB51" s="12" t="s">
        <v>16343</v>
      </c>
      <c r="AC51" s="12" t="s">
        <v>16344</v>
      </c>
      <c r="AD51" s="12" t="s">
        <v>16345</v>
      </c>
      <c r="AE51" s="12" t="s">
        <v>16346</v>
      </c>
      <c r="AF51" s="12" t="s">
        <v>12129</v>
      </c>
      <c r="AG51" s="12">
        <v>42.0</v>
      </c>
      <c r="AH51" s="12">
        <v>3293.0</v>
      </c>
      <c r="AI51" s="12">
        <v>3869.0</v>
      </c>
      <c r="AJ51" s="12">
        <v>46.0</v>
      </c>
      <c r="AK51" s="12">
        <v>2667.0</v>
      </c>
      <c r="AL51" s="12" t="s">
        <v>12195</v>
      </c>
      <c r="AM51" s="12" t="s">
        <v>12196</v>
      </c>
      <c r="AN51" s="12" t="s">
        <v>12197</v>
      </c>
      <c r="AO51" s="12" t="s">
        <v>1877</v>
      </c>
      <c r="AP51" s="12" t="s">
        <v>12129</v>
      </c>
      <c r="AQ51" s="12" t="s">
        <v>12129</v>
      </c>
      <c r="AR51" s="12" t="s">
        <v>362</v>
      </c>
      <c r="AS51" s="12" t="s">
        <v>12198</v>
      </c>
      <c r="AT51" s="12" t="s">
        <v>15442</v>
      </c>
      <c r="AU51" s="12">
        <v>2014.0</v>
      </c>
      <c r="AV51" s="12">
        <v>9.0</v>
      </c>
      <c r="AW51" s="12">
        <v>12.0</v>
      </c>
      <c r="AX51" s="12" t="s">
        <v>12129</v>
      </c>
      <c r="AY51" s="12" t="s">
        <v>12129</v>
      </c>
      <c r="AZ51" s="12" t="s">
        <v>12129</v>
      </c>
      <c r="BA51" s="12" t="s">
        <v>12129</v>
      </c>
      <c r="BB51" s="12" t="s">
        <v>12129</v>
      </c>
      <c r="BC51" s="12" t="s">
        <v>12129</v>
      </c>
      <c r="BD51" s="12" t="s">
        <v>9673</v>
      </c>
      <c r="BE51" s="12" t="s">
        <v>451</v>
      </c>
      <c r="BF51" s="25" t="str">
        <f>HYPERLINK("http://dx.doi.org/10.1371/journal.pone.0111913","http://dx.doi.org/10.1371/journal.pone.0111913")</f>
        <v>http://dx.doi.org/10.1371/journal.pone.0111913</v>
      </c>
      <c r="BG51" s="12" t="s">
        <v>12129</v>
      </c>
      <c r="BH51" s="12" t="s">
        <v>12129</v>
      </c>
      <c r="BI51" s="12">
        <v>15.0</v>
      </c>
      <c r="BJ51" s="12" t="s">
        <v>39</v>
      </c>
      <c r="BK51" s="12" t="s">
        <v>12176</v>
      </c>
      <c r="BL51" s="12" t="s">
        <v>12202</v>
      </c>
      <c r="BM51" s="12" t="s">
        <v>16347</v>
      </c>
      <c r="BN51" s="12">
        <v>2.5494041E7</v>
      </c>
      <c r="BO51" s="12" t="s">
        <v>12179</v>
      </c>
      <c r="BP51" s="12" t="s">
        <v>12129</v>
      </c>
      <c r="BQ51" s="12" t="s">
        <v>12129</v>
      </c>
      <c r="BR51" s="12" t="s">
        <v>15851</v>
      </c>
      <c r="BS51" s="12" t="s">
        <v>453</v>
      </c>
      <c r="BT51" s="12" t="str">
        <f>HYPERLINK("https%3A%2F%2Fwww.webofscience.com%2Fwos%2Fwoscc%2Ffull-record%2FWOS:000346611400007","View Full Record in Web of Science")</f>
        <v>View Full Record in Web of Science</v>
      </c>
    </row>
    <row r="52" ht="12.75" customHeight="1">
      <c r="A52" s="12" t="s">
        <v>23</v>
      </c>
      <c r="B52" s="12" t="s">
        <v>1124</v>
      </c>
      <c r="C52" s="12" t="s">
        <v>12129</v>
      </c>
      <c r="D52" s="12" t="s">
        <v>12129</v>
      </c>
      <c r="E52" s="12" t="s">
        <v>12129</v>
      </c>
      <c r="F52" s="12" t="s">
        <v>1124</v>
      </c>
      <c r="G52" s="12" t="s">
        <v>12129</v>
      </c>
      <c r="H52" s="12" t="s">
        <v>12129</v>
      </c>
      <c r="I52" s="12" t="s">
        <v>1125</v>
      </c>
      <c r="J52" s="12" t="s">
        <v>1126</v>
      </c>
      <c r="K52" s="12" t="s">
        <v>12129</v>
      </c>
      <c r="L52" s="12" t="s">
        <v>12129</v>
      </c>
      <c r="M52" s="12" t="s">
        <v>3263</v>
      </c>
      <c r="N52" s="12" t="s">
        <v>35</v>
      </c>
      <c r="O52" s="12" t="s">
        <v>12129</v>
      </c>
      <c r="P52" s="12" t="s">
        <v>12129</v>
      </c>
      <c r="Q52" s="12" t="s">
        <v>12129</v>
      </c>
      <c r="R52" s="12" t="s">
        <v>12129</v>
      </c>
      <c r="S52" s="12" t="s">
        <v>12129</v>
      </c>
      <c r="T52" s="12" t="s">
        <v>12129</v>
      </c>
      <c r="U52" s="12" t="s">
        <v>15742</v>
      </c>
      <c r="V52" s="12" t="s">
        <v>1127</v>
      </c>
      <c r="W52" s="12" t="s">
        <v>16348</v>
      </c>
      <c r="X52" s="12" t="s">
        <v>16349</v>
      </c>
      <c r="Y52" s="12" t="s">
        <v>16350</v>
      </c>
      <c r="Z52" s="12" t="s">
        <v>16351</v>
      </c>
      <c r="AA52" s="12" t="s">
        <v>12129</v>
      </c>
      <c r="AB52" s="12" t="s">
        <v>12129</v>
      </c>
      <c r="AC52" s="12" t="s">
        <v>12129</v>
      </c>
      <c r="AD52" s="12" t="s">
        <v>12129</v>
      </c>
      <c r="AE52" s="12" t="s">
        <v>12129</v>
      </c>
      <c r="AF52" s="12" t="s">
        <v>12129</v>
      </c>
      <c r="AG52" s="12">
        <v>46.0</v>
      </c>
      <c r="AH52" s="12">
        <v>60.0</v>
      </c>
      <c r="AI52" s="12">
        <v>75.0</v>
      </c>
      <c r="AJ52" s="12">
        <v>0.0</v>
      </c>
      <c r="AK52" s="12">
        <v>30.0</v>
      </c>
      <c r="AL52" s="12" t="s">
        <v>13625</v>
      </c>
      <c r="AM52" s="12" t="s">
        <v>12170</v>
      </c>
      <c r="AN52" s="12" t="s">
        <v>13626</v>
      </c>
      <c r="AO52" s="12" t="s">
        <v>16352</v>
      </c>
      <c r="AP52" s="12" t="s">
        <v>16353</v>
      </c>
      <c r="AQ52" s="12" t="s">
        <v>12129</v>
      </c>
      <c r="AR52" s="12" t="s">
        <v>15743</v>
      </c>
      <c r="AS52" s="12" t="s">
        <v>15744</v>
      </c>
      <c r="AT52" s="12" t="s">
        <v>12787</v>
      </c>
      <c r="AU52" s="12">
        <v>2004.0</v>
      </c>
      <c r="AV52" s="12">
        <v>59.0</v>
      </c>
      <c r="AW52" s="12">
        <v>3.0</v>
      </c>
      <c r="AX52" s="12" t="s">
        <v>12129</v>
      </c>
      <c r="AY52" s="12" t="s">
        <v>12129</v>
      </c>
      <c r="AZ52" s="12" t="s">
        <v>12129</v>
      </c>
      <c r="BA52" s="12" t="s">
        <v>12129</v>
      </c>
      <c r="BB52" s="12">
        <v>565.0</v>
      </c>
      <c r="BC52" s="12">
        <v>582.0</v>
      </c>
      <c r="BD52" s="12" t="s">
        <v>12129</v>
      </c>
      <c r="BE52" s="12" t="s">
        <v>1128</v>
      </c>
      <c r="BF52" s="25" t="str">
        <f>HYPERLINK("http://dx.doi.org/10.1016/j.jaridenv.2004.03.022","http://dx.doi.org/10.1016/j.jaridenv.2004.03.022")</f>
        <v>http://dx.doi.org/10.1016/j.jaridenv.2004.03.022</v>
      </c>
      <c r="BG52" s="12" t="s">
        <v>12129</v>
      </c>
      <c r="BH52" s="12" t="s">
        <v>12129</v>
      </c>
      <c r="BI52" s="12">
        <v>18.0</v>
      </c>
      <c r="BJ52" s="12" t="s">
        <v>695</v>
      </c>
      <c r="BK52" s="12" t="s">
        <v>12176</v>
      </c>
      <c r="BL52" s="12" t="s">
        <v>12251</v>
      </c>
      <c r="BM52" s="12" t="s">
        <v>16354</v>
      </c>
      <c r="BN52" s="12" t="s">
        <v>12129</v>
      </c>
      <c r="BO52" s="12" t="s">
        <v>12564</v>
      </c>
      <c r="BP52" s="12" t="s">
        <v>12129</v>
      </c>
      <c r="BQ52" s="12" t="s">
        <v>12129</v>
      </c>
      <c r="BR52" s="12" t="s">
        <v>15851</v>
      </c>
      <c r="BS52" s="12" t="s">
        <v>1130</v>
      </c>
      <c r="BT52" s="12" t="str">
        <f>HYPERLINK("https%3A%2F%2Fwww.webofscience.com%2Fwos%2Fwoscc%2Ffull-record%2FWOS:000223909700008","View Full Record in Web of Science")</f>
        <v>View Full Record in Web of Science</v>
      </c>
    </row>
    <row r="53" ht="12.75" customHeight="1">
      <c r="A53" s="12" t="s">
        <v>23</v>
      </c>
      <c r="B53" s="12" t="s">
        <v>179</v>
      </c>
      <c r="C53" s="12" t="s">
        <v>12129</v>
      </c>
      <c r="D53" s="12" t="s">
        <v>12129</v>
      </c>
      <c r="E53" s="12" t="s">
        <v>12129</v>
      </c>
      <c r="F53" s="12" t="s">
        <v>8683</v>
      </c>
      <c r="G53" s="12" t="s">
        <v>12129</v>
      </c>
      <c r="H53" s="12" t="s">
        <v>12129</v>
      </c>
      <c r="I53" s="12" t="s">
        <v>180</v>
      </c>
      <c r="J53" s="12" t="s">
        <v>181</v>
      </c>
      <c r="K53" s="12" t="s">
        <v>12129</v>
      </c>
      <c r="L53" s="12" t="s">
        <v>12129</v>
      </c>
      <c r="M53" s="12" t="s">
        <v>3263</v>
      </c>
      <c r="N53" s="12" t="s">
        <v>35</v>
      </c>
      <c r="O53" s="12" t="s">
        <v>12129</v>
      </c>
      <c r="P53" s="12" t="s">
        <v>12129</v>
      </c>
      <c r="Q53" s="12" t="s">
        <v>12129</v>
      </c>
      <c r="R53" s="12" t="s">
        <v>12129</v>
      </c>
      <c r="S53" s="12" t="s">
        <v>12129</v>
      </c>
      <c r="T53" s="12" t="s">
        <v>15533</v>
      </c>
      <c r="U53" s="12" t="s">
        <v>15534</v>
      </c>
      <c r="V53" s="12" t="s">
        <v>182</v>
      </c>
      <c r="W53" s="12" t="s">
        <v>16355</v>
      </c>
      <c r="X53" s="12" t="s">
        <v>16356</v>
      </c>
      <c r="Y53" s="12" t="s">
        <v>16357</v>
      </c>
      <c r="Z53" s="12" t="s">
        <v>16358</v>
      </c>
      <c r="AA53" s="12" t="s">
        <v>16359</v>
      </c>
      <c r="AB53" s="12" t="s">
        <v>16360</v>
      </c>
      <c r="AC53" s="12" t="s">
        <v>16361</v>
      </c>
      <c r="AD53" s="12" t="s">
        <v>16361</v>
      </c>
      <c r="AE53" s="12" t="s">
        <v>16362</v>
      </c>
      <c r="AF53" s="12" t="s">
        <v>12129</v>
      </c>
      <c r="AG53" s="12">
        <v>295.0</v>
      </c>
      <c r="AH53" s="12">
        <v>594.0</v>
      </c>
      <c r="AI53" s="12">
        <v>684.0</v>
      </c>
      <c r="AJ53" s="12">
        <v>17.0</v>
      </c>
      <c r="AK53" s="12">
        <v>466.0</v>
      </c>
      <c r="AL53" s="12" t="s">
        <v>12243</v>
      </c>
      <c r="AM53" s="12" t="s">
        <v>12244</v>
      </c>
      <c r="AN53" s="12" t="s">
        <v>12245</v>
      </c>
      <c r="AO53" s="12" t="s">
        <v>16363</v>
      </c>
      <c r="AP53" s="12" t="s">
        <v>16364</v>
      </c>
      <c r="AQ53" s="12" t="s">
        <v>12129</v>
      </c>
      <c r="AR53" s="12" t="s">
        <v>15535</v>
      </c>
      <c r="AS53" s="12" t="s">
        <v>15536</v>
      </c>
      <c r="AT53" s="12" t="s">
        <v>12787</v>
      </c>
      <c r="AU53" s="12">
        <v>2016.0</v>
      </c>
      <c r="AV53" s="12">
        <v>91.0</v>
      </c>
      <c r="AW53" s="12">
        <v>4.0</v>
      </c>
      <c r="AX53" s="12" t="s">
        <v>12129</v>
      </c>
      <c r="AY53" s="12" t="s">
        <v>12129</v>
      </c>
      <c r="AZ53" s="12" t="s">
        <v>12129</v>
      </c>
      <c r="BA53" s="12" t="s">
        <v>12129</v>
      </c>
      <c r="BB53" s="12">
        <v>982.0</v>
      </c>
      <c r="BC53" s="12">
        <v>1005.0</v>
      </c>
      <c r="BD53" s="12" t="s">
        <v>12129</v>
      </c>
      <c r="BE53" s="12" t="s">
        <v>183</v>
      </c>
      <c r="BF53" s="25" t="str">
        <f>HYPERLINK("http://dx.doi.org/10.1111/brv.12207","http://dx.doi.org/10.1111/brv.12207")</f>
        <v>http://dx.doi.org/10.1111/brv.12207</v>
      </c>
      <c r="BG53" s="12" t="s">
        <v>12129</v>
      </c>
      <c r="BH53" s="12" t="s">
        <v>12129</v>
      </c>
      <c r="BI53" s="12">
        <v>24.0</v>
      </c>
      <c r="BJ53" s="12" t="s">
        <v>185</v>
      </c>
      <c r="BK53" s="12" t="s">
        <v>12176</v>
      </c>
      <c r="BL53" s="12" t="s">
        <v>13772</v>
      </c>
      <c r="BM53" s="12" t="s">
        <v>16365</v>
      </c>
      <c r="BN53" s="12">
        <v>2.6118691E7</v>
      </c>
      <c r="BO53" s="12" t="s">
        <v>12129</v>
      </c>
      <c r="BP53" s="12" t="s">
        <v>12129</v>
      </c>
      <c r="BQ53" s="12" t="s">
        <v>12129</v>
      </c>
      <c r="BR53" s="12" t="s">
        <v>15851</v>
      </c>
      <c r="BS53" s="12" t="s">
        <v>186</v>
      </c>
      <c r="BT53" s="12" t="str">
        <f>HYPERLINK("https%3A%2F%2Fwww.webofscience.com%2Fwos%2Fwoscc%2Ffull-record%2FWOS:000385570300006","View Full Record in Web of Science")</f>
        <v>View Full Record in Web of Science</v>
      </c>
    </row>
    <row r="54" ht="12.75" customHeight="1">
      <c r="A54" s="12" t="s">
        <v>23</v>
      </c>
      <c r="B54" s="12" t="s">
        <v>375</v>
      </c>
      <c r="C54" s="12" t="s">
        <v>12129</v>
      </c>
      <c r="D54" s="12" t="s">
        <v>12129</v>
      </c>
      <c r="E54" s="12" t="s">
        <v>12129</v>
      </c>
      <c r="F54" s="12" t="s">
        <v>1687</v>
      </c>
      <c r="G54" s="12" t="s">
        <v>12129</v>
      </c>
      <c r="H54" s="12" t="s">
        <v>12129</v>
      </c>
      <c r="I54" s="12" t="s">
        <v>376</v>
      </c>
      <c r="J54" s="12" t="s">
        <v>34</v>
      </c>
      <c r="K54" s="12" t="s">
        <v>12129</v>
      </c>
      <c r="L54" s="12" t="s">
        <v>12129</v>
      </c>
      <c r="M54" s="12" t="s">
        <v>3263</v>
      </c>
      <c r="N54" s="12" t="s">
        <v>35</v>
      </c>
      <c r="O54" s="12" t="s">
        <v>12129</v>
      </c>
      <c r="P54" s="12" t="s">
        <v>12129</v>
      </c>
      <c r="Q54" s="12" t="s">
        <v>12129</v>
      </c>
      <c r="R54" s="12" t="s">
        <v>12129</v>
      </c>
      <c r="S54" s="12" t="s">
        <v>12129</v>
      </c>
      <c r="T54" s="12" t="s">
        <v>15574</v>
      </c>
      <c r="U54" s="12" t="s">
        <v>15575</v>
      </c>
      <c r="V54" s="12" t="s">
        <v>377</v>
      </c>
      <c r="W54" s="12" t="s">
        <v>16366</v>
      </c>
      <c r="X54" s="12" t="s">
        <v>16367</v>
      </c>
      <c r="Y54" s="12" t="s">
        <v>16368</v>
      </c>
      <c r="Z54" s="12" t="s">
        <v>16369</v>
      </c>
      <c r="AA54" s="12" t="s">
        <v>16370</v>
      </c>
      <c r="AB54" s="12" t="s">
        <v>16371</v>
      </c>
      <c r="AC54" s="12" t="s">
        <v>16372</v>
      </c>
      <c r="AD54" s="12" t="s">
        <v>16373</v>
      </c>
      <c r="AE54" s="12" t="s">
        <v>16374</v>
      </c>
      <c r="AF54" s="12" t="s">
        <v>12129</v>
      </c>
      <c r="AG54" s="12">
        <v>44.0</v>
      </c>
      <c r="AH54" s="12">
        <v>158.0</v>
      </c>
      <c r="AI54" s="12">
        <v>182.0</v>
      </c>
      <c r="AJ54" s="12">
        <v>13.0</v>
      </c>
      <c r="AK54" s="12">
        <v>287.0</v>
      </c>
      <c r="AL54" s="12" t="s">
        <v>12631</v>
      </c>
      <c r="AM54" s="12" t="s">
        <v>12632</v>
      </c>
      <c r="AN54" s="12" t="s">
        <v>12633</v>
      </c>
      <c r="AO54" s="12" t="s">
        <v>1689</v>
      </c>
      <c r="AP54" s="12" t="s">
        <v>12129</v>
      </c>
      <c r="AQ54" s="12" t="s">
        <v>12129</v>
      </c>
      <c r="AR54" s="12" t="s">
        <v>12634</v>
      </c>
      <c r="AS54" s="12" t="s">
        <v>12635</v>
      </c>
      <c r="AT54" s="12" t="s">
        <v>15576</v>
      </c>
      <c r="AU54" s="12">
        <v>2015.0</v>
      </c>
      <c r="AV54" s="12">
        <v>112.0</v>
      </c>
      <c r="AW54" s="12">
        <v>15.0</v>
      </c>
      <c r="AX54" s="12" t="s">
        <v>12129</v>
      </c>
      <c r="AY54" s="12" t="s">
        <v>12129</v>
      </c>
      <c r="AZ54" s="12" t="s">
        <v>12129</v>
      </c>
      <c r="BA54" s="12" t="s">
        <v>12129</v>
      </c>
      <c r="BB54" s="12">
        <v>4588.0</v>
      </c>
      <c r="BC54" s="12">
        <v>4593.0</v>
      </c>
      <c r="BD54" s="12" t="s">
        <v>12129</v>
      </c>
      <c r="BE54" s="12" t="s">
        <v>378</v>
      </c>
      <c r="BF54" s="25" t="str">
        <f>HYPERLINK("http://dx.doi.org/10.1073/pnas.1504345112","http://dx.doi.org/10.1073/pnas.1504345112")</f>
        <v>http://dx.doi.org/10.1073/pnas.1504345112</v>
      </c>
      <c r="BG54" s="12" t="s">
        <v>12129</v>
      </c>
      <c r="BH54" s="12" t="s">
        <v>12129</v>
      </c>
      <c r="BI54" s="12">
        <v>6.0</v>
      </c>
      <c r="BJ54" s="12" t="s">
        <v>39</v>
      </c>
      <c r="BK54" s="12" t="s">
        <v>12729</v>
      </c>
      <c r="BL54" s="12" t="s">
        <v>12202</v>
      </c>
      <c r="BM54" s="12" t="s">
        <v>16375</v>
      </c>
      <c r="BN54" s="12">
        <v>2.5825748E7</v>
      </c>
      <c r="BO54" s="12" t="s">
        <v>12378</v>
      </c>
      <c r="BP54" s="12" t="s">
        <v>12129</v>
      </c>
      <c r="BQ54" s="12" t="s">
        <v>12129</v>
      </c>
      <c r="BR54" s="12" t="s">
        <v>15851</v>
      </c>
      <c r="BS54" s="12" t="s">
        <v>380</v>
      </c>
      <c r="BT54" s="12" t="str">
        <f>HYPERLINK("https%3A%2F%2Fwww.webofscience.com%2Fwos%2Fwoscc%2Ffull-record%2FWOS:000352856800038","View Full Record in Web of Science")</f>
        <v>View Full Record in Web of Science</v>
      </c>
    </row>
    <row r="55" ht="12.75" customHeight="1">
      <c r="A55" s="12" t="s">
        <v>23</v>
      </c>
      <c r="B55" s="12" t="s">
        <v>988</v>
      </c>
      <c r="C55" s="12" t="s">
        <v>12129</v>
      </c>
      <c r="D55" s="12" t="s">
        <v>12129</v>
      </c>
      <c r="E55" s="12" t="s">
        <v>12129</v>
      </c>
      <c r="F55" s="12" t="s">
        <v>9191</v>
      </c>
      <c r="G55" s="12" t="s">
        <v>12129</v>
      </c>
      <c r="H55" s="12" t="s">
        <v>12129</v>
      </c>
      <c r="I55" s="12" t="s">
        <v>989</v>
      </c>
      <c r="J55" s="12" t="s">
        <v>990</v>
      </c>
      <c r="K55" s="12" t="s">
        <v>12129</v>
      </c>
      <c r="L55" s="12" t="s">
        <v>12129</v>
      </c>
      <c r="M55" s="12" t="s">
        <v>3263</v>
      </c>
      <c r="N55" s="12" t="s">
        <v>35</v>
      </c>
      <c r="O55" s="12" t="s">
        <v>12129</v>
      </c>
      <c r="P55" s="12" t="s">
        <v>12129</v>
      </c>
      <c r="Q55" s="12" t="s">
        <v>12129</v>
      </c>
      <c r="R55" s="12" t="s">
        <v>12129</v>
      </c>
      <c r="S55" s="12" t="s">
        <v>12129</v>
      </c>
      <c r="T55" s="12" t="s">
        <v>12129</v>
      </c>
      <c r="U55" s="12" t="s">
        <v>15790</v>
      </c>
      <c r="V55" s="12" t="s">
        <v>991</v>
      </c>
      <c r="W55" s="12" t="s">
        <v>16376</v>
      </c>
      <c r="X55" s="12" t="s">
        <v>16377</v>
      </c>
      <c r="Y55" s="12" t="s">
        <v>16378</v>
      </c>
      <c r="Z55" s="12" t="s">
        <v>16379</v>
      </c>
      <c r="AA55" s="12" t="s">
        <v>12129</v>
      </c>
      <c r="AB55" s="12" t="s">
        <v>12129</v>
      </c>
      <c r="AC55" s="12" t="s">
        <v>12129</v>
      </c>
      <c r="AD55" s="12" t="s">
        <v>12129</v>
      </c>
      <c r="AE55" s="12" t="s">
        <v>12129</v>
      </c>
      <c r="AF55" s="12" t="s">
        <v>12129</v>
      </c>
      <c r="AG55" s="12">
        <v>58.0</v>
      </c>
      <c r="AH55" s="12">
        <v>821.0</v>
      </c>
      <c r="AI55" s="12">
        <v>936.0</v>
      </c>
      <c r="AJ55" s="12">
        <v>22.0</v>
      </c>
      <c r="AK55" s="12">
        <v>485.0</v>
      </c>
      <c r="AL55" s="12" t="s">
        <v>15710</v>
      </c>
      <c r="AM55" s="12" t="s">
        <v>13961</v>
      </c>
      <c r="AN55" s="12" t="s">
        <v>16028</v>
      </c>
      <c r="AO55" s="12" t="s">
        <v>16380</v>
      </c>
      <c r="AP55" s="12" t="s">
        <v>16381</v>
      </c>
      <c r="AQ55" s="12" t="s">
        <v>12129</v>
      </c>
      <c r="AR55" s="12" t="s">
        <v>15791</v>
      </c>
      <c r="AS55" s="12" t="s">
        <v>15792</v>
      </c>
      <c r="AT55" s="12" t="s">
        <v>12787</v>
      </c>
      <c r="AU55" s="12">
        <v>2008.0</v>
      </c>
      <c r="AV55" s="12">
        <v>35.0</v>
      </c>
      <c r="AW55" s="12">
        <v>5.0</v>
      </c>
      <c r="AX55" s="12" t="s">
        <v>12129</v>
      </c>
      <c r="AY55" s="12" t="s">
        <v>12129</v>
      </c>
      <c r="AZ55" s="12" t="s">
        <v>12129</v>
      </c>
      <c r="BA55" s="12" t="s">
        <v>12129</v>
      </c>
      <c r="BB55" s="12">
        <v>429.0</v>
      </c>
      <c r="BC55" s="12">
        <v>435.0</v>
      </c>
      <c r="BD55" s="12" t="s">
        <v>12129</v>
      </c>
      <c r="BE55" s="12" t="s">
        <v>992</v>
      </c>
      <c r="BF55" s="25" t="str">
        <f>HYPERLINK("http://dx.doi.org/10.1016/j.amepre.2008.08.021","http://dx.doi.org/10.1016/j.amepre.2008.08.021")</f>
        <v>http://dx.doi.org/10.1016/j.amepre.2008.08.021</v>
      </c>
      <c r="BG55" s="12" t="s">
        <v>12129</v>
      </c>
      <c r="BH55" s="12" t="s">
        <v>12129</v>
      </c>
      <c r="BI55" s="12">
        <v>7.0</v>
      </c>
      <c r="BJ55" s="12" t="s">
        <v>994</v>
      </c>
      <c r="BK55" s="12" t="s">
        <v>12176</v>
      </c>
      <c r="BL55" s="12" t="s">
        <v>15793</v>
      </c>
      <c r="BM55" s="12" t="s">
        <v>16382</v>
      </c>
      <c r="BN55" s="12">
        <v>1.8929969E7</v>
      </c>
      <c r="BO55" s="12" t="s">
        <v>12129</v>
      </c>
      <c r="BP55" s="12" t="s">
        <v>12129</v>
      </c>
      <c r="BQ55" s="12" t="s">
        <v>12129</v>
      </c>
      <c r="BR55" s="12" t="s">
        <v>15851</v>
      </c>
      <c r="BS55" s="12" t="s">
        <v>995</v>
      </c>
      <c r="BT55" s="12" t="str">
        <f>HYPERLINK("https%3A%2F%2Fwww.webofscience.com%2Fwos%2Fwoscc%2Ffull-record%2FWOS:000260396600007","View Full Record in Web of Science")</f>
        <v>View Full Record in Web of Science</v>
      </c>
    </row>
    <row r="56" ht="12.75" customHeight="1">
      <c r="A56" s="12" t="s">
        <v>23</v>
      </c>
      <c r="B56" s="12" t="s">
        <v>997</v>
      </c>
      <c r="C56" s="12" t="s">
        <v>12129</v>
      </c>
      <c r="D56" s="12" t="s">
        <v>12129</v>
      </c>
      <c r="E56" s="12" t="s">
        <v>12129</v>
      </c>
      <c r="F56" s="12" t="s">
        <v>10513</v>
      </c>
      <c r="G56" s="12" t="s">
        <v>12129</v>
      </c>
      <c r="H56" s="12" t="s">
        <v>12129</v>
      </c>
      <c r="I56" s="12" t="s">
        <v>998</v>
      </c>
      <c r="J56" s="12" t="s">
        <v>999</v>
      </c>
      <c r="K56" s="12" t="s">
        <v>12129</v>
      </c>
      <c r="L56" s="12" t="s">
        <v>12129</v>
      </c>
      <c r="M56" s="12" t="s">
        <v>3263</v>
      </c>
      <c r="N56" s="12" t="s">
        <v>35</v>
      </c>
      <c r="O56" s="12" t="s">
        <v>12129</v>
      </c>
      <c r="P56" s="12" t="s">
        <v>12129</v>
      </c>
      <c r="Q56" s="12" t="s">
        <v>12129</v>
      </c>
      <c r="R56" s="12" t="s">
        <v>12129</v>
      </c>
      <c r="S56" s="12" t="s">
        <v>12129</v>
      </c>
      <c r="T56" s="12" t="s">
        <v>15812</v>
      </c>
      <c r="U56" s="12" t="s">
        <v>15813</v>
      </c>
      <c r="V56" s="12" t="s">
        <v>1000</v>
      </c>
      <c r="W56" s="12" t="s">
        <v>16383</v>
      </c>
      <c r="X56" s="12" t="s">
        <v>16384</v>
      </c>
      <c r="Y56" s="12" t="s">
        <v>16385</v>
      </c>
      <c r="Z56" s="12" t="s">
        <v>16386</v>
      </c>
      <c r="AA56" s="12" t="s">
        <v>16387</v>
      </c>
      <c r="AB56" s="12" t="s">
        <v>16388</v>
      </c>
      <c r="AC56" s="12" t="s">
        <v>12129</v>
      </c>
      <c r="AD56" s="12" t="s">
        <v>12129</v>
      </c>
      <c r="AE56" s="12" t="s">
        <v>12129</v>
      </c>
      <c r="AF56" s="12" t="s">
        <v>12129</v>
      </c>
      <c r="AG56" s="12">
        <v>77.0</v>
      </c>
      <c r="AH56" s="12">
        <v>259.0</v>
      </c>
      <c r="AI56" s="12">
        <v>294.0</v>
      </c>
      <c r="AJ56" s="12">
        <v>2.0</v>
      </c>
      <c r="AK56" s="12">
        <v>109.0</v>
      </c>
      <c r="AL56" s="12" t="s">
        <v>13181</v>
      </c>
      <c r="AM56" s="12" t="s">
        <v>13961</v>
      </c>
      <c r="AN56" s="12" t="s">
        <v>15170</v>
      </c>
      <c r="AO56" s="12" t="s">
        <v>16389</v>
      </c>
      <c r="AP56" s="12" t="s">
        <v>16390</v>
      </c>
      <c r="AQ56" s="12" t="s">
        <v>12129</v>
      </c>
      <c r="AR56" s="12" t="s">
        <v>999</v>
      </c>
      <c r="AS56" s="12" t="s">
        <v>4186</v>
      </c>
      <c r="AT56" s="12" t="s">
        <v>12436</v>
      </c>
      <c r="AU56" s="12">
        <v>2008.0</v>
      </c>
      <c r="AV56" s="12">
        <v>11.0</v>
      </c>
      <c r="AW56" s="12">
        <v>4.0</v>
      </c>
      <c r="AX56" s="12" t="s">
        <v>12129</v>
      </c>
      <c r="AY56" s="12" t="s">
        <v>12129</v>
      </c>
      <c r="AZ56" s="12" t="s">
        <v>12129</v>
      </c>
      <c r="BA56" s="12" t="s">
        <v>12129</v>
      </c>
      <c r="BB56" s="12">
        <v>614.0</v>
      </c>
      <c r="BC56" s="12">
        <v>628.0</v>
      </c>
      <c r="BD56" s="12" t="s">
        <v>12129</v>
      </c>
      <c r="BE56" s="12" t="s">
        <v>1001</v>
      </c>
      <c r="BF56" s="25" t="str">
        <f>HYPERLINK("http://dx.doi.org/10.1007/s10021-008-9146-z","http://dx.doi.org/10.1007/s10021-008-9146-z")</f>
        <v>http://dx.doi.org/10.1007/s10021-008-9146-z</v>
      </c>
      <c r="BG56" s="12" t="s">
        <v>12129</v>
      </c>
      <c r="BH56" s="12" t="s">
        <v>12129</v>
      </c>
      <c r="BI56" s="12">
        <v>15.0</v>
      </c>
      <c r="BJ56" s="12" t="s">
        <v>814</v>
      </c>
      <c r="BK56" s="12" t="s">
        <v>12176</v>
      </c>
      <c r="BL56" s="12" t="s">
        <v>12251</v>
      </c>
      <c r="BM56" s="12" t="s">
        <v>16391</v>
      </c>
      <c r="BN56" s="12" t="s">
        <v>12129</v>
      </c>
      <c r="BO56" s="12" t="s">
        <v>12129</v>
      </c>
      <c r="BP56" s="12" t="s">
        <v>12129</v>
      </c>
      <c r="BQ56" s="12" t="s">
        <v>12129</v>
      </c>
      <c r="BR56" s="12" t="s">
        <v>15851</v>
      </c>
      <c r="BS56" s="12" t="s">
        <v>1003</v>
      </c>
      <c r="BT56" s="12" t="str">
        <f>HYPERLINK("https%3A%2F%2Fwww.webofscience.com%2Fwos%2Fwoscc%2Ffull-record%2FWOS:000256529200009","View Full Record in Web of Science")</f>
        <v>View Full Record in Web of Science</v>
      </c>
    </row>
    <row r="57" ht="12.75" customHeight="1">
      <c r="A57" s="12" t="s">
        <v>23</v>
      </c>
      <c r="B57" s="12" t="s">
        <v>1132</v>
      </c>
      <c r="C57" s="12" t="s">
        <v>12129</v>
      </c>
      <c r="D57" s="12" t="s">
        <v>12129</v>
      </c>
      <c r="E57" s="12" t="s">
        <v>12129</v>
      </c>
      <c r="F57" s="12" t="s">
        <v>1132</v>
      </c>
      <c r="G57" s="12" t="s">
        <v>12129</v>
      </c>
      <c r="H57" s="12" t="s">
        <v>12129</v>
      </c>
      <c r="I57" s="12" t="s">
        <v>1133</v>
      </c>
      <c r="J57" s="12" t="s">
        <v>283</v>
      </c>
      <c r="K57" s="12" t="s">
        <v>12129</v>
      </c>
      <c r="L57" s="12" t="s">
        <v>12129</v>
      </c>
      <c r="M57" s="12" t="s">
        <v>3263</v>
      </c>
      <c r="N57" s="12" t="s">
        <v>35</v>
      </c>
      <c r="O57" s="12" t="s">
        <v>12129</v>
      </c>
      <c r="P57" s="12" t="s">
        <v>12129</v>
      </c>
      <c r="Q57" s="12" t="s">
        <v>12129</v>
      </c>
      <c r="R57" s="12" t="s">
        <v>12129</v>
      </c>
      <c r="S57" s="12" t="s">
        <v>12129</v>
      </c>
      <c r="T57" s="12" t="s">
        <v>15756</v>
      </c>
      <c r="U57" s="12" t="s">
        <v>15757</v>
      </c>
      <c r="V57" s="12" t="s">
        <v>1134</v>
      </c>
      <c r="W57" s="12" t="s">
        <v>16392</v>
      </c>
      <c r="X57" s="12" t="s">
        <v>16393</v>
      </c>
      <c r="Y57" s="12" t="s">
        <v>16394</v>
      </c>
      <c r="Z57" s="12" t="s">
        <v>16395</v>
      </c>
      <c r="AA57" s="12" t="s">
        <v>12129</v>
      </c>
      <c r="AB57" s="12" t="s">
        <v>12129</v>
      </c>
      <c r="AC57" s="12" t="s">
        <v>12129</v>
      </c>
      <c r="AD57" s="12" t="s">
        <v>12129</v>
      </c>
      <c r="AE57" s="12" t="s">
        <v>12129</v>
      </c>
      <c r="AF57" s="12" t="s">
        <v>12129</v>
      </c>
      <c r="AG57" s="12">
        <v>56.0</v>
      </c>
      <c r="AH57" s="12">
        <v>125.0</v>
      </c>
      <c r="AI57" s="12">
        <v>143.0</v>
      </c>
      <c r="AJ57" s="12">
        <v>1.0</v>
      </c>
      <c r="AK57" s="12">
        <v>28.0</v>
      </c>
      <c r="AL57" s="12" t="s">
        <v>12321</v>
      </c>
      <c r="AM57" s="12" t="s">
        <v>2146</v>
      </c>
      <c r="AN57" s="12" t="s">
        <v>12322</v>
      </c>
      <c r="AO57" s="12" t="s">
        <v>7029</v>
      </c>
      <c r="AP57" s="12" t="s">
        <v>16396</v>
      </c>
      <c r="AQ57" s="12" t="s">
        <v>12129</v>
      </c>
      <c r="AR57" s="12" t="s">
        <v>15749</v>
      </c>
      <c r="AS57" s="12" t="s">
        <v>15750</v>
      </c>
      <c r="AT57" s="12" t="s">
        <v>13517</v>
      </c>
      <c r="AU57" s="12">
        <v>2004.0</v>
      </c>
      <c r="AV57" s="12">
        <v>14.0</v>
      </c>
      <c r="AW57" s="12">
        <v>3.0</v>
      </c>
      <c r="AX57" s="12" t="s">
        <v>12129</v>
      </c>
      <c r="AY57" s="12" t="s">
        <v>12129</v>
      </c>
      <c r="AZ57" s="12" t="s">
        <v>12129</v>
      </c>
      <c r="BA57" s="12" t="s">
        <v>12129</v>
      </c>
      <c r="BB57" s="12">
        <v>245.0</v>
      </c>
      <c r="BC57" s="12">
        <v>258.0</v>
      </c>
      <c r="BD57" s="12" t="s">
        <v>12129</v>
      </c>
      <c r="BE57" s="12" t="s">
        <v>1135</v>
      </c>
      <c r="BF57" s="25" t="str">
        <f>HYPERLINK("http://dx.doi.org/10.1016/j.gloenvcha.2004.04.008","http://dx.doi.org/10.1016/j.gloenvcha.2004.04.008")</f>
        <v>http://dx.doi.org/10.1016/j.gloenvcha.2004.04.008</v>
      </c>
      <c r="BG57" s="12" t="s">
        <v>12129</v>
      </c>
      <c r="BH57" s="12" t="s">
        <v>12129</v>
      </c>
      <c r="BI57" s="12">
        <v>14.0</v>
      </c>
      <c r="BJ57" s="12" t="s">
        <v>287</v>
      </c>
      <c r="BK57" s="12" t="s">
        <v>12176</v>
      </c>
      <c r="BL57" s="12" t="s">
        <v>15751</v>
      </c>
      <c r="BM57" s="12" t="s">
        <v>16397</v>
      </c>
      <c r="BN57" s="12" t="s">
        <v>12129</v>
      </c>
      <c r="BO57" s="12" t="s">
        <v>12129</v>
      </c>
      <c r="BP57" s="12" t="s">
        <v>12129</v>
      </c>
      <c r="BQ57" s="12" t="s">
        <v>12129</v>
      </c>
      <c r="BR57" s="12" t="s">
        <v>15851</v>
      </c>
      <c r="BS57" s="12" t="s">
        <v>1137</v>
      </c>
      <c r="BT57" s="12" t="str">
        <f>HYPERLINK("https%3A%2F%2Fwww.webofscience.com%2Fwos%2Fwoscc%2Ffull-record%2FWOS:000223884300006","View Full Record in Web of Science")</f>
        <v>View Full Record in Web of Science</v>
      </c>
    </row>
    <row r="58" ht="12.75" customHeight="1">
      <c r="A58" s="12" t="s">
        <v>23</v>
      </c>
      <c r="B58" s="12" t="s">
        <v>50</v>
      </c>
      <c r="C58" s="12" t="s">
        <v>12129</v>
      </c>
      <c r="D58" s="12" t="s">
        <v>12129</v>
      </c>
      <c r="E58" s="12" t="s">
        <v>12129</v>
      </c>
      <c r="F58" s="12" t="s">
        <v>4437</v>
      </c>
      <c r="G58" s="12" t="s">
        <v>12129</v>
      </c>
      <c r="H58" s="12" t="s">
        <v>12129</v>
      </c>
      <c r="I58" s="12" t="s">
        <v>51</v>
      </c>
      <c r="J58" s="12" t="s">
        <v>52</v>
      </c>
      <c r="K58" s="12" t="s">
        <v>12129</v>
      </c>
      <c r="L58" s="12" t="s">
        <v>12129</v>
      </c>
      <c r="M58" s="12" t="s">
        <v>3263</v>
      </c>
      <c r="N58" s="12" t="s">
        <v>35</v>
      </c>
      <c r="O58" s="12" t="s">
        <v>12129</v>
      </c>
      <c r="P58" s="12" t="s">
        <v>12129</v>
      </c>
      <c r="Q58" s="12" t="s">
        <v>12129</v>
      </c>
      <c r="R58" s="12" t="s">
        <v>12129</v>
      </c>
      <c r="S58" s="12" t="s">
        <v>12129</v>
      </c>
      <c r="T58" s="12" t="s">
        <v>15825</v>
      </c>
      <c r="U58" s="12" t="s">
        <v>15826</v>
      </c>
      <c r="V58" s="12" t="s">
        <v>53</v>
      </c>
      <c r="W58" s="12" t="s">
        <v>16398</v>
      </c>
      <c r="X58" s="12" t="s">
        <v>16399</v>
      </c>
      <c r="Y58" s="12" t="s">
        <v>16400</v>
      </c>
      <c r="Z58" s="12" t="s">
        <v>16401</v>
      </c>
      <c r="AA58" s="12" t="s">
        <v>16402</v>
      </c>
      <c r="AB58" s="12" t="s">
        <v>16403</v>
      </c>
      <c r="AC58" s="12" t="s">
        <v>16404</v>
      </c>
      <c r="AD58" s="12" t="s">
        <v>16405</v>
      </c>
      <c r="AE58" s="12" t="s">
        <v>16406</v>
      </c>
      <c r="AF58" s="12" t="s">
        <v>12129</v>
      </c>
      <c r="AG58" s="12">
        <v>22.0</v>
      </c>
      <c r="AH58" s="12">
        <v>276.0</v>
      </c>
      <c r="AI58" s="12">
        <v>326.0</v>
      </c>
      <c r="AJ58" s="12">
        <v>5.0</v>
      </c>
      <c r="AK58" s="12">
        <v>113.0</v>
      </c>
      <c r="AL58" s="12" t="s">
        <v>14464</v>
      </c>
      <c r="AM58" s="12" t="s">
        <v>12632</v>
      </c>
      <c r="AN58" s="12" t="s">
        <v>14465</v>
      </c>
      <c r="AO58" s="12" t="s">
        <v>4439</v>
      </c>
      <c r="AP58" s="12" t="s">
        <v>16407</v>
      </c>
      <c r="AQ58" s="12" t="s">
        <v>12129</v>
      </c>
      <c r="AR58" s="12" t="s">
        <v>15827</v>
      </c>
      <c r="AS58" s="12" t="s">
        <v>15828</v>
      </c>
      <c r="AT58" s="12" t="s">
        <v>15829</v>
      </c>
      <c r="AU58" s="12">
        <v>2017.0</v>
      </c>
      <c r="AV58" s="12">
        <v>44.0</v>
      </c>
      <c r="AW58" s="12">
        <v>24.0</v>
      </c>
      <c r="AX58" s="12" t="s">
        <v>12129</v>
      </c>
      <c r="AY58" s="12" t="s">
        <v>12129</v>
      </c>
      <c r="AZ58" s="12" t="s">
        <v>12129</v>
      </c>
      <c r="BA58" s="12" t="s">
        <v>12129</v>
      </c>
      <c r="BB58" s="12">
        <v>12457.0</v>
      </c>
      <c r="BC58" s="12">
        <v>12464.0</v>
      </c>
      <c r="BD58" s="12" t="s">
        <v>12129</v>
      </c>
      <c r="BE58" s="12" t="s">
        <v>54</v>
      </c>
      <c r="BF58" s="25" t="str">
        <f>HYPERLINK("http://dx.doi.org/10.1002/2017GL075888","http://dx.doi.org/10.1002/2017GL075888")</f>
        <v>http://dx.doi.org/10.1002/2017GL075888</v>
      </c>
      <c r="BG58" s="12" t="s">
        <v>12129</v>
      </c>
      <c r="BH58" s="12" t="s">
        <v>12129</v>
      </c>
      <c r="BI58" s="12">
        <v>8.0</v>
      </c>
      <c r="BJ58" s="12" t="s">
        <v>56</v>
      </c>
      <c r="BK58" s="12" t="s">
        <v>12176</v>
      </c>
      <c r="BL58" s="12" t="s">
        <v>14257</v>
      </c>
      <c r="BM58" s="12" t="s">
        <v>16408</v>
      </c>
      <c r="BN58" s="12" t="s">
        <v>12129</v>
      </c>
      <c r="BO58" s="12" t="s">
        <v>12378</v>
      </c>
      <c r="BP58" s="12" t="s">
        <v>12129</v>
      </c>
      <c r="BQ58" s="12" t="s">
        <v>12129</v>
      </c>
      <c r="BR58" s="12" t="s">
        <v>15851</v>
      </c>
      <c r="BS58" s="12" t="s">
        <v>57</v>
      </c>
      <c r="BT58" s="12" t="str">
        <f>HYPERLINK("https%3A%2F%2Fwww.webofscience.com%2Fwos%2Fwoscc%2Ffull-record%2FWOS:000422954700032","View Full Record in Web of Science")</f>
        <v>View Full Record in Web of Science</v>
      </c>
    </row>
    <row r="59" ht="12.75" customHeight="1">
      <c r="A59" s="12" t="s">
        <v>23</v>
      </c>
      <c r="B59" s="12" t="s">
        <v>463</v>
      </c>
      <c r="C59" s="12" t="s">
        <v>12129</v>
      </c>
      <c r="D59" s="12" t="s">
        <v>12129</v>
      </c>
      <c r="E59" s="12" t="s">
        <v>12129</v>
      </c>
      <c r="F59" s="12" t="s">
        <v>1794</v>
      </c>
      <c r="G59" s="12" t="s">
        <v>12129</v>
      </c>
      <c r="H59" s="12" t="s">
        <v>12129</v>
      </c>
      <c r="I59" s="12" t="s">
        <v>464</v>
      </c>
      <c r="J59" s="12" t="s">
        <v>465</v>
      </c>
      <c r="K59" s="12" t="s">
        <v>12129</v>
      </c>
      <c r="L59" s="12" t="s">
        <v>12129</v>
      </c>
      <c r="M59" s="12" t="s">
        <v>3263</v>
      </c>
      <c r="N59" s="12" t="s">
        <v>35</v>
      </c>
      <c r="O59" s="12" t="s">
        <v>12129</v>
      </c>
      <c r="P59" s="12" t="s">
        <v>12129</v>
      </c>
      <c r="Q59" s="12" t="s">
        <v>12129</v>
      </c>
      <c r="R59" s="12" t="s">
        <v>12129</v>
      </c>
      <c r="S59" s="12" t="s">
        <v>12129</v>
      </c>
      <c r="T59" s="12" t="s">
        <v>15805</v>
      </c>
      <c r="U59" s="12" t="s">
        <v>15806</v>
      </c>
      <c r="V59" s="12" t="s">
        <v>466</v>
      </c>
      <c r="W59" s="12" t="s">
        <v>16409</v>
      </c>
      <c r="X59" s="12" t="s">
        <v>16410</v>
      </c>
      <c r="Y59" s="12" t="s">
        <v>16411</v>
      </c>
      <c r="Z59" s="12" t="s">
        <v>16412</v>
      </c>
      <c r="AA59" s="12" t="s">
        <v>12129</v>
      </c>
      <c r="AB59" s="12" t="s">
        <v>16413</v>
      </c>
      <c r="AC59" s="12" t="s">
        <v>12129</v>
      </c>
      <c r="AD59" s="12" t="s">
        <v>12129</v>
      </c>
      <c r="AE59" s="12" t="s">
        <v>12129</v>
      </c>
      <c r="AF59" s="12" t="s">
        <v>12129</v>
      </c>
      <c r="AG59" s="12">
        <v>53.0</v>
      </c>
      <c r="AH59" s="12">
        <v>3.0</v>
      </c>
      <c r="AI59" s="12">
        <v>3.0</v>
      </c>
      <c r="AJ59" s="12">
        <v>1.0</v>
      </c>
      <c r="AK59" s="12">
        <v>22.0</v>
      </c>
      <c r="AL59" s="12" t="s">
        <v>15807</v>
      </c>
      <c r="AM59" s="12" t="s">
        <v>13894</v>
      </c>
      <c r="AN59" s="12" t="s">
        <v>13895</v>
      </c>
      <c r="AO59" s="12" t="s">
        <v>13896</v>
      </c>
      <c r="AP59" s="12" t="s">
        <v>13897</v>
      </c>
      <c r="AQ59" s="12" t="s">
        <v>12129</v>
      </c>
      <c r="AR59" s="12" t="s">
        <v>13898</v>
      </c>
      <c r="AS59" s="12" t="s">
        <v>13899</v>
      </c>
      <c r="AT59" s="12" t="s">
        <v>12787</v>
      </c>
      <c r="AU59" s="12">
        <v>2014.0</v>
      </c>
      <c r="AV59" s="12">
        <v>225.0</v>
      </c>
      <c r="AW59" s="12">
        <v>11.0</v>
      </c>
      <c r="AX59" s="12" t="s">
        <v>12129</v>
      </c>
      <c r="AY59" s="12" t="s">
        <v>12129</v>
      </c>
      <c r="AZ59" s="12" t="s">
        <v>12129</v>
      </c>
      <c r="BA59" s="12" t="s">
        <v>12129</v>
      </c>
      <c r="BB59" s="12" t="s">
        <v>12129</v>
      </c>
      <c r="BC59" s="12" t="s">
        <v>12129</v>
      </c>
      <c r="BD59" s="12">
        <v>2186.0</v>
      </c>
      <c r="BE59" s="12" t="s">
        <v>467</v>
      </c>
      <c r="BF59" s="25" t="str">
        <f>HYPERLINK("http://dx.doi.org/10.1007/s11270-014-2186-4","http://dx.doi.org/10.1007/s11270-014-2186-4")</f>
        <v>http://dx.doi.org/10.1007/s11270-014-2186-4</v>
      </c>
      <c r="BG59" s="12" t="s">
        <v>12129</v>
      </c>
      <c r="BH59" s="12" t="s">
        <v>12129</v>
      </c>
      <c r="BI59" s="12">
        <v>13.0</v>
      </c>
      <c r="BJ59" s="12" t="s">
        <v>469</v>
      </c>
      <c r="BK59" s="12" t="s">
        <v>12176</v>
      </c>
      <c r="BL59" s="12" t="s">
        <v>13901</v>
      </c>
      <c r="BM59" s="12" t="s">
        <v>16414</v>
      </c>
      <c r="BN59" s="12" t="s">
        <v>12129</v>
      </c>
      <c r="BO59" s="12" t="s">
        <v>12253</v>
      </c>
      <c r="BP59" s="12" t="s">
        <v>12129</v>
      </c>
      <c r="BQ59" s="12" t="s">
        <v>12129</v>
      </c>
      <c r="BR59" s="12" t="s">
        <v>15851</v>
      </c>
      <c r="BS59" s="12" t="s">
        <v>470</v>
      </c>
      <c r="BT59" s="12" t="str">
        <f>HYPERLINK("https%3A%2F%2Fwww.webofscience.com%2Fwos%2Fwoscc%2Ffull-record%2FWOS:000343913200027","View Full Record in Web of Science")</f>
        <v>View Full Record in Web of Science</v>
      </c>
    </row>
    <row r="60" ht="12.75" customHeight="1">
      <c r="A60" s="12" t="s">
        <v>23</v>
      </c>
      <c r="B60" s="12" t="s">
        <v>534</v>
      </c>
      <c r="C60" s="12" t="s">
        <v>12129</v>
      </c>
      <c r="D60" s="12" t="s">
        <v>12129</v>
      </c>
      <c r="E60" s="12" t="s">
        <v>12129</v>
      </c>
      <c r="F60" s="12" t="s">
        <v>2368</v>
      </c>
      <c r="G60" s="12" t="s">
        <v>12129</v>
      </c>
      <c r="H60" s="12" t="s">
        <v>12129</v>
      </c>
      <c r="I60" s="12" t="s">
        <v>535</v>
      </c>
      <c r="J60" s="12" t="s">
        <v>141</v>
      </c>
      <c r="K60" s="12" t="s">
        <v>12129</v>
      </c>
      <c r="L60" s="12" t="s">
        <v>12129</v>
      </c>
      <c r="M60" s="12" t="s">
        <v>3263</v>
      </c>
      <c r="N60" s="12" t="s">
        <v>35</v>
      </c>
      <c r="O60" s="12" t="s">
        <v>12129</v>
      </c>
      <c r="P60" s="12" t="s">
        <v>12129</v>
      </c>
      <c r="Q60" s="12" t="s">
        <v>12129</v>
      </c>
      <c r="R60" s="12" t="s">
        <v>12129</v>
      </c>
      <c r="S60" s="12" t="s">
        <v>12129</v>
      </c>
      <c r="T60" s="12" t="s">
        <v>15420</v>
      </c>
      <c r="U60" s="12" t="s">
        <v>15421</v>
      </c>
      <c r="V60" s="12" t="s">
        <v>536</v>
      </c>
      <c r="W60" s="12" t="s">
        <v>16415</v>
      </c>
      <c r="X60" s="12" t="s">
        <v>16416</v>
      </c>
      <c r="Y60" s="12" t="s">
        <v>16417</v>
      </c>
      <c r="Z60" s="12" t="s">
        <v>16418</v>
      </c>
      <c r="AA60" s="12" t="s">
        <v>16419</v>
      </c>
      <c r="AB60" s="12" t="s">
        <v>16420</v>
      </c>
      <c r="AC60" s="12" t="s">
        <v>16421</v>
      </c>
      <c r="AD60" s="12" t="s">
        <v>16422</v>
      </c>
      <c r="AE60" s="12" t="s">
        <v>16423</v>
      </c>
      <c r="AF60" s="12" t="s">
        <v>12129</v>
      </c>
      <c r="AG60" s="12">
        <v>51.0</v>
      </c>
      <c r="AH60" s="12">
        <v>22.0</v>
      </c>
      <c r="AI60" s="12">
        <v>24.0</v>
      </c>
      <c r="AJ60" s="12">
        <v>1.0</v>
      </c>
      <c r="AK60" s="12">
        <v>15.0</v>
      </c>
      <c r="AL60" s="12" t="s">
        <v>15416</v>
      </c>
      <c r="AM60" s="12" t="s">
        <v>15417</v>
      </c>
      <c r="AN60" s="12" t="s">
        <v>16424</v>
      </c>
      <c r="AO60" s="12" t="s">
        <v>12129</v>
      </c>
      <c r="AP60" s="12" t="s">
        <v>2163</v>
      </c>
      <c r="AQ60" s="12" t="s">
        <v>12129</v>
      </c>
      <c r="AR60" s="12" t="s">
        <v>15418</v>
      </c>
      <c r="AS60" s="12" t="s">
        <v>15419</v>
      </c>
      <c r="AT60" s="12" t="s">
        <v>12129</v>
      </c>
      <c r="AU60" s="12">
        <v>2014.0</v>
      </c>
      <c r="AV60" s="12">
        <v>1.0</v>
      </c>
      <c r="AW60" s="12" t="s">
        <v>12129</v>
      </c>
      <c r="AX60" s="12" t="s">
        <v>12129</v>
      </c>
      <c r="AY60" s="12" t="s">
        <v>12129</v>
      </c>
      <c r="AZ60" s="12" t="s">
        <v>12129</v>
      </c>
      <c r="BA60" s="12" t="s">
        <v>12129</v>
      </c>
      <c r="BB60" s="12" t="s">
        <v>12129</v>
      </c>
      <c r="BC60" s="12" t="s">
        <v>12129</v>
      </c>
      <c r="BD60" s="12">
        <v>4.0</v>
      </c>
      <c r="BE60" s="12" t="s">
        <v>537</v>
      </c>
      <c r="BF60" s="25" t="str">
        <f>HYPERLINK("http://dx.doi.org/10.3389/fmars.2014.00004","http://dx.doi.org/10.3389/fmars.2014.00004")</f>
        <v>http://dx.doi.org/10.3389/fmars.2014.00004</v>
      </c>
      <c r="BG60" s="12" t="s">
        <v>12129</v>
      </c>
      <c r="BH60" s="12" t="s">
        <v>12129</v>
      </c>
      <c r="BI60" s="12">
        <v>6.0</v>
      </c>
      <c r="BJ60" s="12" t="s">
        <v>145</v>
      </c>
      <c r="BK60" s="12" t="s">
        <v>12176</v>
      </c>
      <c r="BL60" s="12" t="s">
        <v>12303</v>
      </c>
      <c r="BM60" s="12" t="s">
        <v>16425</v>
      </c>
      <c r="BN60" s="12" t="s">
        <v>12129</v>
      </c>
      <c r="BO60" s="12" t="s">
        <v>12179</v>
      </c>
      <c r="BP60" s="12" t="s">
        <v>12129</v>
      </c>
      <c r="BQ60" s="12" t="s">
        <v>12129</v>
      </c>
      <c r="BR60" s="12" t="s">
        <v>15851</v>
      </c>
      <c r="BS60" s="12" t="s">
        <v>539</v>
      </c>
      <c r="BT60" s="12" t="str">
        <f>HYPERLINK("https%3A%2F%2Fwww.webofscience.com%2Fwos%2Fwoscc%2Ffull-record%2FWOS:000485310600004","View Full Record in Web of Science")</f>
        <v>View Full Record in Web of Science</v>
      </c>
    </row>
    <row r="61" ht="12.75" customHeight="1">
      <c r="A61" s="12" t="s">
        <v>23</v>
      </c>
      <c r="B61" s="12" t="s">
        <v>869</v>
      </c>
      <c r="C61" s="12" t="s">
        <v>12129</v>
      </c>
      <c r="D61" s="12" t="s">
        <v>12129</v>
      </c>
      <c r="E61" s="12" t="s">
        <v>12129</v>
      </c>
      <c r="F61" s="12" t="s">
        <v>16426</v>
      </c>
      <c r="G61" s="12" t="s">
        <v>12129</v>
      </c>
      <c r="H61" s="12" t="s">
        <v>12129</v>
      </c>
      <c r="I61" s="12" t="s">
        <v>870</v>
      </c>
      <c r="J61" s="12" t="s">
        <v>871</v>
      </c>
      <c r="K61" s="12" t="s">
        <v>12129</v>
      </c>
      <c r="L61" s="12" t="s">
        <v>12129</v>
      </c>
      <c r="M61" s="12" t="s">
        <v>3263</v>
      </c>
      <c r="N61" s="12" t="s">
        <v>35</v>
      </c>
      <c r="O61" s="12" t="s">
        <v>12129</v>
      </c>
      <c r="P61" s="12" t="s">
        <v>12129</v>
      </c>
      <c r="Q61" s="12" t="s">
        <v>12129</v>
      </c>
      <c r="R61" s="12" t="s">
        <v>12129</v>
      </c>
      <c r="S61" s="12" t="s">
        <v>12129</v>
      </c>
      <c r="T61" s="12" t="s">
        <v>15446</v>
      </c>
      <c r="U61" s="12" t="s">
        <v>15447</v>
      </c>
      <c r="V61" s="12" t="s">
        <v>872</v>
      </c>
      <c r="W61" s="12" t="s">
        <v>16427</v>
      </c>
      <c r="X61" s="12" t="s">
        <v>16428</v>
      </c>
      <c r="Y61" s="12" t="s">
        <v>16429</v>
      </c>
      <c r="Z61" s="12" t="s">
        <v>16430</v>
      </c>
      <c r="AA61" s="12" t="s">
        <v>16431</v>
      </c>
      <c r="AB61" s="12" t="s">
        <v>16432</v>
      </c>
      <c r="AC61" s="12" t="s">
        <v>16433</v>
      </c>
      <c r="AD61" s="12" t="s">
        <v>16434</v>
      </c>
      <c r="AE61" s="12" t="s">
        <v>16435</v>
      </c>
      <c r="AF61" s="12" t="s">
        <v>12129</v>
      </c>
      <c r="AG61" s="12">
        <v>45.0</v>
      </c>
      <c r="AH61" s="12">
        <v>1319.0</v>
      </c>
      <c r="AI61" s="12">
        <v>1455.0</v>
      </c>
      <c r="AJ61" s="12">
        <v>11.0</v>
      </c>
      <c r="AK61" s="12">
        <v>719.0</v>
      </c>
      <c r="AL61" s="12" t="s">
        <v>15448</v>
      </c>
      <c r="AM61" s="12" t="s">
        <v>15449</v>
      </c>
      <c r="AN61" s="12" t="s">
        <v>16436</v>
      </c>
      <c r="AO61" s="12" t="s">
        <v>16437</v>
      </c>
      <c r="AP61" s="12" t="s">
        <v>16438</v>
      </c>
      <c r="AQ61" s="12" t="s">
        <v>12129</v>
      </c>
      <c r="AR61" s="12" t="s">
        <v>15450</v>
      </c>
      <c r="AS61" s="12" t="s">
        <v>15451</v>
      </c>
      <c r="AT61" s="12" t="s">
        <v>12436</v>
      </c>
      <c r="AU61" s="12">
        <v>2010.0</v>
      </c>
      <c r="AV61" s="12">
        <v>118.0</v>
      </c>
      <c r="AW61" s="12">
        <v>6.0</v>
      </c>
      <c r="AX61" s="12" t="s">
        <v>12129</v>
      </c>
      <c r="AY61" s="12" t="s">
        <v>12129</v>
      </c>
      <c r="AZ61" s="12" t="s">
        <v>12129</v>
      </c>
      <c r="BA61" s="12" t="s">
        <v>12129</v>
      </c>
      <c r="BB61" s="12">
        <v>847.0</v>
      </c>
      <c r="BC61" s="12">
        <v>855.0</v>
      </c>
      <c r="BD61" s="12" t="s">
        <v>12129</v>
      </c>
      <c r="BE61" s="12" t="s">
        <v>873</v>
      </c>
      <c r="BF61" s="25" t="str">
        <f>HYPERLINK("http://dx.doi.org/10.1289/ehp.0901623","http://dx.doi.org/10.1289/ehp.0901623")</f>
        <v>http://dx.doi.org/10.1289/ehp.0901623</v>
      </c>
      <c r="BG61" s="12" t="s">
        <v>12129</v>
      </c>
      <c r="BH61" s="12" t="s">
        <v>12129</v>
      </c>
      <c r="BI61" s="12">
        <v>9.0</v>
      </c>
      <c r="BJ61" s="12" t="s">
        <v>875</v>
      </c>
      <c r="BK61" s="12" t="s">
        <v>12176</v>
      </c>
      <c r="BL61" s="12" t="s">
        <v>15452</v>
      </c>
      <c r="BM61" s="12" t="s">
        <v>16439</v>
      </c>
      <c r="BN61" s="12">
        <v>2.0519161E7</v>
      </c>
      <c r="BO61" s="12" t="s">
        <v>12179</v>
      </c>
      <c r="BP61" s="12" t="s">
        <v>12129</v>
      </c>
      <c r="BQ61" s="12" t="s">
        <v>12129</v>
      </c>
      <c r="BR61" s="12" t="s">
        <v>15851</v>
      </c>
      <c r="BS61" s="12" t="s">
        <v>876</v>
      </c>
      <c r="BT61" s="12" t="str">
        <f>HYPERLINK("https%3A%2F%2Fwww.webofscience.com%2Fwos%2Fwoscc%2Ffull-record%2FWOS:000278591300031","View Full Record in Web of Science")</f>
        <v>View Full Record in Web of Science</v>
      </c>
    </row>
    <row r="62" ht="12.75" customHeight="1">
      <c r="A62" s="12" t="s">
        <v>23</v>
      </c>
      <c r="B62" s="12" t="s">
        <v>1106</v>
      </c>
      <c r="C62" s="12" t="s">
        <v>12129</v>
      </c>
      <c r="D62" s="12" t="s">
        <v>12129</v>
      </c>
      <c r="E62" s="12" t="s">
        <v>12129</v>
      </c>
      <c r="F62" s="12" t="s">
        <v>1106</v>
      </c>
      <c r="G62" s="12" t="s">
        <v>12129</v>
      </c>
      <c r="H62" s="12" t="s">
        <v>12129</v>
      </c>
      <c r="I62" s="12" t="s">
        <v>1107</v>
      </c>
      <c r="J62" s="12" t="s">
        <v>1108</v>
      </c>
      <c r="K62" s="12" t="s">
        <v>12129</v>
      </c>
      <c r="L62" s="12" t="s">
        <v>12129</v>
      </c>
      <c r="M62" s="12" t="s">
        <v>3263</v>
      </c>
      <c r="N62" s="12" t="s">
        <v>35</v>
      </c>
      <c r="O62" s="12" t="s">
        <v>12129</v>
      </c>
      <c r="P62" s="12" t="s">
        <v>12129</v>
      </c>
      <c r="Q62" s="12" t="s">
        <v>12129</v>
      </c>
      <c r="R62" s="12" t="s">
        <v>12129</v>
      </c>
      <c r="S62" s="12" t="s">
        <v>12129</v>
      </c>
      <c r="T62" s="12" t="s">
        <v>15683</v>
      </c>
      <c r="U62" s="12" t="s">
        <v>15684</v>
      </c>
      <c r="V62" s="12" t="s">
        <v>1109</v>
      </c>
      <c r="W62" s="12" t="s">
        <v>16440</v>
      </c>
      <c r="X62" s="12" t="s">
        <v>16441</v>
      </c>
      <c r="Y62" s="12" t="s">
        <v>16442</v>
      </c>
      <c r="Z62" s="12" t="s">
        <v>16443</v>
      </c>
      <c r="AA62" s="12" t="s">
        <v>12129</v>
      </c>
      <c r="AB62" s="12" t="s">
        <v>12129</v>
      </c>
      <c r="AC62" s="12" t="s">
        <v>12129</v>
      </c>
      <c r="AD62" s="12" t="s">
        <v>12129</v>
      </c>
      <c r="AE62" s="12" t="s">
        <v>12129</v>
      </c>
      <c r="AF62" s="12" t="s">
        <v>12129</v>
      </c>
      <c r="AG62" s="12">
        <v>46.0</v>
      </c>
      <c r="AH62" s="12">
        <v>626.0</v>
      </c>
      <c r="AI62" s="12">
        <v>763.0</v>
      </c>
      <c r="AJ62" s="12">
        <v>5.0</v>
      </c>
      <c r="AK62" s="12">
        <v>307.0</v>
      </c>
      <c r="AL62" s="12" t="s">
        <v>13472</v>
      </c>
      <c r="AM62" s="12" t="s">
        <v>13473</v>
      </c>
      <c r="AN62" s="12" t="s">
        <v>13474</v>
      </c>
      <c r="AO62" s="12" t="s">
        <v>3644</v>
      </c>
      <c r="AP62" s="12" t="s">
        <v>12129</v>
      </c>
      <c r="AQ62" s="12" t="s">
        <v>12129</v>
      </c>
      <c r="AR62" s="12" t="s">
        <v>15685</v>
      </c>
      <c r="AS62" s="12" t="s">
        <v>15686</v>
      </c>
      <c r="AT62" s="12" t="s">
        <v>12787</v>
      </c>
      <c r="AU62" s="12">
        <v>2004.0</v>
      </c>
      <c r="AV62" s="12">
        <v>59.0</v>
      </c>
      <c r="AW62" s="12">
        <v>3.0</v>
      </c>
      <c r="AX62" s="12" t="s">
        <v>12129</v>
      </c>
      <c r="AY62" s="12" t="s">
        <v>12129</v>
      </c>
      <c r="AZ62" s="12" t="s">
        <v>12129</v>
      </c>
      <c r="BA62" s="12" t="s">
        <v>12129</v>
      </c>
      <c r="BB62" s="12">
        <v>309.0</v>
      </c>
      <c r="BC62" s="12">
        <v>315.0</v>
      </c>
      <c r="BD62" s="12" t="s">
        <v>12129</v>
      </c>
      <c r="BE62" s="12" t="s">
        <v>1110</v>
      </c>
      <c r="BF62" s="25" t="str">
        <f>HYPERLINK("http://dx.doi.org/10.1016/S0147-6513(03)00141-6","http://dx.doi.org/10.1016/S0147-6513(03)00141-6")</f>
        <v>http://dx.doi.org/10.1016/S0147-6513(03)00141-6</v>
      </c>
      <c r="BG62" s="12" t="s">
        <v>12129</v>
      </c>
      <c r="BH62" s="12" t="s">
        <v>12129</v>
      </c>
      <c r="BI62" s="12">
        <v>7.0</v>
      </c>
      <c r="BJ62" s="12" t="s">
        <v>1112</v>
      </c>
      <c r="BK62" s="12" t="s">
        <v>12176</v>
      </c>
      <c r="BL62" s="12" t="s">
        <v>15687</v>
      </c>
      <c r="BM62" s="12" t="s">
        <v>16444</v>
      </c>
      <c r="BN62" s="12">
        <v>1.538827E7</v>
      </c>
      <c r="BO62" s="12" t="s">
        <v>12129</v>
      </c>
      <c r="BP62" s="12" t="s">
        <v>12129</v>
      </c>
      <c r="BQ62" s="12" t="s">
        <v>12129</v>
      </c>
      <c r="BR62" s="12" t="s">
        <v>15851</v>
      </c>
      <c r="BS62" s="12" t="s">
        <v>1113</v>
      </c>
      <c r="BT62" s="12" t="str">
        <f>HYPERLINK("https%3A%2F%2Fwww.webofscience.com%2Fwos%2Fwoscc%2Ffull-record%2FWOS:000224318700004","View Full Record in Web of Science")</f>
        <v>View Full Record in Web of Science</v>
      </c>
    </row>
    <row r="63" ht="12.75" customHeight="1">
      <c r="A63" s="12" t="s">
        <v>23</v>
      </c>
      <c r="B63" s="12" t="s">
        <v>1199</v>
      </c>
      <c r="C63" s="12" t="s">
        <v>12129</v>
      </c>
      <c r="D63" s="12" t="s">
        <v>12129</v>
      </c>
      <c r="E63" s="12" t="s">
        <v>12129</v>
      </c>
      <c r="F63" s="12" t="s">
        <v>1199</v>
      </c>
      <c r="G63" s="12" t="s">
        <v>12129</v>
      </c>
      <c r="H63" s="12" t="s">
        <v>12129</v>
      </c>
      <c r="I63" s="12" t="s">
        <v>1200</v>
      </c>
      <c r="J63" s="12" t="s">
        <v>275</v>
      </c>
      <c r="K63" s="12" t="s">
        <v>12129</v>
      </c>
      <c r="L63" s="12" t="s">
        <v>12129</v>
      </c>
      <c r="M63" s="12" t="s">
        <v>3263</v>
      </c>
      <c r="N63" s="12" t="s">
        <v>35</v>
      </c>
      <c r="O63" s="12" t="s">
        <v>12129</v>
      </c>
      <c r="P63" s="12" t="s">
        <v>12129</v>
      </c>
      <c r="Q63" s="12" t="s">
        <v>12129</v>
      </c>
      <c r="R63" s="12" t="s">
        <v>12129</v>
      </c>
      <c r="S63" s="12" t="s">
        <v>12129</v>
      </c>
      <c r="T63" s="12" t="s">
        <v>12129</v>
      </c>
      <c r="U63" s="12" t="s">
        <v>15651</v>
      </c>
      <c r="V63" s="12" t="s">
        <v>12129</v>
      </c>
      <c r="W63" s="12" t="s">
        <v>16445</v>
      </c>
      <c r="X63" s="12" t="s">
        <v>16446</v>
      </c>
      <c r="Y63" s="12" t="s">
        <v>16447</v>
      </c>
      <c r="Z63" s="12" t="s">
        <v>16448</v>
      </c>
      <c r="AA63" s="12" t="s">
        <v>12129</v>
      </c>
      <c r="AB63" s="12" t="s">
        <v>12129</v>
      </c>
      <c r="AC63" s="12" t="s">
        <v>12129</v>
      </c>
      <c r="AD63" s="12" t="s">
        <v>12129</v>
      </c>
      <c r="AE63" s="12" t="s">
        <v>12129</v>
      </c>
      <c r="AF63" s="12" t="s">
        <v>12129</v>
      </c>
      <c r="AG63" s="12">
        <v>13.0</v>
      </c>
      <c r="AH63" s="12">
        <v>535.0</v>
      </c>
      <c r="AI63" s="12">
        <v>602.0</v>
      </c>
      <c r="AJ63" s="12">
        <v>5.0</v>
      </c>
      <c r="AK63" s="12">
        <v>379.0</v>
      </c>
      <c r="AL63" s="12" t="s">
        <v>12723</v>
      </c>
      <c r="AM63" s="12" t="s">
        <v>12724</v>
      </c>
      <c r="AN63" s="12" t="s">
        <v>12725</v>
      </c>
      <c r="AO63" s="12" t="s">
        <v>1381</v>
      </c>
      <c r="AP63" s="12" t="s">
        <v>7916</v>
      </c>
      <c r="AQ63" s="12" t="s">
        <v>12129</v>
      </c>
      <c r="AR63" s="12" t="s">
        <v>275</v>
      </c>
      <c r="AS63" s="12" t="s">
        <v>1380</v>
      </c>
      <c r="AT63" s="12" t="s">
        <v>15652</v>
      </c>
      <c r="AU63" s="12">
        <v>2002.0</v>
      </c>
      <c r="AV63" s="12">
        <v>416.0</v>
      </c>
      <c r="AW63" s="12">
        <v>6883.0</v>
      </c>
      <c r="AX63" s="12" t="s">
        <v>12129</v>
      </c>
      <c r="AY63" s="12" t="s">
        <v>12129</v>
      </c>
      <c r="AZ63" s="12" t="s">
        <v>12129</v>
      </c>
      <c r="BA63" s="12" t="s">
        <v>12129</v>
      </c>
      <c r="BB63" s="12">
        <v>808.0</v>
      </c>
      <c r="BC63" s="12">
        <v>809.0</v>
      </c>
      <c r="BD63" s="12" t="s">
        <v>12129</v>
      </c>
      <c r="BE63" s="12" t="s">
        <v>1201</v>
      </c>
      <c r="BF63" s="25" t="str">
        <f>HYPERLINK("http://dx.doi.org/10.1038/416808a","http://dx.doi.org/10.1038/416808a")</f>
        <v>http://dx.doi.org/10.1038/416808a</v>
      </c>
      <c r="BG63" s="12" t="s">
        <v>12129</v>
      </c>
      <c r="BH63" s="12" t="s">
        <v>12129</v>
      </c>
      <c r="BI63" s="12">
        <v>2.0</v>
      </c>
      <c r="BJ63" s="12" t="s">
        <v>39</v>
      </c>
      <c r="BK63" s="12" t="s">
        <v>12176</v>
      </c>
      <c r="BL63" s="12" t="s">
        <v>12202</v>
      </c>
      <c r="BM63" s="12" t="s">
        <v>16449</v>
      </c>
      <c r="BN63" s="12">
        <v>1.1976671E7</v>
      </c>
      <c r="BO63" s="12" t="s">
        <v>12129</v>
      </c>
      <c r="BP63" s="12" t="s">
        <v>12129</v>
      </c>
      <c r="BQ63" s="12" t="s">
        <v>12129</v>
      </c>
      <c r="BR63" s="12" t="s">
        <v>15851</v>
      </c>
      <c r="BS63" s="12" t="s">
        <v>1203</v>
      </c>
      <c r="BT63" s="12" t="str">
        <f>HYPERLINK("https%3A%2F%2Fwww.webofscience.com%2Fwos%2Fwoscc%2Ffull-record%2FWOS:000175163800039","View Full Record in Web of Science")</f>
        <v>View Full Record in Web of Science</v>
      </c>
    </row>
    <row r="64" ht="12.75" customHeight="1">
      <c r="A64" s="12" t="s">
        <v>23</v>
      </c>
      <c r="B64" s="12" t="s">
        <v>360</v>
      </c>
      <c r="C64" s="12" t="s">
        <v>12129</v>
      </c>
      <c r="D64" s="12" t="s">
        <v>12129</v>
      </c>
      <c r="E64" s="12" t="s">
        <v>12129</v>
      </c>
      <c r="F64" s="12" t="s">
        <v>16450</v>
      </c>
      <c r="G64" s="12" t="s">
        <v>12129</v>
      </c>
      <c r="H64" s="12" t="s">
        <v>12129</v>
      </c>
      <c r="I64" s="12" t="s">
        <v>361</v>
      </c>
      <c r="J64" s="12" t="s">
        <v>362</v>
      </c>
      <c r="K64" s="12" t="s">
        <v>12129</v>
      </c>
      <c r="L64" s="12" t="s">
        <v>12129</v>
      </c>
      <c r="M64" s="12" t="s">
        <v>3263</v>
      </c>
      <c r="N64" s="12" t="s">
        <v>35</v>
      </c>
      <c r="O64" s="12" t="s">
        <v>12129</v>
      </c>
      <c r="P64" s="12" t="s">
        <v>12129</v>
      </c>
      <c r="Q64" s="12" t="s">
        <v>12129</v>
      </c>
      <c r="R64" s="12" t="s">
        <v>12129</v>
      </c>
      <c r="S64" s="12" t="s">
        <v>12129</v>
      </c>
      <c r="T64" s="12" t="s">
        <v>12129</v>
      </c>
      <c r="U64" s="12" t="s">
        <v>15439</v>
      </c>
      <c r="V64" s="12" t="s">
        <v>363</v>
      </c>
      <c r="W64" s="12" t="s">
        <v>16451</v>
      </c>
      <c r="X64" s="12" t="s">
        <v>16452</v>
      </c>
      <c r="Y64" s="12" t="s">
        <v>16453</v>
      </c>
      <c r="Z64" s="12" t="s">
        <v>16454</v>
      </c>
      <c r="AA64" s="12" t="s">
        <v>16455</v>
      </c>
      <c r="AB64" s="12" t="s">
        <v>16456</v>
      </c>
      <c r="AC64" s="12" t="s">
        <v>16457</v>
      </c>
      <c r="AD64" s="12" t="s">
        <v>16458</v>
      </c>
      <c r="AE64" s="12" t="s">
        <v>16459</v>
      </c>
      <c r="AF64" s="12" t="s">
        <v>12129</v>
      </c>
      <c r="AG64" s="12">
        <v>69.0</v>
      </c>
      <c r="AH64" s="12">
        <v>187.0</v>
      </c>
      <c r="AI64" s="12">
        <v>197.0</v>
      </c>
      <c r="AJ64" s="12">
        <v>0.0</v>
      </c>
      <c r="AK64" s="12">
        <v>71.0</v>
      </c>
      <c r="AL64" s="12" t="s">
        <v>12195</v>
      </c>
      <c r="AM64" s="12" t="s">
        <v>12196</v>
      </c>
      <c r="AN64" s="12" t="s">
        <v>12197</v>
      </c>
      <c r="AO64" s="12" t="s">
        <v>1877</v>
      </c>
      <c r="AP64" s="12" t="s">
        <v>12129</v>
      </c>
      <c r="AQ64" s="12" t="s">
        <v>12129</v>
      </c>
      <c r="AR64" s="12" t="s">
        <v>362</v>
      </c>
      <c r="AS64" s="12" t="s">
        <v>12198</v>
      </c>
      <c r="AT64" s="12" t="s">
        <v>15440</v>
      </c>
      <c r="AU64" s="12">
        <v>2015.0</v>
      </c>
      <c r="AV64" s="12">
        <v>10.0</v>
      </c>
      <c r="AW64" s="12">
        <v>5.0</v>
      </c>
      <c r="AX64" s="12" t="s">
        <v>12129</v>
      </c>
      <c r="AY64" s="12" t="s">
        <v>12129</v>
      </c>
      <c r="AZ64" s="12" t="s">
        <v>12129</v>
      </c>
      <c r="BA64" s="12" t="s">
        <v>12129</v>
      </c>
      <c r="BB64" s="12" t="s">
        <v>12129</v>
      </c>
      <c r="BC64" s="12" t="s">
        <v>12129</v>
      </c>
      <c r="BD64" s="12" t="s">
        <v>5940</v>
      </c>
      <c r="BE64" s="12" t="s">
        <v>364</v>
      </c>
      <c r="BF64" s="25" t="str">
        <f>HYPERLINK("http://dx.doi.org/10.1371/journal.pone.0127533","http://dx.doi.org/10.1371/journal.pone.0127533")</f>
        <v>http://dx.doi.org/10.1371/journal.pone.0127533</v>
      </c>
      <c r="BG64" s="12" t="s">
        <v>12129</v>
      </c>
      <c r="BH64" s="12" t="s">
        <v>12129</v>
      </c>
      <c r="BI64" s="12">
        <v>15.0</v>
      </c>
      <c r="BJ64" s="12" t="s">
        <v>39</v>
      </c>
      <c r="BK64" s="12" t="s">
        <v>12729</v>
      </c>
      <c r="BL64" s="12" t="s">
        <v>12202</v>
      </c>
      <c r="BM64" s="12" t="s">
        <v>16460</v>
      </c>
      <c r="BN64" s="12">
        <v>2.6017777E7</v>
      </c>
      <c r="BO64" s="12" t="s">
        <v>12179</v>
      </c>
      <c r="BP64" s="12" t="s">
        <v>12129</v>
      </c>
      <c r="BQ64" s="12" t="s">
        <v>12129</v>
      </c>
      <c r="BR64" s="12" t="s">
        <v>15851</v>
      </c>
      <c r="BS64" s="12" t="s">
        <v>366</v>
      </c>
      <c r="BT64" s="12" t="str">
        <f>HYPERLINK("https%3A%2F%2Fwww.webofscience.com%2Fwos%2Fwoscc%2Ffull-record%2FWOS:000355185600087","View Full Record in Web of Science")</f>
        <v>View Full Record in Web of Science</v>
      </c>
    </row>
    <row r="65" ht="12.75" customHeight="1">
      <c r="A65" s="12" t="s">
        <v>23</v>
      </c>
      <c r="B65" s="12" t="s">
        <v>502</v>
      </c>
      <c r="C65" s="12" t="s">
        <v>12129</v>
      </c>
      <c r="D65" s="12" t="s">
        <v>12129</v>
      </c>
      <c r="E65" s="12" t="s">
        <v>12129</v>
      </c>
      <c r="F65" s="12" t="s">
        <v>6893</v>
      </c>
      <c r="G65" s="12" t="s">
        <v>12129</v>
      </c>
      <c r="H65" s="12" t="s">
        <v>12129</v>
      </c>
      <c r="I65" s="12" t="s">
        <v>503</v>
      </c>
      <c r="J65" s="12" t="s">
        <v>504</v>
      </c>
      <c r="K65" s="12" t="s">
        <v>12129</v>
      </c>
      <c r="L65" s="12" t="s">
        <v>12129</v>
      </c>
      <c r="M65" s="12" t="s">
        <v>3263</v>
      </c>
      <c r="N65" s="12" t="s">
        <v>35</v>
      </c>
      <c r="O65" s="12" t="s">
        <v>12129</v>
      </c>
      <c r="P65" s="12" t="s">
        <v>12129</v>
      </c>
      <c r="Q65" s="12" t="s">
        <v>12129</v>
      </c>
      <c r="R65" s="12" t="s">
        <v>12129</v>
      </c>
      <c r="S65" s="12" t="s">
        <v>12129</v>
      </c>
      <c r="T65" s="12" t="s">
        <v>12129</v>
      </c>
      <c r="U65" s="12" t="s">
        <v>15668</v>
      </c>
      <c r="V65" s="12" t="s">
        <v>505</v>
      </c>
      <c r="W65" s="12" t="s">
        <v>16461</v>
      </c>
      <c r="X65" s="12" t="s">
        <v>16462</v>
      </c>
      <c r="Y65" s="12" t="s">
        <v>16463</v>
      </c>
      <c r="Z65" s="12" t="s">
        <v>16464</v>
      </c>
      <c r="AA65" s="12" t="s">
        <v>16465</v>
      </c>
      <c r="AB65" s="12" t="s">
        <v>16466</v>
      </c>
      <c r="AC65" s="12" t="s">
        <v>16467</v>
      </c>
      <c r="AD65" s="12" t="s">
        <v>16467</v>
      </c>
      <c r="AE65" s="12" t="s">
        <v>16468</v>
      </c>
      <c r="AF65" s="12" t="s">
        <v>12129</v>
      </c>
      <c r="AG65" s="12">
        <v>52.0</v>
      </c>
      <c r="AH65" s="12">
        <v>306.0</v>
      </c>
      <c r="AI65" s="12">
        <v>327.0</v>
      </c>
      <c r="AJ65" s="12">
        <v>3.0</v>
      </c>
      <c r="AK65" s="12">
        <v>320.0</v>
      </c>
      <c r="AL65" s="12" t="s">
        <v>13028</v>
      </c>
      <c r="AM65" s="12" t="s">
        <v>12632</v>
      </c>
      <c r="AN65" s="12" t="s">
        <v>13029</v>
      </c>
      <c r="AO65" s="12" t="s">
        <v>4563</v>
      </c>
      <c r="AP65" s="12" t="s">
        <v>13030</v>
      </c>
      <c r="AQ65" s="12" t="s">
        <v>12129</v>
      </c>
      <c r="AR65" s="12" t="s">
        <v>13031</v>
      </c>
      <c r="AS65" s="12" t="s">
        <v>13032</v>
      </c>
      <c r="AT65" s="12" t="s">
        <v>15669</v>
      </c>
      <c r="AU65" s="12">
        <v>2014.0</v>
      </c>
      <c r="AV65" s="12">
        <v>48.0</v>
      </c>
      <c r="AW65" s="12">
        <v>10.0</v>
      </c>
      <c r="AX65" s="12" t="s">
        <v>12129</v>
      </c>
      <c r="AY65" s="12" t="s">
        <v>12129</v>
      </c>
      <c r="AZ65" s="12" t="s">
        <v>12129</v>
      </c>
      <c r="BA65" s="12" t="s">
        <v>12129</v>
      </c>
      <c r="BB65" s="12">
        <v>5423.0</v>
      </c>
      <c r="BC65" s="12">
        <v>5432.0</v>
      </c>
      <c r="BD65" s="12" t="s">
        <v>12129</v>
      </c>
      <c r="BE65" s="12" t="s">
        <v>506</v>
      </c>
      <c r="BF65" s="25" t="str">
        <f>HYPERLINK("http://dx.doi.org/10.1021/es500371t","http://dx.doi.org/10.1021/es500371t")</f>
        <v>http://dx.doi.org/10.1021/es500371t</v>
      </c>
      <c r="BG65" s="12" t="s">
        <v>12129</v>
      </c>
      <c r="BH65" s="12" t="s">
        <v>12129</v>
      </c>
      <c r="BI65" s="12">
        <v>10.0</v>
      </c>
      <c r="BJ65" s="12" t="s">
        <v>508</v>
      </c>
      <c r="BK65" s="12" t="s">
        <v>12176</v>
      </c>
      <c r="BL65" s="12" t="s">
        <v>13035</v>
      </c>
      <c r="BM65" s="12" t="s">
        <v>16469</v>
      </c>
      <c r="BN65" s="12">
        <v>2.4821647E7</v>
      </c>
      <c r="BO65" s="12" t="s">
        <v>12253</v>
      </c>
      <c r="BP65" s="12" t="s">
        <v>12129</v>
      </c>
      <c r="BQ65" s="12" t="s">
        <v>12129</v>
      </c>
      <c r="BR65" s="12" t="s">
        <v>15851</v>
      </c>
      <c r="BS65" s="12" t="s">
        <v>509</v>
      </c>
      <c r="BT65" s="12" t="str">
        <f>HYPERLINK("https%3A%2F%2Fwww.webofscience.com%2Fwos%2Fwoscc%2Ffull-record%2FWOS:000336415200011","View Full Record in Web of Science")</f>
        <v>View Full Record in Web of Science</v>
      </c>
    </row>
    <row r="66" ht="12.75" customHeight="1">
      <c r="A66" s="12" t="s">
        <v>23</v>
      </c>
      <c r="B66" s="12" t="s">
        <v>793</v>
      </c>
      <c r="C66" s="12" t="s">
        <v>12129</v>
      </c>
      <c r="D66" s="12" t="s">
        <v>12129</v>
      </c>
      <c r="E66" s="12" t="s">
        <v>12129</v>
      </c>
      <c r="F66" s="12" t="s">
        <v>8171</v>
      </c>
      <c r="G66" s="12" t="s">
        <v>12129</v>
      </c>
      <c r="H66" s="12" t="s">
        <v>12129</v>
      </c>
      <c r="I66" s="12" t="s">
        <v>794</v>
      </c>
      <c r="J66" s="12" t="s">
        <v>795</v>
      </c>
      <c r="K66" s="12" t="s">
        <v>12129</v>
      </c>
      <c r="L66" s="12" t="s">
        <v>12129</v>
      </c>
      <c r="M66" s="12" t="s">
        <v>3263</v>
      </c>
      <c r="N66" s="12" t="s">
        <v>35</v>
      </c>
      <c r="O66" s="12" t="s">
        <v>12129</v>
      </c>
      <c r="P66" s="12" t="s">
        <v>12129</v>
      </c>
      <c r="Q66" s="12" t="s">
        <v>12129</v>
      </c>
      <c r="R66" s="12" t="s">
        <v>12129</v>
      </c>
      <c r="S66" s="12" t="s">
        <v>12129</v>
      </c>
      <c r="T66" s="12" t="s">
        <v>15436</v>
      </c>
      <c r="U66" s="12" t="s">
        <v>15437</v>
      </c>
      <c r="V66" s="12" t="s">
        <v>796</v>
      </c>
      <c r="W66" s="12" t="s">
        <v>16470</v>
      </c>
      <c r="X66" s="12" t="s">
        <v>16471</v>
      </c>
      <c r="Y66" s="12" t="s">
        <v>16472</v>
      </c>
      <c r="Z66" s="12" t="s">
        <v>12129</v>
      </c>
      <c r="AA66" s="12" t="s">
        <v>16473</v>
      </c>
      <c r="AB66" s="12" t="s">
        <v>16474</v>
      </c>
      <c r="AC66" s="12" t="s">
        <v>16475</v>
      </c>
      <c r="AD66" s="12" t="s">
        <v>16476</v>
      </c>
      <c r="AE66" s="12" t="s">
        <v>16477</v>
      </c>
      <c r="AF66" s="12" t="s">
        <v>12129</v>
      </c>
      <c r="AG66" s="12">
        <v>60.0</v>
      </c>
      <c r="AH66" s="12">
        <v>379.0</v>
      </c>
      <c r="AI66" s="12">
        <v>443.0</v>
      </c>
      <c r="AJ66" s="12">
        <v>4.0</v>
      </c>
      <c r="AK66" s="12">
        <v>131.0</v>
      </c>
      <c r="AL66" s="12" t="s">
        <v>15438</v>
      </c>
      <c r="AM66" s="12" t="s">
        <v>12632</v>
      </c>
      <c r="AN66" s="12" t="s">
        <v>16478</v>
      </c>
      <c r="AO66" s="12" t="s">
        <v>2585</v>
      </c>
      <c r="AP66" s="12" t="s">
        <v>12129</v>
      </c>
      <c r="AQ66" s="12" t="s">
        <v>12129</v>
      </c>
      <c r="AR66" s="12" t="s">
        <v>795</v>
      </c>
      <c r="AS66" s="12" t="s">
        <v>6090</v>
      </c>
      <c r="AT66" s="12" t="s">
        <v>12764</v>
      </c>
      <c r="AU66" s="12">
        <v>2010.0</v>
      </c>
      <c r="AV66" s="12">
        <v>60.0</v>
      </c>
      <c r="AW66" s="12">
        <v>11.0</v>
      </c>
      <c r="AX66" s="12" t="s">
        <v>12129</v>
      </c>
      <c r="AY66" s="12" t="s">
        <v>12129</v>
      </c>
      <c r="AZ66" s="12" t="s">
        <v>12129</v>
      </c>
      <c r="BA66" s="12" t="s">
        <v>12129</v>
      </c>
      <c r="BB66" s="12">
        <v>886.0</v>
      </c>
      <c r="BC66" s="12">
        <v>897.0</v>
      </c>
      <c r="BD66" s="12" t="s">
        <v>12129</v>
      </c>
      <c r="BE66" s="12" t="s">
        <v>797</v>
      </c>
      <c r="BF66" s="25" t="str">
        <f>HYPERLINK("http://dx.doi.org/10.1525/bio.2010.60.11.5","http://dx.doi.org/10.1525/bio.2010.60.11.5")</f>
        <v>http://dx.doi.org/10.1525/bio.2010.60.11.5</v>
      </c>
      <c r="BG66" s="12" t="s">
        <v>12129</v>
      </c>
      <c r="BH66" s="12" t="s">
        <v>12129</v>
      </c>
      <c r="BI66" s="12">
        <v>12.0</v>
      </c>
      <c r="BJ66" s="12" t="s">
        <v>185</v>
      </c>
      <c r="BK66" s="12" t="s">
        <v>12176</v>
      </c>
      <c r="BL66" s="12" t="s">
        <v>13772</v>
      </c>
      <c r="BM66" s="12" t="s">
        <v>16479</v>
      </c>
      <c r="BN66" s="12" t="s">
        <v>12129</v>
      </c>
      <c r="BO66" s="12" t="s">
        <v>12129</v>
      </c>
      <c r="BP66" s="12" t="s">
        <v>12129</v>
      </c>
      <c r="BQ66" s="12" t="s">
        <v>12129</v>
      </c>
      <c r="BR66" s="12" t="s">
        <v>15851</v>
      </c>
      <c r="BS66" s="12" t="s">
        <v>799</v>
      </c>
      <c r="BT66" s="12" t="str">
        <f>HYPERLINK("https%3A%2F%2Fwww.webofscience.com%2Fwos%2Fwoscc%2Ffull-record%2FWOS:000285328400005","View Full Record in Web of Science")</f>
        <v>View Full Record in Web of Science</v>
      </c>
    </row>
    <row r="67" ht="12.75" customHeight="1">
      <c r="A67" s="12" t="s">
        <v>23</v>
      </c>
      <c r="B67" s="12" t="s">
        <v>840</v>
      </c>
      <c r="C67" s="12" t="s">
        <v>12129</v>
      </c>
      <c r="D67" s="12" t="s">
        <v>12129</v>
      </c>
      <c r="E67" s="12" t="s">
        <v>12129</v>
      </c>
      <c r="F67" s="12" t="s">
        <v>16480</v>
      </c>
      <c r="G67" s="12" t="s">
        <v>12129</v>
      </c>
      <c r="H67" s="12" t="s">
        <v>12129</v>
      </c>
      <c r="I67" s="12" t="s">
        <v>841</v>
      </c>
      <c r="J67" s="12" t="s">
        <v>34</v>
      </c>
      <c r="K67" s="12" t="s">
        <v>12129</v>
      </c>
      <c r="L67" s="12" t="s">
        <v>12129</v>
      </c>
      <c r="M67" s="12" t="s">
        <v>3263</v>
      </c>
      <c r="N67" s="12" t="s">
        <v>35</v>
      </c>
      <c r="O67" s="12" t="s">
        <v>12129</v>
      </c>
      <c r="P67" s="12" t="s">
        <v>12129</v>
      </c>
      <c r="Q67" s="12" t="s">
        <v>12129</v>
      </c>
      <c r="R67" s="12" t="s">
        <v>12129</v>
      </c>
      <c r="S67" s="12" t="s">
        <v>12129</v>
      </c>
      <c r="T67" s="12" t="s">
        <v>15596</v>
      </c>
      <c r="U67" s="12" t="s">
        <v>15597</v>
      </c>
      <c r="V67" s="12" t="s">
        <v>842</v>
      </c>
      <c r="W67" s="12" t="s">
        <v>16481</v>
      </c>
      <c r="X67" s="12" t="s">
        <v>16482</v>
      </c>
      <c r="Y67" s="12" t="s">
        <v>16483</v>
      </c>
      <c r="Z67" s="12" t="s">
        <v>16484</v>
      </c>
      <c r="AA67" s="12" t="s">
        <v>16485</v>
      </c>
      <c r="AB67" s="12" t="s">
        <v>16486</v>
      </c>
      <c r="AC67" s="12" t="s">
        <v>16487</v>
      </c>
      <c r="AD67" s="12" t="s">
        <v>16488</v>
      </c>
      <c r="AE67" s="12" t="s">
        <v>16489</v>
      </c>
      <c r="AF67" s="12" t="s">
        <v>12129</v>
      </c>
      <c r="AG67" s="12">
        <v>56.0</v>
      </c>
      <c r="AH67" s="12">
        <v>224.0</v>
      </c>
      <c r="AI67" s="12">
        <v>260.0</v>
      </c>
      <c r="AJ67" s="12">
        <v>0.0</v>
      </c>
      <c r="AK67" s="12">
        <v>108.0</v>
      </c>
      <c r="AL67" s="12" t="s">
        <v>12631</v>
      </c>
      <c r="AM67" s="12" t="s">
        <v>12632</v>
      </c>
      <c r="AN67" s="12" t="s">
        <v>12633</v>
      </c>
      <c r="AO67" s="12" t="s">
        <v>1689</v>
      </c>
      <c r="AP67" s="12" t="s">
        <v>3248</v>
      </c>
      <c r="AQ67" s="12" t="s">
        <v>12129</v>
      </c>
      <c r="AR67" s="12" t="s">
        <v>12634</v>
      </c>
      <c r="AS67" s="12" t="s">
        <v>12635</v>
      </c>
      <c r="AT67" s="12" t="s">
        <v>15598</v>
      </c>
      <c r="AU67" s="12">
        <v>2010.0</v>
      </c>
      <c r="AV67" s="12">
        <v>107.0</v>
      </c>
      <c r="AW67" s="12">
        <v>33.0</v>
      </c>
      <c r="AX67" s="12" t="s">
        <v>12129</v>
      </c>
      <c r="AY67" s="12" t="s">
        <v>12129</v>
      </c>
      <c r="AZ67" s="12" t="s">
        <v>12129</v>
      </c>
      <c r="BA67" s="12" t="s">
        <v>12129</v>
      </c>
      <c r="BB67" s="12">
        <v>14556.0</v>
      </c>
      <c r="BC67" s="12">
        <v>14561.0</v>
      </c>
      <c r="BD67" s="12" t="s">
        <v>12129</v>
      </c>
      <c r="BE67" s="12" t="s">
        <v>843</v>
      </c>
      <c r="BF67" s="25" t="str">
        <f>HYPERLINK("http://dx.doi.org/10.1073/pnas.0914471107","http://dx.doi.org/10.1073/pnas.0914471107")</f>
        <v>http://dx.doi.org/10.1073/pnas.0914471107</v>
      </c>
      <c r="BG67" s="12" t="s">
        <v>12129</v>
      </c>
      <c r="BH67" s="12" t="s">
        <v>12129</v>
      </c>
      <c r="BI67" s="12">
        <v>6.0</v>
      </c>
      <c r="BJ67" s="12" t="s">
        <v>39</v>
      </c>
      <c r="BK67" s="12" t="s">
        <v>12729</v>
      </c>
      <c r="BL67" s="12" t="s">
        <v>12202</v>
      </c>
      <c r="BM67" s="12" t="s">
        <v>16490</v>
      </c>
      <c r="BN67" s="12">
        <v>2.06792E7</v>
      </c>
      <c r="BO67" s="12" t="s">
        <v>12253</v>
      </c>
      <c r="BP67" s="12" t="s">
        <v>12129</v>
      </c>
      <c r="BQ67" s="12" t="s">
        <v>12129</v>
      </c>
      <c r="BR67" s="12" t="s">
        <v>15851</v>
      </c>
      <c r="BS67" s="12" t="s">
        <v>845</v>
      </c>
      <c r="BT67" s="12" t="str">
        <f>HYPERLINK("https%3A%2F%2Fwww.webofscience.com%2Fwos%2Fwoscc%2Ffull-record%2FWOS:000281287600010","View Full Record in Web of Science")</f>
        <v>View Full Record in Web of Science</v>
      </c>
    </row>
    <row r="68" ht="12.75" customHeight="1">
      <c r="A68" s="12" t="s">
        <v>23</v>
      </c>
      <c r="B68" s="12" t="s">
        <v>1067</v>
      </c>
      <c r="C68" s="12" t="s">
        <v>12129</v>
      </c>
      <c r="D68" s="12" t="s">
        <v>12129</v>
      </c>
      <c r="E68" s="12" t="s">
        <v>12129</v>
      </c>
      <c r="F68" s="12" t="s">
        <v>6605</v>
      </c>
      <c r="G68" s="12" t="s">
        <v>12129</v>
      </c>
      <c r="H68" s="12" t="s">
        <v>12129</v>
      </c>
      <c r="I68" s="12" t="s">
        <v>1068</v>
      </c>
      <c r="J68" s="12" t="s">
        <v>1069</v>
      </c>
      <c r="K68" s="12" t="s">
        <v>12129</v>
      </c>
      <c r="L68" s="12" t="s">
        <v>12129</v>
      </c>
      <c r="M68" s="12" t="s">
        <v>3263</v>
      </c>
      <c r="N68" s="12" t="s">
        <v>266</v>
      </c>
      <c r="O68" s="12" t="s">
        <v>16491</v>
      </c>
      <c r="P68" s="12" t="s">
        <v>16492</v>
      </c>
      <c r="Q68" s="12" t="s">
        <v>16493</v>
      </c>
      <c r="R68" s="12" t="s">
        <v>12129</v>
      </c>
      <c r="S68" s="12" t="s">
        <v>16494</v>
      </c>
      <c r="T68" s="12" t="s">
        <v>15543</v>
      </c>
      <c r="U68" s="12" t="s">
        <v>15544</v>
      </c>
      <c r="V68" s="12" t="s">
        <v>1070</v>
      </c>
      <c r="W68" s="12" t="s">
        <v>16495</v>
      </c>
      <c r="X68" s="12" t="s">
        <v>16496</v>
      </c>
      <c r="Y68" s="12" t="s">
        <v>16497</v>
      </c>
      <c r="Z68" s="12" t="s">
        <v>16498</v>
      </c>
      <c r="AA68" s="12" t="s">
        <v>16499</v>
      </c>
      <c r="AB68" s="12" t="s">
        <v>16500</v>
      </c>
      <c r="AC68" s="12" t="s">
        <v>12129</v>
      </c>
      <c r="AD68" s="12" t="s">
        <v>12129</v>
      </c>
      <c r="AE68" s="12" t="s">
        <v>12129</v>
      </c>
      <c r="AF68" s="12" t="s">
        <v>12129</v>
      </c>
      <c r="AG68" s="12">
        <v>60.0</v>
      </c>
      <c r="AH68" s="12">
        <v>122.0</v>
      </c>
      <c r="AI68" s="12">
        <v>139.0</v>
      </c>
      <c r="AJ68" s="12">
        <v>2.0</v>
      </c>
      <c r="AK68" s="12">
        <v>71.0</v>
      </c>
      <c r="AL68" s="12" t="s">
        <v>14600</v>
      </c>
      <c r="AM68" s="12" t="s">
        <v>12170</v>
      </c>
      <c r="AN68" s="12" t="s">
        <v>14601</v>
      </c>
      <c r="AO68" s="12" t="s">
        <v>16501</v>
      </c>
      <c r="AP68" s="12" t="s">
        <v>16502</v>
      </c>
      <c r="AQ68" s="12" t="s">
        <v>12129</v>
      </c>
      <c r="AR68" s="12" t="s">
        <v>15545</v>
      </c>
      <c r="AS68" s="12" t="s">
        <v>15546</v>
      </c>
      <c r="AT68" s="12" t="s">
        <v>12275</v>
      </c>
      <c r="AU68" s="12">
        <v>2006.0</v>
      </c>
      <c r="AV68" s="12">
        <v>364.0</v>
      </c>
      <c r="AW68" s="12">
        <v>1845.0</v>
      </c>
      <c r="AX68" s="12" t="s">
        <v>12129</v>
      </c>
      <c r="AY68" s="12" t="s">
        <v>12129</v>
      </c>
      <c r="AZ68" s="12" t="s">
        <v>12129</v>
      </c>
      <c r="BA68" s="12" t="s">
        <v>12129</v>
      </c>
      <c r="BB68" s="12">
        <v>2117.0</v>
      </c>
      <c r="BC68" s="12">
        <v>2133.0</v>
      </c>
      <c r="BD68" s="12" t="s">
        <v>12129</v>
      </c>
      <c r="BE68" s="12" t="s">
        <v>1071</v>
      </c>
      <c r="BF68" s="25" t="str">
        <f>HYPERLINK("http://dx.doi.org/10.1098/rsta.2006.1816","http://dx.doi.org/10.1098/rsta.2006.1816")</f>
        <v>http://dx.doi.org/10.1098/rsta.2006.1816</v>
      </c>
      <c r="BG68" s="12" t="s">
        <v>12129</v>
      </c>
      <c r="BH68" s="12" t="s">
        <v>12129</v>
      </c>
      <c r="BI68" s="12">
        <v>17.0</v>
      </c>
      <c r="BJ68" s="12" t="s">
        <v>39</v>
      </c>
      <c r="BK68" s="12" t="s">
        <v>14627</v>
      </c>
      <c r="BL68" s="12" t="s">
        <v>12202</v>
      </c>
      <c r="BM68" s="12" t="s">
        <v>16503</v>
      </c>
      <c r="BN68" s="12">
        <v>1.6844651E7</v>
      </c>
      <c r="BO68" s="12" t="s">
        <v>12129</v>
      </c>
      <c r="BP68" s="12" t="s">
        <v>12129</v>
      </c>
      <c r="BQ68" s="12" t="s">
        <v>12129</v>
      </c>
      <c r="BR68" s="12" t="s">
        <v>15851</v>
      </c>
      <c r="BS68" s="12" t="s">
        <v>1073</v>
      </c>
      <c r="BT68" s="12" t="str">
        <f>HYPERLINK("https%3A%2F%2Fwww.webofscience.com%2Fwos%2Fwoscc%2Ffull-record%2FWOS:000239923700016","View Full Record in Web of Science")</f>
        <v>View Full Record in Web of Science</v>
      </c>
    </row>
    <row r="69" ht="12.75" customHeight="1">
      <c r="A69" s="12" t="s">
        <v>23</v>
      </c>
      <c r="B69" s="12" t="s">
        <v>1139</v>
      </c>
      <c r="C69" s="12" t="s">
        <v>12129</v>
      </c>
      <c r="D69" s="12" t="s">
        <v>12129</v>
      </c>
      <c r="E69" s="12" t="s">
        <v>12129</v>
      </c>
      <c r="F69" s="12" t="s">
        <v>1139</v>
      </c>
      <c r="G69" s="12" t="s">
        <v>12129</v>
      </c>
      <c r="H69" s="12" t="s">
        <v>12129</v>
      </c>
      <c r="I69" s="12" t="s">
        <v>1140</v>
      </c>
      <c r="J69" s="12" t="s">
        <v>324</v>
      </c>
      <c r="K69" s="12" t="s">
        <v>12129</v>
      </c>
      <c r="L69" s="12" t="s">
        <v>12129</v>
      </c>
      <c r="M69" s="12" t="s">
        <v>3263</v>
      </c>
      <c r="N69" s="12" t="s">
        <v>35</v>
      </c>
      <c r="O69" s="12" t="s">
        <v>12129</v>
      </c>
      <c r="P69" s="12" t="s">
        <v>12129</v>
      </c>
      <c r="Q69" s="12" t="s">
        <v>12129</v>
      </c>
      <c r="R69" s="12" t="s">
        <v>12129</v>
      </c>
      <c r="S69" s="12" t="s">
        <v>12129</v>
      </c>
      <c r="T69" s="12" t="s">
        <v>12129</v>
      </c>
      <c r="U69" s="12" t="s">
        <v>15506</v>
      </c>
      <c r="V69" s="12" t="s">
        <v>1141</v>
      </c>
      <c r="W69" s="12" t="s">
        <v>16504</v>
      </c>
      <c r="X69" s="12" t="s">
        <v>16505</v>
      </c>
      <c r="Y69" s="12" t="s">
        <v>16506</v>
      </c>
      <c r="Z69" s="12" t="s">
        <v>16507</v>
      </c>
      <c r="AA69" s="12" t="s">
        <v>16508</v>
      </c>
      <c r="AB69" s="12" t="s">
        <v>16509</v>
      </c>
      <c r="AC69" s="12" t="s">
        <v>12129</v>
      </c>
      <c r="AD69" s="12" t="s">
        <v>12129</v>
      </c>
      <c r="AE69" s="12" t="s">
        <v>12129</v>
      </c>
      <c r="AF69" s="12" t="s">
        <v>12129</v>
      </c>
      <c r="AG69" s="12">
        <v>51.0</v>
      </c>
      <c r="AH69" s="12">
        <v>1770.0</v>
      </c>
      <c r="AI69" s="12">
        <v>2101.0</v>
      </c>
      <c r="AJ69" s="12">
        <v>8.0</v>
      </c>
      <c r="AK69" s="12">
        <v>1323.0</v>
      </c>
      <c r="AL69" s="12" t="s">
        <v>15485</v>
      </c>
      <c r="AM69" s="12" t="s">
        <v>12632</v>
      </c>
      <c r="AN69" s="12" t="s">
        <v>15872</v>
      </c>
      <c r="AO69" s="12" t="s">
        <v>1511</v>
      </c>
      <c r="AP69" s="12" t="s">
        <v>1917</v>
      </c>
      <c r="AQ69" s="12" t="s">
        <v>12129</v>
      </c>
      <c r="AR69" s="12" t="s">
        <v>324</v>
      </c>
      <c r="AS69" s="12" t="s">
        <v>1510</v>
      </c>
      <c r="AT69" s="12" t="s">
        <v>15507</v>
      </c>
      <c r="AU69" s="12">
        <v>2004.0</v>
      </c>
      <c r="AV69" s="12">
        <v>305.0</v>
      </c>
      <c r="AW69" s="12">
        <v>5682.0</v>
      </c>
      <c r="AX69" s="12" t="s">
        <v>12129</v>
      </c>
      <c r="AY69" s="12" t="s">
        <v>12129</v>
      </c>
      <c r="AZ69" s="12" t="s">
        <v>12129</v>
      </c>
      <c r="BA69" s="12" t="s">
        <v>12129</v>
      </c>
      <c r="BB69" s="12">
        <v>362.0</v>
      </c>
      <c r="BC69" s="12">
        <v>366.0</v>
      </c>
      <c r="BD69" s="12" t="s">
        <v>12129</v>
      </c>
      <c r="BE69" s="12" t="s">
        <v>1142</v>
      </c>
      <c r="BF69" s="25" t="str">
        <f>HYPERLINK("http://dx.doi.org/10.1126/science.1097329","http://dx.doi.org/10.1126/science.1097329")</f>
        <v>http://dx.doi.org/10.1126/science.1097329</v>
      </c>
      <c r="BG69" s="12" t="s">
        <v>12129</v>
      </c>
      <c r="BH69" s="12" t="s">
        <v>12129</v>
      </c>
      <c r="BI69" s="12">
        <v>5.0</v>
      </c>
      <c r="BJ69" s="12" t="s">
        <v>39</v>
      </c>
      <c r="BK69" s="12" t="s">
        <v>12176</v>
      </c>
      <c r="BL69" s="12" t="s">
        <v>12202</v>
      </c>
      <c r="BM69" s="12" t="s">
        <v>16510</v>
      </c>
      <c r="BN69" s="12">
        <v>1.5256664E7</v>
      </c>
      <c r="BO69" s="12" t="s">
        <v>12129</v>
      </c>
      <c r="BP69" s="12" t="s">
        <v>12129</v>
      </c>
      <c r="BQ69" s="12" t="s">
        <v>12129</v>
      </c>
      <c r="BR69" s="12" t="s">
        <v>15851</v>
      </c>
      <c r="BS69" s="12" t="s">
        <v>1144</v>
      </c>
      <c r="BT69" s="12" t="str">
        <f>HYPERLINK("https%3A%2F%2Fwww.webofscience.com%2Fwos%2Fwoscc%2Ffull-record%2FWOS:000222662400029","View Full Record in Web of Science")</f>
        <v>View Full Record in Web of Science</v>
      </c>
    </row>
    <row r="70" ht="12.75" customHeight="1">
      <c r="A70" s="12" t="s">
        <v>23</v>
      </c>
      <c r="B70" s="12" t="s">
        <v>407</v>
      </c>
      <c r="C70" s="12" t="s">
        <v>12129</v>
      </c>
      <c r="D70" s="12" t="s">
        <v>12129</v>
      </c>
      <c r="E70" s="12" t="s">
        <v>12129</v>
      </c>
      <c r="F70" s="12" t="s">
        <v>11289</v>
      </c>
      <c r="G70" s="12" t="s">
        <v>12129</v>
      </c>
      <c r="H70" s="12" t="s">
        <v>12129</v>
      </c>
      <c r="I70" s="12" t="s">
        <v>408</v>
      </c>
      <c r="J70" s="12" t="s">
        <v>324</v>
      </c>
      <c r="K70" s="12" t="s">
        <v>12129</v>
      </c>
      <c r="L70" s="12" t="s">
        <v>12129</v>
      </c>
      <c r="M70" s="12" t="s">
        <v>3263</v>
      </c>
      <c r="N70" s="12" t="s">
        <v>35</v>
      </c>
      <c r="O70" s="12" t="s">
        <v>12129</v>
      </c>
      <c r="P70" s="12" t="s">
        <v>12129</v>
      </c>
      <c r="Q70" s="12" t="s">
        <v>12129</v>
      </c>
      <c r="R70" s="12" t="s">
        <v>12129</v>
      </c>
      <c r="S70" s="12" t="s">
        <v>12129</v>
      </c>
      <c r="T70" s="12" t="s">
        <v>12129</v>
      </c>
      <c r="U70" s="12" t="s">
        <v>15489</v>
      </c>
      <c r="V70" s="12" t="s">
        <v>409</v>
      </c>
      <c r="W70" s="12" t="s">
        <v>16511</v>
      </c>
      <c r="X70" s="12" t="s">
        <v>16512</v>
      </c>
      <c r="Y70" s="12" t="s">
        <v>16513</v>
      </c>
      <c r="Z70" s="12" t="s">
        <v>16514</v>
      </c>
      <c r="AA70" s="12" t="s">
        <v>16515</v>
      </c>
      <c r="AB70" s="12" t="s">
        <v>16516</v>
      </c>
      <c r="AC70" s="12" t="s">
        <v>16517</v>
      </c>
      <c r="AD70" s="12" t="s">
        <v>16517</v>
      </c>
      <c r="AE70" s="12" t="s">
        <v>16518</v>
      </c>
      <c r="AF70" s="12" t="s">
        <v>12129</v>
      </c>
      <c r="AG70" s="12">
        <v>21.0</v>
      </c>
      <c r="AH70" s="12">
        <v>8524.0</v>
      </c>
      <c r="AI70" s="12">
        <v>10190.0</v>
      </c>
      <c r="AJ70" s="12">
        <v>269.0</v>
      </c>
      <c r="AK70" s="12">
        <v>5303.0</v>
      </c>
      <c r="AL70" s="12" t="s">
        <v>15485</v>
      </c>
      <c r="AM70" s="12" t="s">
        <v>12632</v>
      </c>
      <c r="AN70" s="12" t="s">
        <v>15872</v>
      </c>
      <c r="AO70" s="12" t="s">
        <v>1511</v>
      </c>
      <c r="AP70" s="12" t="s">
        <v>1917</v>
      </c>
      <c r="AQ70" s="12" t="s">
        <v>12129</v>
      </c>
      <c r="AR70" s="12" t="s">
        <v>324</v>
      </c>
      <c r="AS70" s="12" t="s">
        <v>1510</v>
      </c>
      <c r="AT70" s="12" t="s">
        <v>15490</v>
      </c>
      <c r="AU70" s="12">
        <v>2015.0</v>
      </c>
      <c r="AV70" s="12">
        <v>347.0</v>
      </c>
      <c r="AW70" s="12">
        <v>6223.0</v>
      </c>
      <c r="AX70" s="12" t="s">
        <v>12129</v>
      </c>
      <c r="AY70" s="12" t="s">
        <v>12129</v>
      </c>
      <c r="AZ70" s="12" t="s">
        <v>12129</v>
      </c>
      <c r="BA70" s="12" t="s">
        <v>12129</v>
      </c>
      <c r="BB70" s="12">
        <v>768.0</v>
      </c>
      <c r="BC70" s="12">
        <v>771.0</v>
      </c>
      <c r="BD70" s="12" t="s">
        <v>12129</v>
      </c>
      <c r="BE70" s="12" t="s">
        <v>410</v>
      </c>
      <c r="BF70" s="25" t="str">
        <f>HYPERLINK("http://dx.doi.org/10.1126/science.1260352","http://dx.doi.org/10.1126/science.1260352")</f>
        <v>http://dx.doi.org/10.1126/science.1260352</v>
      </c>
      <c r="BG70" s="12" t="s">
        <v>12129</v>
      </c>
      <c r="BH70" s="12" t="s">
        <v>12129</v>
      </c>
      <c r="BI70" s="12">
        <v>4.0</v>
      </c>
      <c r="BJ70" s="12" t="s">
        <v>39</v>
      </c>
      <c r="BK70" s="12" t="s">
        <v>12176</v>
      </c>
      <c r="BL70" s="12" t="s">
        <v>12202</v>
      </c>
      <c r="BM70" s="12" t="s">
        <v>16519</v>
      </c>
      <c r="BN70" s="12">
        <v>2.5678662E7</v>
      </c>
      <c r="BO70" s="12" t="s">
        <v>12129</v>
      </c>
      <c r="BP70" s="12" t="s">
        <v>12129</v>
      </c>
      <c r="BQ70" s="12" t="s">
        <v>12129</v>
      </c>
      <c r="BR70" s="12" t="s">
        <v>15851</v>
      </c>
      <c r="BS70" s="12" t="s">
        <v>412</v>
      </c>
      <c r="BT70" s="12" t="str">
        <f>HYPERLINK("https%3A%2F%2Fwww.webofscience.com%2Fwos%2Fwoscc%2Ffull-record%2FWOS:000349221300047","View Full Record in Web of Science")</f>
        <v>View Full Record in Web of Science</v>
      </c>
    </row>
    <row r="71" ht="12.75" customHeight="1">
      <c r="A71" s="12" t="s">
        <v>23</v>
      </c>
      <c r="B71" s="12" t="s">
        <v>481</v>
      </c>
      <c r="C71" s="12" t="s">
        <v>12129</v>
      </c>
      <c r="D71" s="12" t="s">
        <v>12129</v>
      </c>
      <c r="E71" s="12" t="s">
        <v>12129</v>
      </c>
      <c r="F71" s="12" t="s">
        <v>16520</v>
      </c>
      <c r="G71" s="12" t="s">
        <v>12129</v>
      </c>
      <c r="H71" s="12" t="s">
        <v>12129</v>
      </c>
      <c r="I71" s="12" t="s">
        <v>482</v>
      </c>
      <c r="J71" s="12" t="s">
        <v>34</v>
      </c>
      <c r="K71" s="12" t="s">
        <v>12129</v>
      </c>
      <c r="L71" s="12" t="s">
        <v>12129</v>
      </c>
      <c r="M71" s="12" t="s">
        <v>3263</v>
      </c>
      <c r="N71" s="12" t="s">
        <v>35</v>
      </c>
      <c r="O71" s="12" t="s">
        <v>12129</v>
      </c>
      <c r="P71" s="12" t="s">
        <v>12129</v>
      </c>
      <c r="Q71" s="12" t="s">
        <v>12129</v>
      </c>
      <c r="R71" s="12" t="s">
        <v>12129</v>
      </c>
      <c r="S71" s="12" t="s">
        <v>12129</v>
      </c>
      <c r="T71" s="12" t="s">
        <v>15580</v>
      </c>
      <c r="U71" s="12" t="s">
        <v>15581</v>
      </c>
      <c r="V71" s="12" t="s">
        <v>483</v>
      </c>
      <c r="W71" s="12" t="s">
        <v>16521</v>
      </c>
      <c r="X71" s="12" t="s">
        <v>16522</v>
      </c>
      <c r="Y71" s="12" t="s">
        <v>16523</v>
      </c>
      <c r="Z71" s="12" t="s">
        <v>16524</v>
      </c>
      <c r="AA71" s="12" t="s">
        <v>16525</v>
      </c>
      <c r="AB71" s="12" t="s">
        <v>16526</v>
      </c>
      <c r="AC71" s="12" t="s">
        <v>16527</v>
      </c>
      <c r="AD71" s="12" t="s">
        <v>16528</v>
      </c>
      <c r="AE71" s="12" t="s">
        <v>16529</v>
      </c>
      <c r="AF71" s="12" t="s">
        <v>12129</v>
      </c>
      <c r="AG71" s="12">
        <v>42.0</v>
      </c>
      <c r="AH71" s="12">
        <v>617.0</v>
      </c>
      <c r="AI71" s="12">
        <v>676.0</v>
      </c>
      <c r="AJ71" s="12">
        <v>13.0</v>
      </c>
      <c r="AK71" s="12">
        <v>527.0</v>
      </c>
      <c r="AL71" s="12" t="s">
        <v>12631</v>
      </c>
      <c r="AM71" s="12" t="s">
        <v>12632</v>
      </c>
      <c r="AN71" s="12" t="s">
        <v>12633</v>
      </c>
      <c r="AO71" s="12" t="s">
        <v>1689</v>
      </c>
      <c r="AP71" s="12" t="s">
        <v>3248</v>
      </c>
      <c r="AQ71" s="12" t="s">
        <v>12129</v>
      </c>
      <c r="AR71" s="12" t="s">
        <v>12634</v>
      </c>
      <c r="AS71" s="12" t="s">
        <v>12635</v>
      </c>
      <c r="AT71" s="12" t="s">
        <v>12935</v>
      </c>
      <c r="AU71" s="12">
        <v>2014.0</v>
      </c>
      <c r="AV71" s="12">
        <v>111.0</v>
      </c>
      <c r="AW71" s="12">
        <v>26.0</v>
      </c>
      <c r="AX71" s="12" t="s">
        <v>12129</v>
      </c>
      <c r="AY71" s="12" t="s">
        <v>12129</v>
      </c>
      <c r="AZ71" s="12" t="s">
        <v>12129</v>
      </c>
      <c r="BA71" s="12" t="s">
        <v>12129</v>
      </c>
      <c r="BB71" s="12">
        <v>9549.0</v>
      </c>
      <c r="BC71" s="12">
        <v>9554.0</v>
      </c>
      <c r="BD71" s="12" t="s">
        <v>12129</v>
      </c>
      <c r="BE71" s="12" t="s">
        <v>484</v>
      </c>
      <c r="BF71" s="25" t="str">
        <f>HYPERLINK("http://dx.doi.org/10.1073/pnas.1321082111","http://dx.doi.org/10.1073/pnas.1321082111")</f>
        <v>http://dx.doi.org/10.1073/pnas.1321082111</v>
      </c>
      <c r="BG71" s="12" t="s">
        <v>12129</v>
      </c>
      <c r="BH71" s="12" t="s">
        <v>12129</v>
      </c>
      <c r="BI71" s="12">
        <v>6.0</v>
      </c>
      <c r="BJ71" s="12" t="s">
        <v>39</v>
      </c>
      <c r="BK71" s="12" t="s">
        <v>12176</v>
      </c>
      <c r="BL71" s="12" t="s">
        <v>12202</v>
      </c>
      <c r="BM71" s="12" t="s">
        <v>16530</v>
      </c>
      <c r="BN71" s="12">
        <v>2.4979762E7</v>
      </c>
      <c r="BO71" s="12" t="s">
        <v>12253</v>
      </c>
      <c r="BP71" s="12" t="s">
        <v>12129</v>
      </c>
      <c r="BQ71" s="12" t="s">
        <v>12129</v>
      </c>
      <c r="BR71" s="12" t="s">
        <v>15851</v>
      </c>
      <c r="BS71" s="12" t="s">
        <v>486</v>
      </c>
      <c r="BT71" s="12" t="str">
        <f>HYPERLINK("https%3A%2F%2Fwww.webofscience.com%2Fwos%2Fwoscc%2Ffull-record%2FWOS:000338118900055","View Full Record in Web of Science")</f>
        <v>View Full Record in Web of Science</v>
      </c>
    </row>
    <row r="72" ht="12.75" customHeight="1">
      <c r="A72" s="12" t="s">
        <v>23</v>
      </c>
      <c r="B72" s="12" t="s">
        <v>944</v>
      </c>
      <c r="C72" s="12" t="s">
        <v>12129</v>
      </c>
      <c r="D72" s="12" t="s">
        <v>12129</v>
      </c>
      <c r="E72" s="12" t="s">
        <v>12129</v>
      </c>
      <c r="F72" s="12" t="s">
        <v>3847</v>
      </c>
      <c r="G72" s="12" t="s">
        <v>12129</v>
      </c>
      <c r="H72" s="12" t="s">
        <v>12129</v>
      </c>
      <c r="I72" s="12" t="s">
        <v>945</v>
      </c>
      <c r="J72" s="12" t="s">
        <v>946</v>
      </c>
      <c r="K72" s="12" t="s">
        <v>12129</v>
      </c>
      <c r="L72" s="12" t="s">
        <v>12129</v>
      </c>
      <c r="M72" s="12" t="s">
        <v>3263</v>
      </c>
      <c r="N72" s="12" t="s">
        <v>35</v>
      </c>
      <c r="O72" s="12" t="s">
        <v>12129</v>
      </c>
      <c r="P72" s="12" t="s">
        <v>12129</v>
      </c>
      <c r="Q72" s="12" t="s">
        <v>12129</v>
      </c>
      <c r="R72" s="12" t="s">
        <v>12129</v>
      </c>
      <c r="S72" s="12" t="s">
        <v>12129</v>
      </c>
      <c r="T72" s="12" t="s">
        <v>15788</v>
      </c>
      <c r="U72" s="12" t="s">
        <v>15789</v>
      </c>
      <c r="V72" s="12" t="s">
        <v>947</v>
      </c>
      <c r="W72" s="12" t="s">
        <v>16531</v>
      </c>
      <c r="X72" s="12" t="s">
        <v>16532</v>
      </c>
      <c r="Y72" s="12" t="s">
        <v>16533</v>
      </c>
      <c r="Z72" s="12" t="s">
        <v>12129</v>
      </c>
      <c r="AA72" s="12" t="s">
        <v>16534</v>
      </c>
      <c r="AB72" s="12" t="s">
        <v>12129</v>
      </c>
      <c r="AC72" s="12" t="s">
        <v>12129</v>
      </c>
      <c r="AD72" s="12" t="s">
        <v>12129</v>
      </c>
      <c r="AE72" s="12" t="s">
        <v>12129</v>
      </c>
      <c r="AF72" s="12" t="s">
        <v>12129</v>
      </c>
      <c r="AG72" s="12">
        <v>40.0</v>
      </c>
      <c r="AH72" s="12">
        <v>290.0</v>
      </c>
      <c r="AI72" s="12">
        <v>351.0</v>
      </c>
      <c r="AJ72" s="12">
        <v>0.0</v>
      </c>
      <c r="AK72" s="12">
        <v>78.0</v>
      </c>
      <c r="AL72" s="12" t="s">
        <v>12321</v>
      </c>
      <c r="AM72" s="12" t="s">
        <v>12295</v>
      </c>
      <c r="AN72" s="12" t="s">
        <v>12454</v>
      </c>
      <c r="AO72" s="12" t="s">
        <v>12455</v>
      </c>
      <c r="AP72" s="12" t="s">
        <v>12456</v>
      </c>
      <c r="AQ72" s="12" t="s">
        <v>12129</v>
      </c>
      <c r="AR72" s="12" t="s">
        <v>12457</v>
      </c>
      <c r="AS72" s="12" t="s">
        <v>12458</v>
      </c>
      <c r="AT72" s="12" t="s">
        <v>12764</v>
      </c>
      <c r="AU72" s="12">
        <v>2009.0</v>
      </c>
      <c r="AV72" s="12">
        <v>29.0</v>
      </c>
      <c r="AW72" s="12">
        <v>4.0</v>
      </c>
      <c r="AX72" s="12" t="s">
        <v>12129</v>
      </c>
      <c r="AY72" s="12" t="s">
        <v>12129</v>
      </c>
      <c r="AZ72" s="12" t="s">
        <v>12129</v>
      </c>
      <c r="BA72" s="12" t="s">
        <v>12129</v>
      </c>
      <c r="BB72" s="12">
        <v>501.0</v>
      </c>
      <c r="BC72" s="12">
        <v>512.0</v>
      </c>
      <c r="BD72" s="12" t="s">
        <v>12129</v>
      </c>
      <c r="BE72" s="12" t="s">
        <v>948</v>
      </c>
      <c r="BF72" s="25" t="str">
        <f>HYPERLINK("http://dx.doi.org/10.1016/j.apgeog.2008.10.004","http://dx.doi.org/10.1016/j.apgeog.2008.10.004")</f>
        <v>http://dx.doi.org/10.1016/j.apgeog.2008.10.004</v>
      </c>
      <c r="BG72" s="12" t="s">
        <v>12129</v>
      </c>
      <c r="BH72" s="12" t="s">
        <v>12129</v>
      </c>
      <c r="BI72" s="12">
        <v>12.0</v>
      </c>
      <c r="BJ72" s="12" t="s">
        <v>950</v>
      </c>
      <c r="BK72" s="12" t="s">
        <v>12461</v>
      </c>
      <c r="BL72" s="12" t="s">
        <v>950</v>
      </c>
      <c r="BM72" s="12" t="s">
        <v>16535</v>
      </c>
      <c r="BN72" s="12" t="s">
        <v>12129</v>
      </c>
      <c r="BO72" s="12" t="s">
        <v>12129</v>
      </c>
      <c r="BP72" s="12" t="s">
        <v>12129</v>
      </c>
      <c r="BQ72" s="12" t="s">
        <v>12129</v>
      </c>
      <c r="BR72" s="12" t="s">
        <v>15851</v>
      </c>
      <c r="BS72" s="12" t="s">
        <v>951</v>
      </c>
      <c r="BT72" s="12" t="str">
        <f>HYPERLINK("https%3A%2F%2Fwww.webofscience.com%2Fwos%2Fwoscc%2Ffull-record%2FWOS:000271256000004","View Full Record in Web of Science")</f>
        <v>View Full Record in Web of Science</v>
      </c>
    </row>
    <row r="73" ht="12.75" customHeight="1">
      <c r="A73" s="12" t="s">
        <v>23</v>
      </c>
      <c r="B73" s="12" t="s">
        <v>1005</v>
      </c>
      <c r="C73" s="12" t="s">
        <v>12129</v>
      </c>
      <c r="D73" s="12" t="s">
        <v>12129</v>
      </c>
      <c r="E73" s="12" t="s">
        <v>12129</v>
      </c>
      <c r="F73" s="12" t="s">
        <v>16536</v>
      </c>
      <c r="G73" s="12" t="s">
        <v>12129</v>
      </c>
      <c r="H73" s="12" t="s">
        <v>12129</v>
      </c>
      <c r="I73" s="12" t="s">
        <v>1006</v>
      </c>
      <c r="J73" s="12" t="s">
        <v>275</v>
      </c>
      <c r="K73" s="12" t="s">
        <v>12129</v>
      </c>
      <c r="L73" s="12" t="s">
        <v>12129</v>
      </c>
      <c r="M73" s="12" t="s">
        <v>3263</v>
      </c>
      <c r="N73" s="12" t="s">
        <v>35</v>
      </c>
      <c r="O73" s="12" t="s">
        <v>12129</v>
      </c>
      <c r="P73" s="12" t="s">
        <v>12129</v>
      </c>
      <c r="Q73" s="12" t="s">
        <v>12129</v>
      </c>
      <c r="R73" s="12" t="s">
        <v>12129</v>
      </c>
      <c r="S73" s="12" t="s">
        <v>12129</v>
      </c>
      <c r="T73" s="12" t="s">
        <v>12129</v>
      </c>
      <c r="U73" s="12" t="s">
        <v>15643</v>
      </c>
      <c r="V73" s="12" t="s">
        <v>1007</v>
      </c>
      <c r="W73" s="12" t="s">
        <v>16537</v>
      </c>
      <c r="X73" s="12" t="s">
        <v>16538</v>
      </c>
      <c r="Y73" s="12" t="s">
        <v>16539</v>
      </c>
      <c r="Z73" s="12" t="s">
        <v>16540</v>
      </c>
      <c r="AA73" s="12" t="s">
        <v>16541</v>
      </c>
      <c r="AB73" s="12" t="s">
        <v>16542</v>
      </c>
      <c r="AC73" s="12" t="s">
        <v>12129</v>
      </c>
      <c r="AD73" s="12" t="s">
        <v>12129</v>
      </c>
      <c r="AE73" s="12" t="s">
        <v>12129</v>
      </c>
      <c r="AF73" s="12" t="s">
        <v>12129</v>
      </c>
      <c r="AG73" s="12">
        <v>26.0</v>
      </c>
      <c r="AH73" s="12">
        <v>1619.0</v>
      </c>
      <c r="AI73" s="12">
        <v>2034.0</v>
      </c>
      <c r="AJ73" s="12">
        <v>37.0</v>
      </c>
      <c r="AK73" s="12">
        <v>775.0</v>
      </c>
      <c r="AL73" s="12" t="s">
        <v>15615</v>
      </c>
      <c r="AM73" s="12" t="s">
        <v>12170</v>
      </c>
      <c r="AN73" s="12" t="s">
        <v>16017</v>
      </c>
      <c r="AO73" s="12" t="s">
        <v>1381</v>
      </c>
      <c r="AP73" s="12" t="s">
        <v>7916</v>
      </c>
      <c r="AQ73" s="12" t="s">
        <v>12129</v>
      </c>
      <c r="AR73" s="12" t="s">
        <v>275</v>
      </c>
      <c r="AS73" s="12" t="s">
        <v>1380</v>
      </c>
      <c r="AT73" s="12" t="s">
        <v>15644</v>
      </c>
      <c r="AU73" s="12">
        <v>2008.0</v>
      </c>
      <c r="AV73" s="12">
        <v>453.0</v>
      </c>
      <c r="AW73" s="12">
        <v>7193.0</v>
      </c>
      <c r="AX73" s="12" t="s">
        <v>12129</v>
      </c>
      <c r="AY73" s="12" t="s">
        <v>12129</v>
      </c>
      <c r="AZ73" s="12" t="s">
        <v>12129</v>
      </c>
      <c r="BA73" s="12" t="s">
        <v>12129</v>
      </c>
      <c r="BB73" s="12">
        <v>379.0</v>
      </c>
      <c r="BC73" s="12">
        <v>382.0</v>
      </c>
      <c r="BD73" s="12" t="s">
        <v>12129</v>
      </c>
      <c r="BE73" s="12" t="s">
        <v>1008</v>
      </c>
      <c r="BF73" s="25" t="str">
        <f>HYPERLINK("http://dx.doi.org/10.1038/nature06949","http://dx.doi.org/10.1038/nature06949")</f>
        <v>http://dx.doi.org/10.1038/nature06949</v>
      </c>
      <c r="BG73" s="12" t="s">
        <v>12129</v>
      </c>
      <c r="BH73" s="12" t="s">
        <v>12129</v>
      </c>
      <c r="BI73" s="12">
        <v>4.0</v>
      </c>
      <c r="BJ73" s="12" t="s">
        <v>39</v>
      </c>
      <c r="BK73" s="12" t="s">
        <v>12176</v>
      </c>
      <c r="BL73" s="12" t="s">
        <v>12202</v>
      </c>
      <c r="BM73" s="12" t="s">
        <v>16543</v>
      </c>
      <c r="BN73" s="12">
        <v>1.8480821E7</v>
      </c>
      <c r="BO73" s="12" t="s">
        <v>12538</v>
      </c>
      <c r="BP73" s="12" t="s">
        <v>12129</v>
      </c>
      <c r="BQ73" s="12" t="s">
        <v>12129</v>
      </c>
      <c r="BR73" s="12" t="s">
        <v>15851</v>
      </c>
      <c r="BS73" s="12" t="s">
        <v>1010</v>
      </c>
      <c r="BT73" s="12" t="str">
        <f>HYPERLINK("https%3A%2F%2Fwww.webofscience.com%2Fwos%2Fwoscc%2Ffull-record%2FWOS:000255868400049","View Full Record in Web of Science")</f>
        <v>View Full Record in Web of Science</v>
      </c>
    </row>
    <row r="74" ht="12.75" customHeight="1">
      <c r="A74" s="12" t="s">
        <v>23</v>
      </c>
      <c r="B74" s="12" t="s">
        <v>246</v>
      </c>
      <c r="C74" s="12" t="s">
        <v>12129</v>
      </c>
      <c r="D74" s="12" t="s">
        <v>12129</v>
      </c>
      <c r="E74" s="12" t="s">
        <v>12129</v>
      </c>
      <c r="F74" s="12" t="s">
        <v>16544</v>
      </c>
      <c r="G74" s="12" t="s">
        <v>12129</v>
      </c>
      <c r="H74" s="12" t="s">
        <v>12129</v>
      </c>
      <c r="I74" s="12" t="s">
        <v>247</v>
      </c>
      <c r="J74" s="12" t="s">
        <v>248</v>
      </c>
      <c r="K74" s="12" t="s">
        <v>12129</v>
      </c>
      <c r="L74" s="12" t="s">
        <v>12129</v>
      </c>
      <c r="M74" s="12" t="s">
        <v>3263</v>
      </c>
      <c r="N74" s="12" t="s">
        <v>35</v>
      </c>
      <c r="O74" s="12" t="s">
        <v>12129</v>
      </c>
      <c r="P74" s="12" t="s">
        <v>12129</v>
      </c>
      <c r="Q74" s="12" t="s">
        <v>12129</v>
      </c>
      <c r="R74" s="12" t="s">
        <v>12129</v>
      </c>
      <c r="S74" s="12" t="s">
        <v>12129</v>
      </c>
      <c r="T74" s="12" t="s">
        <v>15781</v>
      </c>
      <c r="U74" s="12" t="s">
        <v>15782</v>
      </c>
      <c r="V74" s="12" t="s">
        <v>249</v>
      </c>
      <c r="W74" s="12" t="s">
        <v>16545</v>
      </c>
      <c r="X74" s="12" t="s">
        <v>16546</v>
      </c>
      <c r="Y74" s="12" t="s">
        <v>16547</v>
      </c>
      <c r="Z74" s="12" t="s">
        <v>16548</v>
      </c>
      <c r="AA74" s="12" t="s">
        <v>16549</v>
      </c>
      <c r="AB74" s="12" t="s">
        <v>16550</v>
      </c>
      <c r="AC74" s="12" t="s">
        <v>16551</v>
      </c>
      <c r="AD74" s="12" t="s">
        <v>16551</v>
      </c>
      <c r="AE74" s="12" t="s">
        <v>16552</v>
      </c>
      <c r="AF74" s="12" t="s">
        <v>12129</v>
      </c>
      <c r="AG74" s="12">
        <v>52.0</v>
      </c>
      <c r="AH74" s="12">
        <v>182.0</v>
      </c>
      <c r="AI74" s="12">
        <v>210.0</v>
      </c>
      <c r="AJ74" s="12">
        <v>2.0</v>
      </c>
      <c r="AK74" s="12">
        <v>131.0</v>
      </c>
      <c r="AL74" s="12" t="s">
        <v>12321</v>
      </c>
      <c r="AM74" s="12" t="s">
        <v>12295</v>
      </c>
      <c r="AN74" s="12" t="s">
        <v>12454</v>
      </c>
      <c r="AO74" s="12" t="s">
        <v>6122</v>
      </c>
      <c r="AP74" s="12" t="s">
        <v>12803</v>
      </c>
      <c r="AQ74" s="12" t="s">
        <v>12129</v>
      </c>
      <c r="AR74" s="12" t="s">
        <v>12804</v>
      </c>
      <c r="AS74" s="12" t="s">
        <v>12805</v>
      </c>
      <c r="AT74" s="12" t="s">
        <v>13127</v>
      </c>
      <c r="AU74" s="12">
        <v>2016.0</v>
      </c>
      <c r="AV74" s="12">
        <v>193.0</v>
      </c>
      <c r="AW74" s="12" t="s">
        <v>12129</v>
      </c>
      <c r="AX74" s="12" t="s">
        <v>12129</v>
      </c>
      <c r="AY74" s="12" t="s">
        <v>12129</v>
      </c>
      <c r="AZ74" s="12" t="s">
        <v>12129</v>
      </c>
      <c r="BA74" s="12" t="s">
        <v>12129</v>
      </c>
      <c r="BB74" s="12">
        <v>27.0</v>
      </c>
      <c r="BC74" s="12">
        <v>35.0</v>
      </c>
      <c r="BD74" s="12" t="s">
        <v>12129</v>
      </c>
      <c r="BE74" s="12" t="s">
        <v>250</v>
      </c>
      <c r="BF74" s="25" t="str">
        <f>HYPERLINK("http://dx.doi.org/10.1016/j.biocon.2015.10.023","http://dx.doi.org/10.1016/j.biocon.2015.10.023")</f>
        <v>http://dx.doi.org/10.1016/j.biocon.2015.10.023</v>
      </c>
      <c r="BG74" s="12" t="s">
        <v>12129</v>
      </c>
      <c r="BH74" s="12" t="s">
        <v>12129</v>
      </c>
      <c r="BI74" s="12">
        <v>9.0</v>
      </c>
      <c r="BJ74" s="12" t="s">
        <v>252</v>
      </c>
      <c r="BK74" s="12" t="s">
        <v>12176</v>
      </c>
      <c r="BL74" s="12" t="s">
        <v>12376</v>
      </c>
      <c r="BM74" s="12" t="s">
        <v>16553</v>
      </c>
      <c r="BN74" s="12" t="s">
        <v>12129</v>
      </c>
      <c r="BO74" s="12" t="s">
        <v>12129</v>
      </c>
      <c r="BP74" s="12" t="s">
        <v>12129</v>
      </c>
      <c r="BQ74" s="12" t="s">
        <v>12129</v>
      </c>
      <c r="BR74" s="12" t="s">
        <v>15851</v>
      </c>
      <c r="BS74" s="12" t="s">
        <v>253</v>
      </c>
      <c r="BT74" s="12" t="str">
        <f>HYPERLINK("https%3A%2F%2Fwww.webofscience.com%2Fwos%2Fwoscc%2Ffull-record%2FWOS:000368963700004","View Full Record in Web of Science")</f>
        <v>View Full Record in Web of Science</v>
      </c>
    </row>
    <row r="75" ht="12.75" customHeight="1">
      <c r="A75" s="12" t="s">
        <v>23</v>
      </c>
      <c r="B75" s="12" t="s">
        <v>761</v>
      </c>
      <c r="C75" s="12" t="s">
        <v>12129</v>
      </c>
      <c r="D75" s="12" t="s">
        <v>12129</v>
      </c>
      <c r="E75" s="12" t="s">
        <v>12129</v>
      </c>
      <c r="F75" s="12" t="s">
        <v>16554</v>
      </c>
      <c r="G75" s="12" t="s">
        <v>12129</v>
      </c>
      <c r="H75" s="12" t="s">
        <v>12129</v>
      </c>
      <c r="I75" s="12" t="s">
        <v>762</v>
      </c>
      <c r="J75" s="12" t="s">
        <v>763</v>
      </c>
      <c r="K75" s="12" t="s">
        <v>12129</v>
      </c>
      <c r="L75" s="12" t="s">
        <v>12129</v>
      </c>
      <c r="M75" s="12" t="s">
        <v>3263</v>
      </c>
      <c r="N75" s="12" t="s">
        <v>35</v>
      </c>
      <c r="O75" s="12" t="s">
        <v>12129</v>
      </c>
      <c r="P75" s="12" t="s">
        <v>12129</v>
      </c>
      <c r="Q75" s="12" t="s">
        <v>12129</v>
      </c>
      <c r="R75" s="12" t="s">
        <v>12129</v>
      </c>
      <c r="S75" s="12" t="s">
        <v>12129</v>
      </c>
      <c r="T75" s="12" t="s">
        <v>12129</v>
      </c>
      <c r="U75" s="12" t="s">
        <v>15627</v>
      </c>
      <c r="V75" s="12" t="s">
        <v>764</v>
      </c>
      <c r="W75" s="12" t="s">
        <v>16555</v>
      </c>
      <c r="X75" s="12" t="s">
        <v>16556</v>
      </c>
      <c r="Y75" s="12" t="s">
        <v>16557</v>
      </c>
      <c r="Z75" s="12" t="s">
        <v>16558</v>
      </c>
      <c r="AA75" s="12" t="s">
        <v>16559</v>
      </c>
      <c r="AB75" s="12" t="s">
        <v>16560</v>
      </c>
      <c r="AC75" s="12" t="s">
        <v>16561</v>
      </c>
      <c r="AD75" s="12" t="s">
        <v>16562</v>
      </c>
      <c r="AE75" s="12" t="s">
        <v>16563</v>
      </c>
      <c r="AF75" s="12" t="s">
        <v>12129</v>
      </c>
      <c r="AG75" s="12">
        <v>30.0</v>
      </c>
      <c r="AH75" s="12">
        <v>104.0</v>
      </c>
      <c r="AI75" s="12">
        <v>117.0</v>
      </c>
      <c r="AJ75" s="12">
        <v>1.0</v>
      </c>
      <c r="AK75" s="12">
        <v>55.0</v>
      </c>
      <c r="AL75" s="12" t="s">
        <v>15615</v>
      </c>
      <c r="AM75" s="12" t="s">
        <v>13961</v>
      </c>
      <c r="AN75" s="12" t="s">
        <v>16564</v>
      </c>
      <c r="AO75" s="12" t="s">
        <v>4375</v>
      </c>
      <c r="AP75" s="12" t="s">
        <v>16565</v>
      </c>
      <c r="AQ75" s="12" t="s">
        <v>12129</v>
      </c>
      <c r="AR75" s="12" t="s">
        <v>15624</v>
      </c>
      <c r="AS75" s="12" t="s">
        <v>15625</v>
      </c>
      <c r="AT75" s="12" t="s">
        <v>12660</v>
      </c>
      <c r="AU75" s="12">
        <v>2011.0</v>
      </c>
      <c r="AV75" s="12">
        <v>4.0</v>
      </c>
      <c r="AW75" s="12">
        <v>2.0</v>
      </c>
      <c r="AX75" s="12" t="s">
        <v>12129</v>
      </c>
      <c r="AY75" s="12" t="s">
        <v>12129</v>
      </c>
      <c r="AZ75" s="12" t="s">
        <v>12129</v>
      </c>
      <c r="BA75" s="12" t="s">
        <v>12129</v>
      </c>
      <c r="BB75" s="12">
        <v>99.0</v>
      </c>
      <c r="BC75" s="12">
        <v>103.0</v>
      </c>
      <c r="BD75" s="12" t="s">
        <v>12129</v>
      </c>
      <c r="BE75" s="12" t="s">
        <v>765</v>
      </c>
      <c r="BF75" s="25" t="str">
        <f>HYPERLINK("http://dx.doi.org/10.1038/NGEO1057","http://dx.doi.org/10.1038/NGEO1057")</f>
        <v>http://dx.doi.org/10.1038/NGEO1057</v>
      </c>
      <c r="BG75" s="12" t="s">
        <v>12129</v>
      </c>
      <c r="BH75" s="12" t="s">
        <v>12129</v>
      </c>
      <c r="BI75" s="12">
        <v>5.0</v>
      </c>
      <c r="BJ75" s="12" t="s">
        <v>56</v>
      </c>
      <c r="BK75" s="12" t="s">
        <v>12176</v>
      </c>
      <c r="BL75" s="12" t="s">
        <v>14257</v>
      </c>
      <c r="BM75" s="12" t="s">
        <v>16566</v>
      </c>
      <c r="BN75" s="12" t="s">
        <v>12129</v>
      </c>
      <c r="BO75" s="12" t="s">
        <v>12253</v>
      </c>
      <c r="BP75" s="12" t="s">
        <v>12129</v>
      </c>
      <c r="BQ75" s="12" t="s">
        <v>12129</v>
      </c>
      <c r="BR75" s="12" t="s">
        <v>15851</v>
      </c>
      <c r="BS75" s="12" t="s">
        <v>767</v>
      </c>
      <c r="BT75" s="12" t="str">
        <f>HYPERLINK("https%3A%2F%2Fwww.webofscience.com%2Fwos%2Fwoscc%2Ffull-record%2FWOS:000286723300014","View Full Record in Web of Science")</f>
        <v>View Full Record in Web of Science</v>
      </c>
    </row>
    <row r="76" ht="12.75" customHeight="1">
      <c r="A76" s="12" t="s">
        <v>23</v>
      </c>
      <c r="B76" s="12" t="s">
        <v>1034</v>
      </c>
      <c r="C76" s="12" t="s">
        <v>12129</v>
      </c>
      <c r="D76" s="12" t="s">
        <v>12129</v>
      </c>
      <c r="E76" s="12" t="s">
        <v>12129</v>
      </c>
      <c r="F76" s="12" t="s">
        <v>4346</v>
      </c>
      <c r="G76" s="12" t="s">
        <v>12129</v>
      </c>
      <c r="H76" s="12" t="s">
        <v>12129</v>
      </c>
      <c r="I76" s="12" t="s">
        <v>1035</v>
      </c>
      <c r="J76" s="12" t="s">
        <v>504</v>
      </c>
      <c r="K76" s="12" t="s">
        <v>12129</v>
      </c>
      <c r="L76" s="12" t="s">
        <v>12129</v>
      </c>
      <c r="M76" s="12" t="s">
        <v>3263</v>
      </c>
      <c r="N76" s="12" t="s">
        <v>35</v>
      </c>
      <c r="O76" s="12" t="s">
        <v>12129</v>
      </c>
      <c r="P76" s="12" t="s">
        <v>12129</v>
      </c>
      <c r="Q76" s="12" t="s">
        <v>12129</v>
      </c>
      <c r="R76" s="12" t="s">
        <v>12129</v>
      </c>
      <c r="S76" s="12" t="s">
        <v>12129</v>
      </c>
      <c r="T76" s="12" t="s">
        <v>12129</v>
      </c>
      <c r="U76" s="12" t="s">
        <v>15670</v>
      </c>
      <c r="V76" s="12" t="s">
        <v>1036</v>
      </c>
      <c r="W76" s="12" t="s">
        <v>16567</v>
      </c>
      <c r="X76" s="12" t="s">
        <v>16568</v>
      </c>
      <c r="Y76" s="12" t="s">
        <v>16569</v>
      </c>
      <c r="Z76" s="12" t="s">
        <v>16570</v>
      </c>
      <c r="AA76" s="12" t="s">
        <v>16571</v>
      </c>
      <c r="AB76" s="12" t="s">
        <v>16572</v>
      </c>
      <c r="AC76" s="12" t="s">
        <v>12129</v>
      </c>
      <c r="AD76" s="12" t="s">
        <v>12129</v>
      </c>
      <c r="AE76" s="12" t="s">
        <v>12129</v>
      </c>
      <c r="AF76" s="12" t="s">
        <v>12129</v>
      </c>
      <c r="AG76" s="12">
        <v>36.0</v>
      </c>
      <c r="AH76" s="12">
        <v>168.0</v>
      </c>
      <c r="AI76" s="12">
        <v>197.0</v>
      </c>
      <c r="AJ76" s="12">
        <v>10.0</v>
      </c>
      <c r="AK76" s="12">
        <v>177.0</v>
      </c>
      <c r="AL76" s="12" t="s">
        <v>13028</v>
      </c>
      <c r="AM76" s="12" t="s">
        <v>12632</v>
      </c>
      <c r="AN76" s="12" t="s">
        <v>13029</v>
      </c>
      <c r="AO76" s="12" t="s">
        <v>4563</v>
      </c>
      <c r="AP76" s="12" t="s">
        <v>13030</v>
      </c>
      <c r="AQ76" s="12" t="s">
        <v>12129</v>
      </c>
      <c r="AR76" s="12" t="s">
        <v>13031</v>
      </c>
      <c r="AS76" s="12" t="s">
        <v>13032</v>
      </c>
      <c r="AT76" s="12" t="s">
        <v>15644</v>
      </c>
      <c r="AU76" s="12">
        <v>2007.0</v>
      </c>
      <c r="AV76" s="12">
        <v>41.0</v>
      </c>
      <c r="AW76" s="12">
        <v>10.0</v>
      </c>
      <c r="AX76" s="12" t="s">
        <v>12129</v>
      </c>
      <c r="AY76" s="12" t="s">
        <v>12129</v>
      </c>
      <c r="AZ76" s="12" t="s">
        <v>12129</v>
      </c>
      <c r="BA76" s="12" t="s">
        <v>12129</v>
      </c>
      <c r="BB76" s="12">
        <v>3495.0</v>
      </c>
      <c r="BC76" s="12">
        <v>3500.0</v>
      </c>
      <c r="BD76" s="12" t="s">
        <v>12129</v>
      </c>
      <c r="BE76" s="12" t="s">
        <v>1037</v>
      </c>
      <c r="BF76" s="25" t="str">
        <f>HYPERLINK("http://dx.doi.org/10.1021/es062147h","http://dx.doi.org/10.1021/es062147h")</f>
        <v>http://dx.doi.org/10.1021/es062147h</v>
      </c>
      <c r="BG76" s="12" t="s">
        <v>12129</v>
      </c>
      <c r="BH76" s="12" t="s">
        <v>12129</v>
      </c>
      <c r="BI76" s="12">
        <v>6.0</v>
      </c>
      <c r="BJ76" s="12" t="s">
        <v>508</v>
      </c>
      <c r="BK76" s="12" t="s">
        <v>12176</v>
      </c>
      <c r="BL76" s="12" t="s">
        <v>13035</v>
      </c>
      <c r="BM76" s="12" t="s">
        <v>16573</v>
      </c>
      <c r="BN76" s="12">
        <v>1.7547169E7</v>
      </c>
      <c r="BO76" s="12" t="s">
        <v>12129</v>
      </c>
      <c r="BP76" s="12" t="s">
        <v>12129</v>
      </c>
      <c r="BQ76" s="12" t="s">
        <v>12129</v>
      </c>
      <c r="BR76" s="12" t="s">
        <v>15851</v>
      </c>
      <c r="BS76" s="12" t="s">
        <v>1039</v>
      </c>
      <c r="BT76" s="12" t="str">
        <f>HYPERLINK("https%3A%2F%2Fwww.webofscience.com%2Fwos%2Fwoscc%2Ffull-record%2FWOS:000246371800023","View Full Record in Web of Science")</f>
        <v>View Full Record in Web of Science</v>
      </c>
    </row>
    <row r="77" ht="12.75" customHeight="1">
      <c r="A77" s="12" t="s">
        <v>23</v>
      </c>
      <c r="B77" s="12" t="s">
        <v>121</v>
      </c>
      <c r="C77" s="12" t="s">
        <v>12129</v>
      </c>
      <c r="D77" s="12" t="s">
        <v>12129</v>
      </c>
      <c r="E77" s="12" t="s">
        <v>12129</v>
      </c>
      <c r="F77" s="12" t="s">
        <v>16574</v>
      </c>
      <c r="G77" s="12" t="s">
        <v>12129</v>
      </c>
      <c r="H77" s="12" t="s">
        <v>12129</v>
      </c>
      <c r="I77" s="12" t="s">
        <v>122</v>
      </c>
      <c r="J77" s="12" t="s">
        <v>123</v>
      </c>
      <c r="K77" s="12" t="s">
        <v>12129</v>
      </c>
      <c r="L77" s="12" t="s">
        <v>12129</v>
      </c>
      <c r="M77" s="12" t="s">
        <v>3263</v>
      </c>
      <c r="N77" s="12" t="s">
        <v>35</v>
      </c>
      <c r="O77" s="12" t="s">
        <v>12129</v>
      </c>
      <c r="P77" s="12" t="s">
        <v>12129</v>
      </c>
      <c r="Q77" s="12" t="s">
        <v>12129</v>
      </c>
      <c r="R77" s="12" t="s">
        <v>12129</v>
      </c>
      <c r="S77" s="12" t="s">
        <v>12129</v>
      </c>
      <c r="T77" s="12" t="s">
        <v>15531</v>
      </c>
      <c r="U77" s="12" t="s">
        <v>15532</v>
      </c>
      <c r="V77" s="12" t="s">
        <v>124</v>
      </c>
      <c r="W77" s="12" t="s">
        <v>16575</v>
      </c>
      <c r="X77" s="12" t="s">
        <v>16576</v>
      </c>
      <c r="Y77" s="12" t="s">
        <v>16577</v>
      </c>
      <c r="Z77" s="12" t="s">
        <v>16578</v>
      </c>
      <c r="AA77" s="12" t="s">
        <v>16579</v>
      </c>
      <c r="AB77" s="12" t="s">
        <v>16580</v>
      </c>
      <c r="AC77" s="12" t="s">
        <v>16581</v>
      </c>
      <c r="AD77" s="12" t="s">
        <v>16582</v>
      </c>
      <c r="AE77" s="12" t="s">
        <v>16583</v>
      </c>
      <c r="AF77" s="12" t="s">
        <v>12129</v>
      </c>
      <c r="AG77" s="12">
        <v>117.0</v>
      </c>
      <c r="AH77" s="12">
        <v>33.0</v>
      </c>
      <c r="AI77" s="12">
        <v>38.0</v>
      </c>
      <c r="AJ77" s="12">
        <v>3.0</v>
      </c>
      <c r="AK77" s="12">
        <v>58.0</v>
      </c>
      <c r="AL77" s="12" t="s">
        <v>12243</v>
      </c>
      <c r="AM77" s="12" t="s">
        <v>12244</v>
      </c>
      <c r="AN77" s="12" t="s">
        <v>12245</v>
      </c>
      <c r="AO77" s="12" t="s">
        <v>12908</v>
      </c>
      <c r="AP77" s="12" t="s">
        <v>12909</v>
      </c>
      <c r="AQ77" s="12" t="s">
        <v>12129</v>
      </c>
      <c r="AR77" s="12" t="s">
        <v>12910</v>
      </c>
      <c r="AS77" s="12" t="s">
        <v>12911</v>
      </c>
      <c r="AT77" s="12" t="s">
        <v>12660</v>
      </c>
      <c r="AU77" s="12">
        <v>2017.0</v>
      </c>
      <c r="AV77" s="12">
        <v>62.0</v>
      </c>
      <c r="AW77" s="12">
        <v>2.0</v>
      </c>
      <c r="AX77" s="12" t="s">
        <v>12129</v>
      </c>
      <c r="AY77" s="12" t="s">
        <v>12129</v>
      </c>
      <c r="AZ77" s="12" t="s">
        <v>12129</v>
      </c>
      <c r="BA77" s="12" t="s">
        <v>12129</v>
      </c>
      <c r="BB77" s="12">
        <v>243.0</v>
      </c>
      <c r="BC77" s="12">
        <v>257.0</v>
      </c>
      <c r="BD77" s="12" t="s">
        <v>12129</v>
      </c>
      <c r="BE77" s="12" t="s">
        <v>125</v>
      </c>
      <c r="BF77" s="25" t="str">
        <f>HYPERLINK("http://dx.doi.org/10.1111/fwb.12864","http://dx.doi.org/10.1111/fwb.12864")</f>
        <v>http://dx.doi.org/10.1111/fwb.12864</v>
      </c>
      <c r="BG77" s="12" t="s">
        <v>12129</v>
      </c>
      <c r="BH77" s="12" t="s">
        <v>12129</v>
      </c>
      <c r="BI77" s="12">
        <v>15.0</v>
      </c>
      <c r="BJ77" s="12" t="s">
        <v>127</v>
      </c>
      <c r="BK77" s="12" t="s">
        <v>12176</v>
      </c>
      <c r="BL77" s="12" t="s">
        <v>12303</v>
      </c>
      <c r="BM77" s="12" t="s">
        <v>16584</v>
      </c>
      <c r="BN77" s="12" t="s">
        <v>12129</v>
      </c>
      <c r="BO77" s="12" t="s">
        <v>12129</v>
      </c>
      <c r="BP77" s="12" t="s">
        <v>12129</v>
      </c>
      <c r="BQ77" s="12" t="s">
        <v>12129</v>
      </c>
      <c r="BR77" s="12" t="s">
        <v>15851</v>
      </c>
      <c r="BS77" s="12" t="s">
        <v>128</v>
      </c>
      <c r="BT77" s="12" t="str">
        <f>HYPERLINK("https%3A%2F%2Fwww.webofscience.com%2Fwos%2Fwoscc%2Ffull-record%2FWOS:000393793100003","View Full Record in Web of Science")</f>
        <v>View Full Record in Web of Science</v>
      </c>
    </row>
    <row r="78" ht="12.75" customHeight="1">
      <c r="A78" s="12" t="s">
        <v>23</v>
      </c>
      <c r="B78" s="12" t="s">
        <v>172</v>
      </c>
      <c r="C78" s="12" t="s">
        <v>12129</v>
      </c>
      <c r="D78" s="12" t="s">
        <v>12129</v>
      </c>
      <c r="E78" s="12" t="s">
        <v>12129</v>
      </c>
      <c r="F78" s="12" t="s">
        <v>16585</v>
      </c>
      <c r="G78" s="12" t="s">
        <v>12129</v>
      </c>
      <c r="H78" s="12" t="s">
        <v>12129</v>
      </c>
      <c r="I78" s="12" t="s">
        <v>173</v>
      </c>
      <c r="J78" s="12" t="s">
        <v>86</v>
      </c>
      <c r="K78" s="12" t="s">
        <v>12129</v>
      </c>
      <c r="L78" s="12" t="s">
        <v>12129</v>
      </c>
      <c r="M78" s="12" t="s">
        <v>3263</v>
      </c>
      <c r="N78" s="12" t="s">
        <v>35</v>
      </c>
      <c r="O78" s="12" t="s">
        <v>12129</v>
      </c>
      <c r="P78" s="12" t="s">
        <v>12129</v>
      </c>
      <c r="Q78" s="12" t="s">
        <v>12129</v>
      </c>
      <c r="R78" s="12" t="s">
        <v>12129</v>
      </c>
      <c r="S78" s="12" t="s">
        <v>12129</v>
      </c>
      <c r="T78" s="12" t="s">
        <v>12129</v>
      </c>
      <c r="U78" s="12" t="s">
        <v>15513</v>
      </c>
      <c r="V78" s="12" t="s">
        <v>174</v>
      </c>
      <c r="W78" s="12" t="s">
        <v>16586</v>
      </c>
      <c r="X78" s="12" t="s">
        <v>16587</v>
      </c>
      <c r="Y78" s="12" t="s">
        <v>16588</v>
      </c>
      <c r="Z78" s="12" t="s">
        <v>16589</v>
      </c>
      <c r="AA78" s="12" t="s">
        <v>16590</v>
      </c>
      <c r="AB78" s="12" t="s">
        <v>16591</v>
      </c>
      <c r="AC78" s="12" t="s">
        <v>16592</v>
      </c>
      <c r="AD78" s="12" t="s">
        <v>16593</v>
      </c>
      <c r="AE78" s="12" t="s">
        <v>16594</v>
      </c>
      <c r="AF78" s="12" t="s">
        <v>12129</v>
      </c>
      <c r="AG78" s="12">
        <v>98.0</v>
      </c>
      <c r="AH78" s="12">
        <v>126.0</v>
      </c>
      <c r="AI78" s="12">
        <v>141.0</v>
      </c>
      <c r="AJ78" s="12">
        <v>0.0</v>
      </c>
      <c r="AK78" s="12">
        <v>36.0</v>
      </c>
      <c r="AL78" s="12" t="s">
        <v>15485</v>
      </c>
      <c r="AM78" s="12" t="s">
        <v>12632</v>
      </c>
      <c r="AN78" s="12" t="s">
        <v>15872</v>
      </c>
      <c r="AO78" s="12" t="s">
        <v>1614</v>
      </c>
      <c r="AP78" s="12" t="s">
        <v>12129</v>
      </c>
      <c r="AQ78" s="12" t="s">
        <v>12129</v>
      </c>
      <c r="AR78" s="12" t="s">
        <v>15511</v>
      </c>
      <c r="AS78" s="12" t="s">
        <v>5964</v>
      </c>
      <c r="AT78" s="12" t="s">
        <v>12787</v>
      </c>
      <c r="AU78" s="12">
        <v>2016.0</v>
      </c>
      <c r="AV78" s="12">
        <v>2.0</v>
      </c>
      <c r="AW78" s="12">
        <v>11.0</v>
      </c>
      <c r="AX78" s="12" t="s">
        <v>12129</v>
      </c>
      <c r="AY78" s="12" t="s">
        <v>12129</v>
      </c>
      <c r="AZ78" s="12" t="s">
        <v>12129</v>
      </c>
      <c r="BA78" s="12" t="s">
        <v>12129</v>
      </c>
      <c r="BB78" s="12" t="s">
        <v>12129</v>
      </c>
      <c r="BC78" s="12" t="s">
        <v>12129</v>
      </c>
      <c r="BD78" s="12" t="s">
        <v>16595</v>
      </c>
      <c r="BE78" s="12" t="s">
        <v>175</v>
      </c>
      <c r="BF78" s="25" t="str">
        <f>HYPERLINK("http://dx.doi.org/10.1126/sciadv.1501923","http://dx.doi.org/10.1126/sciadv.1501923")</f>
        <v>http://dx.doi.org/10.1126/sciadv.1501923</v>
      </c>
      <c r="BG78" s="12" t="s">
        <v>12129</v>
      </c>
      <c r="BH78" s="12" t="s">
        <v>12129</v>
      </c>
      <c r="BI78" s="12">
        <v>11.0</v>
      </c>
      <c r="BJ78" s="12" t="s">
        <v>39</v>
      </c>
      <c r="BK78" s="12" t="s">
        <v>12176</v>
      </c>
      <c r="BL78" s="12" t="s">
        <v>12202</v>
      </c>
      <c r="BM78" s="12" t="s">
        <v>16596</v>
      </c>
      <c r="BN78" s="12">
        <v>2.8861462E7</v>
      </c>
      <c r="BO78" s="12" t="s">
        <v>12179</v>
      </c>
      <c r="BP78" s="12" t="s">
        <v>12129</v>
      </c>
      <c r="BQ78" s="12" t="s">
        <v>12129</v>
      </c>
      <c r="BR78" s="12" t="s">
        <v>15851</v>
      </c>
      <c r="BS78" s="12" t="s">
        <v>177</v>
      </c>
      <c r="BT78" s="12" t="str">
        <f>HYPERLINK("https%3A%2F%2Fwww.webofscience.com%2Fwos%2Fwoscc%2Ffull-record%2FWOS:000391267800002","View Full Record in Web of Science")</f>
        <v>View Full Record in Web of Science</v>
      </c>
    </row>
    <row r="79" ht="12.75" customHeight="1">
      <c r="A79" s="12" t="s">
        <v>23</v>
      </c>
      <c r="B79" s="12" t="s">
        <v>330</v>
      </c>
      <c r="C79" s="12" t="s">
        <v>12129</v>
      </c>
      <c r="D79" s="12" t="s">
        <v>12129</v>
      </c>
      <c r="E79" s="12" t="s">
        <v>12129</v>
      </c>
      <c r="F79" s="12" t="s">
        <v>2148</v>
      </c>
      <c r="G79" s="12" t="s">
        <v>12129</v>
      </c>
      <c r="H79" s="12" t="s">
        <v>12129</v>
      </c>
      <c r="I79" s="12" t="s">
        <v>331</v>
      </c>
      <c r="J79" s="12" t="s">
        <v>101</v>
      </c>
      <c r="K79" s="12" t="s">
        <v>12129</v>
      </c>
      <c r="L79" s="12" t="s">
        <v>12129</v>
      </c>
      <c r="M79" s="12" t="s">
        <v>3263</v>
      </c>
      <c r="N79" s="12" t="s">
        <v>35</v>
      </c>
      <c r="O79" s="12" t="s">
        <v>12129</v>
      </c>
      <c r="P79" s="12" t="s">
        <v>12129</v>
      </c>
      <c r="Q79" s="12" t="s">
        <v>12129</v>
      </c>
      <c r="R79" s="12" t="s">
        <v>12129</v>
      </c>
      <c r="S79" s="12" t="s">
        <v>12129</v>
      </c>
      <c r="T79" s="12" t="s">
        <v>12129</v>
      </c>
      <c r="U79" s="12" t="s">
        <v>15628</v>
      </c>
      <c r="V79" s="12" t="s">
        <v>332</v>
      </c>
      <c r="W79" s="12" t="s">
        <v>16597</v>
      </c>
      <c r="X79" s="12" t="s">
        <v>16598</v>
      </c>
      <c r="Y79" s="12" t="s">
        <v>16599</v>
      </c>
      <c r="Z79" s="12" t="s">
        <v>16600</v>
      </c>
      <c r="AA79" s="12" t="s">
        <v>16601</v>
      </c>
      <c r="AB79" s="12" t="s">
        <v>16602</v>
      </c>
      <c r="AC79" s="12" t="s">
        <v>16603</v>
      </c>
      <c r="AD79" s="12" t="s">
        <v>16604</v>
      </c>
      <c r="AE79" s="12" t="s">
        <v>16605</v>
      </c>
      <c r="AF79" s="12" t="s">
        <v>12129</v>
      </c>
      <c r="AG79" s="12">
        <v>29.0</v>
      </c>
      <c r="AH79" s="12">
        <v>1159.0</v>
      </c>
      <c r="AI79" s="12">
        <v>1273.0</v>
      </c>
      <c r="AJ79" s="12">
        <v>15.0</v>
      </c>
      <c r="AK79" s="12">
        <v>406.0</v>
      </c>
      <c r="AL79" s="12" t="s">
        <v>15615</v>
      </c>
      <c r="AM79" s="12" t="s">
        <v>12170</v>
      </c>
      <c r="AN79" s="12" t="s">
        <v>16017</v>
      </c>
      <c r="AO79" s="12" t="s">
        <v>2151</v>
      </c>
      <c r="AP79" s="12" t="s">
        <v>12129</v>
      </c>
      <c r="AQ79" s="12" t="s">
        <v>12129</v>
      </c>
      <c r="AR79" s="12" t="s">
        <v>12746</v>
      </c>
      <c r="AS79" s="12" t="s">
        <v>12747</v>
      </c>
      <c r="AT79" s="12" t="s">
        <v>12352</v>
      </c>
      <c r="AU79" s="12">
        <v>2015.0</v>
      </c>
      <c r="AV79" s="12">
        <v>6.0</v>
      </c>
      <c r="AW79" s="12" t="s">
        <v>12129</v>
      </c>
      <c r="AX79" s="12" t="s">
        <v>12129</v>
      </c>
      <c r="AY79" s="12" t="s">
        <v>12129</v>
      </c>
      <c r="AZ79" s="12" t="s">
        <v>12129</v>
      </c>
      <c r="BA79" s="12" t="s">
        <v>12129</v>
      </c>
      <c r="BB79" s="12" t="s">
        <v>12129</v>
      </c>
      <c r="BC79" s="12" t="s">
        <v>12129</v>
      </c>
      <c r="BD79" s="12">
        <v>7615.0</v>
      </c>
      <c r="BE79" s="12" t="s">
        <v>333</v>
      </c>
      <c r="BF79" s="25" t="str">
        <f>HYPERLINK("http://dx.doi.org/10.1038/ncomms8615","http://dx.doi.org/10.1038/ncomms8615")</f>
        <v>http://dx.doi.org/10.1038/ncomms8615</v>
      </c>
      <c r="BG79" s="12" t="s">
        <v>12129</v>
      </c>
      <c r="BH79" s="12" t="s">
        <v>12129</v>
      </c>
      <c r="BI79" s="12">
        <v>7.0</v>
      </c>
      <c r="BJ79" s="12" t="s">
        <v>39</v>
      </c>
      <c r="BK79" s="12" t="s">
        <v>12176</v>
      </c>
      <c r="BL79" s="12" t="s">
        <v>12202</v>
      </c>
      <c r="BM79" s="12" t="s">
        <v>16606</v>
      </c>
      <c r="BN79" s="12">
        <v>2.617298E7</v>
      </c>
      <c r="BO79" s="12" t="s">
        <v>12179</v>
      </c>
      <c r="BP79" s="12" t="s">
        <v>12129</v>
      </c>
      <c r="BQ79" s="12" t="s">
        <v>12129</v>
      </c>
      <c r="BR79" s="12" t="s">
        <v>15851</v>
      </c>
      <c r="BS79" s="12" t="s">
        <v>335</v>
      </c>
      <c r="BT79" s="12" t="str">
        <f>HYPERLINK("https%3A%2F%2Fwww.webofscience.com%2Fwos%2Fwoscc%2Ffull-record%2FWOS:000358857000008","View Full Record in Web of Science")</f>
        <v>View Full Record in Web of Science</v>
      </c>
    </row>
    <row r="80" ht="12.75" customHeight="1">
      <c r="A80" s="12" t="s">
        <v>23</v>
      </c>
      <c r="B80" s="12" t="s">
        <v>937</v>
      </c>
      <c r="C80" s="12" t="s">
        <v>12129</v>
      </c>
      <c r="D80" s="12" t="s">
        <v>12129</v>
      </c>
      <c r="E80" s="12" t="s">
        <v>12129</v>
      </c>
      <c r="F80" s="12" t="s">
        <v>9311</v>
      </c>
      <c r="G80" s="12" t="s">
        <v>12129</v>
      </c>
      <c r="H80" s="12" t="s">
        <v>12129</v>
      </c>
      <c r="I80" s="12" t="s">
        <v>938</v>
      </c>
      <c r="J80" s="12" t="s">
        <v>275</v>
      </c>
      <c r="K80" s="12" t="s">
        <v>12129</v>
      </c>
      <c r="L80" s="12" t="s">
        <v>12129</v>
      </c>
      <c r="M80" s="12" t="s">
        <v>3263</v>
      </c>
      <c r="N80" s="12" t="s">
        <v>35</v>
      </c>
      <c r="O80" s="12" t="s">
        <v>12129</v>
      </c>
      <c r="P80" s="12" t="s">
        <v>12129</v>
      </c>
      <c r="Q80" s="12" t="s">
        <v>12129</v>
      </c>
      <c r="R80" s="12" t="s">
        <v>12129</v>
      </c>
      <c r="S80" s="12" t="s">
        <v>12129</v>
      </c>
      <c r="T80" s="12" t="s">
        <v>12129</v>
      </c>
      <c r="U80" s="12" t="s">
        <v>15641</v>
      </c>
      <c r="V80" s="12" t="s">
        <v>939</v>
      </c>
      <c r="W80" s="12" t="s">
        <v>16607</v>
      </c>
      <c r="X80" s="12" t="s">
        <v>16608</v>
      </c>
      <c r="Y80" s="12" t="s">
        <v>16609</v>
      </c>
      <c r="Z80" s="12" t="s">
        <v>16610</v>
      </c>
      <c r="AA80" s="12" t="s">
        <v>16611</v>
      </c>
      <c r="AB80" s="12" t="s">
        <v>16612</v>
      </c>
      <c r="AC80" s="12" t="s">
        <v>16613</v>
      </c>
      <c r="AD80" s="12" t="s">
        <v>16614</v>
      </c>
      <c r="AE80" s="12" t="s">
        <v>16615</v>
      </c>
      <c r="AF80" s="12" t="s">
        <v>12129</v>
      </c>
      <c r="AG80" s="12">
        <v>31.0</v>
      </c>
      <c r="AH80" s="12">
        <v>1863.0</v>
      </c>
      <c r="AI80" s="12">
        <v>2183.0</v>
      </c>
      <c r="AJ80" s="12">
        <v>31.0</v>
      </c>
      <c r="AK80" s="12">
        <v>1498.0</v>
      </c>
      <c r="AL80" s="12" t="s">
        <v>15615</v>
      </c>
      <c r="AM80" s="12" t="s">
        <v>12170</v>
      </c>
      <c r="AN80" s="12" t="s">
        <v>16017</v>
      </c>
      <c r="AO80" s="12" t="s">
        <v>1381</v>
      </c>
      <c r="AP80" s="12" t="s">
        <v>12129</v>
      </c>
      <c r="AQ80" s="12" t="s">
        <v>12129</v>
      </c>
      <c r="AR80" s="12" t="s">
        <v>275</v>
      </c>
      <c r="AS80" s="12" t="s">
        <v>1380</v>
      </c>
      <c r="AT80" s="12" t="s">
        <v>15642</v>
      </c>
      <c r="AU80" s="12">
        <v>2009.0</v>
      </c>
      <c r="AV80" s="12">
        <v>462.0</v>
      </c>
      <c r="AW80" s="12">
        <v>7276.0</v>
      </c>
      <c r="AX80" s="12" t="s">
        <v>12129</v>
      </c>
      <c r="AY80" s="12" t="s">
        <v>12129</v>
      </c>
      <c r="AZ80" s="12" t="s">
        <v>12129</v>
      </c>
      <c r="BA80" s="12" t="s">
        <v>12129</v>
      </c>
      <c r="BB80" s="12">
        <v>1052.0</v>
      </c>
      <c r="BC80" s="12" t="s">
        <v>16616</v>
      </c>
      <c r="BD80" s="12" t="s">
        <v>12129</v>
      </c>
      <c r="BE80" s="12" t="s">
        <v>940</v>
      </c>
      <c r="BF80" s="25" t="str">
        <f>HYPERLINK("http://dx.doi.org/10.1038/nature08649","http://dx.doi.org/10.1038/nature08649")</f>
        <v>http://dx.doi.org/10.1038/nature08649</v>
      </c>
      <c r="BG80" s="12" t="s">
        <v>12129</v>
      </c>
      <c r="BH80" s="12" t="s">
        <v>12129</v>
      </c>
      <c r="BI80" s="12">
        <v>6.0</v>
      </c>
      <c r="BJ80" s="12" t="s">
        <v>39</v>
      </c>
      <c r="BK80" s="12" t="s">
        <v>12176</v>
      </c>
      <c r="BL80" s="12" t="s">
        <v>12202</v>
      </c>
      <c r="BM80" s="12" t="s">
        <v>16617</v>
      </c>
      <c r="BN80" s="12">
        <v>2.0033047E7</v>
      </c>
      <c r="BO80" s="12" t="s">
        <v>12129</v>
      </c>
      <c r="BP80" s="12" t="s">
        <v>12129</v>
      </c>
      <c r="BQ80" s="12" t="s">
        <v>12129</v>
      </c>
      <c r="BR80" s="12" t="s">
        <v>15851</v>
      </c>
      <c r="BS80" s="12" t="s">
        <v>942</v>
      </c>
      <c r="BT80" s="12" t="str">
        <f>HYPERLINK("https%3A%2F%2Fwww.webofscience.com%2Fwos%2Fwoscc%2Ffull-record%2FWOS:000272996000046","View Full Record in Web of Science")</f>
        <v>View Full Record in Web of Science</v>
      </c>
    </row>
    <row r="81" ht="12.75" customHeight="1">
      <c r="A81" s="12" t="s">
        <v>23</v>
      </c>
      <c r="B81" s="12" t="s">
        <v>1098</v>
      </c>
      <c r="C81" s="12" t="s">
        <v>12129</v>
      </c>
      <c r="D81" s="12" t="s">
        <v>12129</v>
      </c>
      <c r="E81" s="12" t="s">
        <v>12129</v>
      </c>
      <c r="F81" s="12" t="s">
        <v>1098</v>
      </c>
      <c r="G81" s="12" t="s">
        <v>12129</v>
      </c>
      <c r="H81" s="12" t="s">
        <v>12129</v>
      </c>
      <c r="I81" s="12" t="s">
        <v>1099</v>
      </c>
      <c r="J81" s="12" t="s">
        <v>1100</v>
      </c>
      <c r="K81" s="12" t="s">
        <v>12129</v>
      </c>
      <c r="L81" s="12" t="s">
        <v>12129</v>
      </c>
      <c r="M81" s="12" t="s">
        <v>3263</v>
      </c>
      <c r="N81" s="12" t="s">
        <v>35</v>
      </c>
      <c r="O81" s="12" t="s">
        <v>12129</v>
      </c>
      <c r="P81" s="12" t="s">
        <v>12129</v>
      </c>
      <c r="Q81" s="12" t="s">
        <v>12129</v>
      </c>
      <c r="R81" s="12" t="s">
        <v>12129</v>
      </c>
      <c r="S81" s="12" t="s">
        <v>12129</v>
      </c>
      <c r="T81" s="12" t="s">
        <v>15429</v>
      </c>
      <c r="U81" s="12" t="s">
        <v>15430</v>
      </c>
      <c r="V81" s="12" t="s">
        <v>1101</v>
      </c>
      <c r="W81" s="12" t="s">
        <v>16618</v>
      </c>
      <c r="X81" s="12" t="s">
        <v>16619</v>
      </c>
      <c r="Y81" s="12" t="s">
        <v>16620</v>
      </c>
      <c r="Z81" s="12" t="s">
        <v>16621</v>
      </c>
      <c r="AA81" s="12" t="s">
        <v>12129</v>
      </c>
      <c r="AB81" s="12" t="s">
        <v>12129</v>
      </c>
      <c r="AC81" s="12" t="s">
        <v>12129</v>
      </c>
      <c r="AD81" s="12" t="s">
        <v>12129</v>
      </c>
      <c r="AE81" s="12" t="s">
        <v>12129</v>
      </c>
      <c r="AF81" s="12" t="s">
        <v>12129</v>
      </c>
      <c r="AG81" s="12">
        <v>38.0</v>
      </c>
      <c r="AH81" s="12">
        <v>49.0</v>
      </c>
      <c r="AI81" s="12">
        <v>65.0</v>
      </c>
      <c r="AJ81" s="12">
        <v>0.0</v>
      </c>
      <c r="AK81" s="12">
        <v>38.0</v>
      </c>
      <c r="AL81" s="12" t="s">
        <v>12243</v>
      </c>
      <c r="AM81" s="12" t="s">
        <v>12244</v>
      </c>
      <c r="AN81" s="12" t="s">
        <v>12245</v>
      </c>
      <c r="AO81" s="12" t="s">
        <v>16622</v>
      </c>
      <c r="AP81" s="12" t="s">
        <v>16623</v>
      </c>
      <c r="AQ81" s="12" t="s">
        <v>12129</v>
      </c>
      <c r="AR81" s="12" t="s">
        <v>1100</v>
      </c>
      <c r="AS81" s="12" t="s">
        <v>814</v>
      </c>
      <c r="AT81" s="12" t="s">
        <v>13127</v>
      </c>
      <c r="AU81" s="12">
        <v>2005.0</v>
      </c>
      <c r="AV81" s="12">
        <v>86.0</v>
      </c>
      <c r="AW81" s="12">
        <v>1.0</v>
      </c>
      <c r="AX81" s="12" t="s">
        <v>12129</v>
      </c>
      <c r="AY81" s="12" t="s">
        <v>12129</v>
      </c>
      <c r="AZ81" s="12" t="s">
        <v>12129</v>
      </c>
      <c r="BA81" s="12" t="s">
        <v>12129</v>
      </c>
      <c r="BB81" s="12">
        <v>26.0</v>
      </c>
      <c r="BC81" s="12">
        <v>33.0</v>
      </c>
      <c r="BD81" s="12" t="s">
        <v>12129</v>
      </c>
      <c r="BE81" s="12" t="s">
        <v>1102</v>
      </c>
      <c r="BF81" s="25" t="str">
        <f>HYPERLINK("http://dx.doi.org/10.1890/03-0564","http://dx.doi.org/10.1890/03-0564")</f>
        <v>http://dx.doi.org/10.1890/03-0564</v>
      </c>
      <c r="BG81" s="12" t="s">
        <v>12129</v>
      </c>
      <c r="BH81" s="12" t="s">
        <v>12129</v>
      </c>
      <c r="BI81" s="12">
        <v>8.0</v>
      </c>
      <c r="BJ81" s="12" t="s">
        <v>814</v>
      </c>
      <c r="BK81" s="12" t="s">
        <v>12176</v>
      </c>
      <c r="BL81" s="12" t="s">
        <v>12251</v>
      </c>
      <c r="BM81" s="12" t="s">
        <v>16624</v>
      </c>
      <c r="BN81" s="12" t="s">
        <v>12129</v>
      </c>
      <c r="BO81" s="12" t="s">
        <v>12129</v>
      </c>
      <c r="BP81" s="12" t="s">
        <v>12129</v>
      </c>
      <c r="BQ81" s="12" t="s">
        <v>12129</v>
      </c>
      <c r="BR81" s="12" t="s">
        <v>15851</v>
      </c>
      <c r="BS81" s="12" t="s">
        <v>1104</v>
      </c>
      <c r="BT81" s="12" t="str">
        <f>HYPERLINK("https%3A%2F%2Fwww.webofscience.com%2Fwos%2Fwoscc%2Ffull-record%2FWOS:000226791700004","View Full Record in Web of Science")</f>
        <v>View Full Record in Web of Science</v>
      </c>
    </row>
    <row r="82" ht="12.75" customHeight="1">
      <c r="A82" s="12" t="s">
        <v>23</v>
      </c>
      <c r="B82" s="12" t="s">
        <v>281</v>
      </c>
      <c r="C82" s="12" t="s">
        <v>12129</v>
      </c>
      <c r="D82" s="12" t="s">
        <v>12129</v>
      </c>
      <c r="E82" s="12" t="s">
        <v>12129</v>
      </c>
      <c r="F82" s="12" t="s">
        <v>16625</v>
      </c>
      <c r="G82" s="12" t="s">
        <v>12129</v>
      </c>
      <c r="H82" s="12" t="s">
        <v>12129</v>
      </c>
      <c r="I82" s="12" t="s">
        <v>282</v>
      </c>
      <c r="J82" s="12" t="s">
        <v>283</v>
      </c>
      <c r="K82" s="12" t="s">
        <v>12129</v>
      </c>
      <c r="L82" s="12" t="s">
        <v>12129</v>
      </c>
      <c r="M82" s="12" t="s">
        <v>3263</v>
      </c>
      <c r="N82" s="12" t="s">
        <v>35</v>
      </c>
      <c r="O82" s="12" t="s">
        <v>12129</v>
      </c>
      <c r="P82" s="12" t="s">
        <v>12129</v>
      </c>
      <c r="Q82" s="12" t="s">
        <v>12129</v>
      </c>
      <c r="R82" s="12" t="s">
        <v>12129</v>
      </c>
      <c r="S82" s="12" t="s">
        <v>12129</v>
      </c>
      <c r="T82" s="12" t="s">
        <v>15747</v>
      </c>
      <c r="U82" s="12" t="s">
        <v>15748</v>
      </c>
      <c r="V82" s="12" t="s">
        <v>284</v>
      </c>
      <c r="W82" s="12" t="s">
        <v>16626</v>
      </c>
      <c r="X82" s="12" t="s">
        <v>16627</v>
      </c>
      <c r="Y82" s="12" t="s">
        <v>16628</v>
      </c>
      <c r="Z82" s="12" t="s">
        <v>16629</v>
      </c>
      <c r="AA82" s="12" t="s">
        <v>16630</v>
      </c>
      <c r="AB82" s="12" t="s">
        <v>16631</v>
      </c>
      <c r="AC82" s="12" t="s">
        <v>16632</v>
      </c>
      <c r="AD82" s="12" t="s">
        <v>16633</v>
      </c>
      <c r="AE82" s="12" t="s">
        <v>16634</v>
      </c>
      <c r="AF82" s="12" t="s">
        <v>12129</v>
      </c>
      <c r="AG82" s="12">
        <v>65.0</v>
      </c>
      <c r="AH82" s="12">
        <v>293.0</v>
      </c>
      <c r="AI82" s="12">
        <v>339.0</v>
      </c>
      <c r="AJ82" s="12">
        <v>22.0</v>
      </c>
      <c r="AK82" s="12">
        <v>391.0</v>
      </c>
      <c r="AL82" s="12" t="s">
        <v>12321</v>
      </c>
      <c r="AM82" s="12" t="s">
        <v>2146</v>
      </c>
      <c r="AN82" s="12" t="s">
        <v>12322</v>
      </c>
      <c r="AO82" s="12" t="s">
        <v>7029</v>
      </c>
      <c r="AP82" s="12" t="s">
        <v>16396</v>
      </c>
      <c r="AQ82" s="12" t="s">
        <v>12129</v>
      </c>
      <c r="AR82" s="12" t="s">
        <v>15749</v>
      </c>
      <c r="AS82" s="12" t="s">
        <v>15750</v>
      </c>
      <c r="AT82" s="12" t="s">
        <v>12787</v>
      </c>
      <c r="AU82" s="12">
        <v>2015.0</v>
      </c>
      <c r="AV82" s="12">
        <v>35.0</v>
      </c>
      <c r="AW82" s="12" t="s">
        <v>12129</v>
      </c>
      <c r="AX82" s="12" t="s">
        <v>12129</v>
      </c>
      <c r="AY82" s="12" t="s">
        <v>12129</v>
      </c>
      <c r="AZ82" s="12" t="s">
        <v>12129</v>
      </c>
      <c r="BA82" s="12" t="s">
        <v>12129</v>
      </c>
      <c r="BB82" s="12">
        <v>138.0</v>
      </c>
      <c r="BC82" s="12">
        <v>147.0</v>
      </c>
      <c r="BD82" s="12" t="s">
        <v>12129</v>
      </c>
      <c r="BE82" s="12" t="s">
        <v>285</v>
      </c>
      <c r="BF82" s="25" t="str">
        <f>HYPERLINK("http://dx.doi.org/10.1016/j.gloenvcha.2015.08.011","http://dx.doi.org/10.1016/j.gloenvcha.2015.08.011")</f>
        <v>http://dx.doi.org/10.1016/j.gloenvcha.2015.08.011</v>
      </c>
      <c r="BG82" s="12" t="s">
        <v>12129</v>
      </c>
      <c r="BH82" s="12" t="s">
        <v>12129</v>
      </c>
      <c r="BI82" s="12">
        <v>10.0</v>
      </c>
      <c r="BJ82" s="12" t="s">
        <v>287</v>
      </c>
      <c r="BK82" s="12" t="s">
        <v>12729</v>
      </c>
      <c r="BL82" s="12" t="s">
        <v>15751</v>
      </c>
      <c r="BM82" s="12" t="s">
        <v>16635</v>
      </c>
      <c r="BN82" s="12" t="s">
        <v>12129</v>
      </c>
      <c r="BO82" s="12" t="s">
        <v>12253</v>
      </c>
      <c r="BP82" s="12" t="s">
        <v>12129</v>
      </c>
      <c r="BQ82" s="12" t="s">
        <v>12129</v>
      </c>
      <c r="BR82" s="12" t="s">
        <v>15851</v>
      </c>
      <c r="BS82" s="12" t="s">
        <v>288</v>
      </c>
      <c r="BT82" s="12" t="str">
        <f>HYPERLINK("https%3A%2F%2Fwww.webofscience.com%2Fwos%2Fwoscc%2Ffull-record%2FWOS:000366767100014","View Full Record in Web of Science")</f>
        <v>View Full Record in Web of Science</v>
      </c>
    </row>
    <row r="83" ht="12.75" customHeight="1">
      <c r="A83" s="12" t="s">
        <v>23</v>
      </c>
      <c r="B83" s="12" t="s">
        <v>299</v>
      </c>
      <c r="C83" s="12" t="s">
        <v>12129</v>
      </c>
      <c r="D83" s="12" t="s">
        <v>12129</v>
      </c>
      <c r="E83" s="12" t="s">
        <v>12129</v>
      </c>
      <c r="F83" s="12" t="s">
        <v>4476</v>
      </c>
      <c r="G83" s="12" t="s">
        <v>12129</v>
      </c>
      <c r="H83" s="12" t="s">
        <v>12129</v>
      </c>
      <c r="I83" s="12" t="s">
        <v>300</v>
      </c>
      <c r="J83" s="12" t="s">
        <v>157</v>
      </c>
      <c r="K83" s="12" t="s">
        <v>12129</v>
      </c>
      <c r="L83" s="12" t="s">
        <v>12129</v>
      </c>
      <c r="M83" s="12" t="s">
        <v>3263</v>
      </c>
      <c r="N83" s="12" t="s">
        <v>35</v>
      </c>
      <c r="O83" s="12" t="s">
        <v>12129</v>
      </c>
      <c r="P83" s="12" t="s">
        <v>12129</v>
      </c>
      <c r="Q83" s="12" t="s">
        <v>12129</v>
      </c>
      <c r="R83" s="12" t="s">
        <v>12129</v>
      </c>
      <c r="S83" s="12" t="s">
        <v>12129</v>
      </c>
      <c r="T83" s="12" t="s">
        <v>12129</v>
      </c>
      <c r="U83" s="12" t="s">
        <v>15612</v>
      </c>
      <c r="V83" s="12" t="s">
        <v>301</v>
      </c>
      <c r="W83" s="12" t="s">
        <v>16636</v>
      </c>
      <c r="X83" s="12" t="s">
        <v>16637</v>
      </c>
      <c r="Y83" s="12" t="s">
        <v>16638</v>
      </c>
      <c r="Z83" s="12" t="s">
        <v>16639</v>
      </c>
      <c r="AA83" s="12" t="s">
        <v>16640</v>
      </c>
      <c r="AB83" s="12" t="s">
        <v>16641</v>
      </c>
      <c r="AC83" s="12" t="s">
        <v>16642</v>
      </c>
      <c r="AD83" s="12" t="s">
        <v>16643</v>
      </c>
      <c r="AE83" s="12" t="s">
        <v>16644</v>
      </c>
      <c r="AF83" s="12" t="s">
        <v>12129</v>
      </c>
      <c r="AG83" s="12">
        <v>52.0</v>
      </c>
      <c r="AH83" s="12">
        <v>1006.0</v>
      </c>
      <c r="AI83" s="12">
        <v>1205.0</v>
      </c>
      <c r="AJ83" s="12">
        <v>6.0</v>
      </c>
      <c r="AK83" s="12">
        <v>495.0</v>
      </c>
      <c r="AL83" s="12" t="s">
        <v>12723</v>
      </c>
      <c r="AM83" s="12" t="s">
        <v>12724</v>
      </c>
      <c r="AN83" s="12" t="s">
        <v>12725</v>
      </c>
      <c r="AO83" s="12" t="s">
        <v>2481</v>
      </c>
      <c r="AP83" s="12" t="s">
        <v>12129</v>
      </c>
      <c r="AQ83" s="12" t="s">
        <v>12129</v>
      </c>
      <c r="AR83" s="12" t="s">
        <v>15609</v>
      </c>
      <c r="AS83" s="12" t="s">
        <v>15610</v>
      </c>
      <c r="AT83" s="12" t="s">
        <v>15613</v>
      </c>
      <c r="AU83" s="12">
        <v>2015.0</v>
      </c>
      <c r="AV83" s="12">
        <v>5.0</v>
      </c>
      <c r="AW83" s="12" t="s">
        <v>12129</v>
      </c>
      <c r="AX83" s="12" t="s">
        <v>12129</v>
      </c>
      <c r="AY83" s="12" t="s">
        <v>12129</v>
      </c>
      <c r="AZ83" s="12" t="s">
        <v>12129</v>
      </c>
      <c r="BA83" s="12" t="s">
        <v>12129</v>
      </c>
      <c r="BB83" s="12" t="s">
        <v>12129</v>
      </c>
      <c r="BC83" s="12" t="s">
        <v>12129</v>
      </c>
      <c r="BD83" s="12">
        <v>14340.0</v>
      </c>
      <c r="BE83" s="12" t="s">
        <v>302</v>
      </c>
      <c r="BF83" s="25" t="str">
        <f>HYPERLINK("http://dx.doi.org/10.1038/srep14340","http://dx.doi.org/10.1038/srep14340")</f>
        <v>http://dx.doi.org/10.1038/srep14340</v>
      </c>
      <c r="BG83" s="12" t="s">
        <v>12129</v>
      </c>
      <c r="BH83" s="12" t="s">
        <v>12129</v>
      </c>
      <c r="BI83" s="12">
        <v>10.0</v>
      </c>
      <c r="BJ83" s="12" t="s">
        <v>39</v>
      </c>
      <c r="BK83" s="12" t="s">
        <v>12176</v>
      </c>
      <c r="BL83" s="12" t="s">
        <v>12202</v>
      </c>
      <c r="BM83" s="12" t="s">
        <v>16645</v>
      </c>
      <c r="BN83" s="12">
        <v>2.6399762E7</v>
      </c>
      <c r="BO83" s="12" t="s">
        <v>12179</v>
      </c>
      <c r="BP83" s="12" t="s">
        <v>12129</v>
      </c>
      <c r="BQ83" s="12" t="s">
        <v>12129</v>
      </c>
      <c r="BR83" s="12" t="s">
        <v>15851</v>
      </c>
      <c r="BS83" s="12" t="s">
        <v>304</v>
      </c>
      <c r="BT83" s="12" t="str">
        <f>HYPERLINK("https%3A%2F%2Fwww.webofscience.com%2Fwos%2Fwoscc%2Ffull-record%2FWOS:000361664300001","View Full Record in Web of Science")</f>
        <v>View Full Record in Web of Science</v>
      </c>
    </row>
    <row r="84" ht="12.75" customHeight="1">
      <c r="A84" s="12" t="s">
        <v>23</v>
      </c>
      <c r="B84" s="12" t="s">
        <v>368</v>
      </c>
      <c r="C84" s="12" t="s">
        <v>12129</v>
      </c>
      <c r="D84" s="12" t="s">
        <v>12129</v>
      </c>
      <c r="E84" s="12" t="s">
        <v>12129</v>
      </c>
      <c r="F84" s="12" t="s">
        <v>8484</v>
      </c>
      <c r="G84" s="12" t="s">
        <v>12129</v>
      </c>
      <c r="H84" s="12" t="s">
        <v>12129</v>
      </c>
      <c r="I84" s="12" t="s">
        <v>369</v>
      </c>
      <c r="J84" s="12" t="s">
        <v>34</v>
      </c>
      <c r="K84" s="12" t="s">
        <v>12129</v>
      </c>
      <c r="L84" s="12" t="s">
        <v>12129</v>
      </c>
      <c r="M84" s="12" t="s">
        <v>3263</v>
      </c>
      <c r="N84" s="12" t="s">
        <v>35</v>
      </c>
      <c r="O84" s="12" t="s">
        <v>12129</v>
      </c>
      <c r="P84" s="12" t="s">
        <v>12129</v>
      </c>
      <c r="Q84" s="12" t="s">
        <v>12129</v>
      </c>
      <c r="R84" s="12" t="s">
        <v>12129</v>
      </c>
      <c r="S84" s="12" t="s">
        <v>12129</v>
      </c>
      <c r="T84" s="12" t="s">
        <v>15577</v>
      </c>
      <c r="U84" s="12" t="s">
        <v>15578</v>
      </c>
      <c r="V84" s="12" t="s">
        <v>370</v>
      </c>
      <c r="W84" s="12" t="s">
        <v>16646</v>
      </c>
      <c r="X84" s="12" t="s">
        <v>16647</v>
      </c>
      <c r="Y84" s="12" t="s">
        <v>16648</v>
      </c>
      <c r="Z84" s="12" t="s">
        <v>16649</v>
      </c>
      <c r="AA84" s="12" t="s">
        <v>16650</v>
      </c>
      <c r="AB84" s="12" t="s">
        <v>12129</v>
      </c>
      <c r="AC84" s="12" t="s">
        <v>16651</v>
      </c>
      <c r="AD84" s="12" t="s">
        <v>16652</v>
      </c>
      <c r="AE84" s="12" t="s">
        <v>16653</v>
      </c>
      <c r="AF84" s="12" t="s">
        <v>12129</v>
      </c>
      <c r="AG84" s="12">
        <v>41.0</v>
      </c>
      <c r="AH84" s="12">
        <v>555.0</v>
      </c>
      <c r="AI84" s="12">
        <v>640.0</v>
      </c>
      <c r="AJ84" s="12">
        <v>19.0</v>
      </c>
      <c r="AK84" s="12">
        <v>462.0</v>
      </c>
      <c r="AL84" s="12" t="s">
        <v>12631</v>
      </c>
      <c r="AM84" s="12" t="s">
        <v>12632</v>
      </c>
      <c r="AN84" s="12" t="s">
        <v>12633</v>
      </c>
      <c r="AO84" s="12" t="s">
        <v>1689</v>
      </c>
      <c r="AP84" s="12" t="s">
        <v>12129</v>
      </c>
      <c r="AQ84" s="12" t="s">
        <v>12129</v>
      </c>
      <c r="AR84" s="12" t="s">
        <v>12634</v>
      </c>
      <c r="AS84" s="12" t="s">
        <v>12635</v>
      </c>
      <c r="AT84" s="12" t="s">
        <v>15579</v>
      </c>
      <c r="AU84" s="12">
        <v>2015.0</v>
      </c>
      <c r="AV84" s="12">
        <v>112.0</v>
      </c>
      <c r="AW84" s="12">
        <v>18.0</v>
      </c>
      <c r="AX84" s="12" t="s">
        <v>12129</v>
      </c>
      <c r="AY84" s="12" t="s">
        <v>12129</v>
      </c>
      <c r="AZ84" s="12" t="s">
        <v>12129</v>
      </c>
      <c r="BA84" s="12" t="s">
        <v>12129</v>
      </c>
      <c r="BB84" s="12">
        <v>5750.0</v>
      </c>
      <c r="BC84" s="12">
        <v>5755.0</v>
      </c>
      <c r="BD84" s="12" t="s">
        <v>12129</v>
      </c>
      <c r="BE84" s="12" t="s">
        <v>371</v>
      </c>
      <c r="BF84" s="25" t="str">
        <f>HYPERLINK("http://dx.doi.org/10.1073/pnas.1500232112","http://dx.doi.org/10.1073/pnas.1500232112")</f>
        <v>http://dx.doi.org/10.1073/pnas.1500232112</v>
      </c>
      <c r="BG84" s="12" t="s">
        <v>12129</v>
      </c>
      <c r="BH84" s="12" t="s">
        <v>12129</v>
      </c>
      <c r="BI84" s="12">
        <v>6.0</v>
      </c>
      <c r="BJ84" s="12" t="s">
        <v>39</v>
      </c>
      <c r="BK84" s="12" t="s">
        <v>12176</v>
      </c>
      <c r="BL84" s="12" t="s">
        <v>12202</v>
      </c>
      <c r="BM84" s="12" t="s">
        <v>16654</v>
      </c>
      <c r="BN84" s="12">
        <v>2.5870271E7</v>
      </c>
      <c r="BO84" s="12" t="s">
        <v>12378</v>
      </c>
      <c r="BP84" s="12" t="s">
        <v>12129</v>
      </c>
      <c r="BQ84" s="12" t="s">
        <v>12129</v>
      </c>
      <c r="BR84" s="12" t="s">
        <v>15851</v>
      </c>
      <c r="BS84" s="12" t="s">
        <v>373</v>
      </c>
      <c r="BT84" s="12" t="str">
        <f>HYPERLINK("https%3A%2F%2Fwww.webofscience.com%2Fwos%2Fwoscc%2Ffull-record%2FWOS:000353953800062","View Full Record in Web of Science")</f>
        <v>View Full Record in Web of Science</v>
      </c>
    </row>
    <row r="85" ht="12.75" customHeight="1">
      <c r="A85" s="12" t="s">
        <v>23</v>
      </c>
      <c r="B85" s="12" t="s">
        <v>667</v>
      </c>
      <c r="C85" s="12" t="s">
        <v>12129</v>
      </c>
      <c r="D85" s="12" t="s">
        <v>12129</v>
      </c>
      <c r="E85" s="12" t="s">
        <v>12129</v>
      </c>
      <c r="F85" s="12" t="s">
        <v>16655</v>
      </c>
      <c r="G85" s="12" t="s">
        <v>12129</v>
      </c>
      <c r="H85" s="12" t="s">
        <v>12129</v>
      </c>
      <c r="I85" s="12" t="s">
        <v>668</v>
      </c>
      <c r="J85" s="12" t="s">
        <v>315</v>
      </c>
      <c r="K85" s="12" t="s">
        <v>12129</v>
      </c>
      <c r="L85" s="12" t="s">
        <v>12129</v>
      </c>
      <c r="M85" s="12" t="s">
        <v>3263</v>
      </c>
      <c r="N85" s="12" t="s">
        <v>35</v>
      </c>
      <c r="O85" s="12" t="s">
        <v>12129</v>
      </c>
      <c r="P85" s="12" t="s">
        <v>12129</v>
      </c>
      <c r="Q85" s="12" t="s">
        <v>12129</v>
      </c>
      <c r="R85" s="12" t="s">
        <v>12129</v>
      </c>
      <c r="S85" s="12" t="s">
        <v>12129</v>
      </c>
      <c r="T85" s="12" t="s">
        <v>15554</v>
      </c>
      <c r="U85" s="12" t="s">
        <v>15555</v>
      </c>
      <c r="V85" s="12" t="s">
        <v>669</v>
      </c>
      <c r="W85" s="12" t="s">
        <v>16656</v>
      </c>
      <c r="X85" s="12" t="s">
        <v>16657</v>
      </c>
      <c r="Y85" s="12" t="s">
        <v>12129</v>
      </c>
      <c r="Z85" s="12" t="s">
        <v>16658</v>
      </c>
      <c r="AA85" s="12" t="s">
        <v>16659</v>
      </c>
      <c r="AB85" s="12" t="s">
        <v>16660</v>
      </c>
      <c r="AC85" s="12" t="s">
        <v>16661</v>
      </c>
      <c r="AD85" s="12" t="s">
        <v>16662</v>
      </c>
      <c r="AE85" s="12" t="s">
        <v>16663</v>
      </c>
      <c r="AF85" s="12" t="s">
        <v>12129</v>
      </c>
      <c r="AG85" s="12">
        <v>25.0</v>
      </c>
      <c r="AH85" s="12">
        <v>845.0</v>
      </c>
      <c r="AI85" s="12">
        <v>1024.0</v>
      </c>
      <c r="AJ85" s="12">
        <v>6.0</v>
      </c>
      <c r="AK85" s="12">
        <v>384.0</v>
      </c>
      <c r="AL85" s="12" t="s">
        <v>15556</v>
      </c>
      <c r="AM85" s="12" t="s">
        <v>12393</v>
      </c>
      <c r="AN85" s="12" t="s">
        <v>12394</v>
      </c>
      <c r="AO85" s="12" t="s">
        <v>5876</v>
      </c>
      <c r="AP85" s="12" t="s">
        <v>12129</v>
      </c>
      <c r="AQ85" s="12" t="s">
        <v>12129</v>
      </c>
      <c r="AR85" s="12" t="s">
        <v>12395</v>
      </c>
      <c r="AS85" s="12" t="s">
        <v>5884</v>
      </c>
      <c r="AT85" s="12" t="s">
        <v>12148</v>
      </c>
      <c r="AU85" s="12">
        <v>2012.0</v>
      </c>
      <c r="AV85" s="12">
        <v>7.0</v>
      </c>
      <c r="AW85" s="12">
        <v>4.0</v>
      </c>
      <c r="AX85" s="12" t="s">
        <v>12129</v>
      </c>
      <c r="AY85" s="12" t="s">
        <v>12129</v>
      </c>
      <c r="AZ85" s="12" t="s">
        <v>12129</v>
      </c>
      <c r="BA85" s="12" t="s">
        <v>12129</v>
      </c>
      <c r="BB85" s="12" t="s">
        <v>12129</v>
      </c>
      <c r="BC85" s="12" t="s">
        <v>12129</v>
      </c>
      <c r="BD85" s="12">
        <v>44009.0</v>
      </c>
      <c r="BE85" s="12" t="s">
        <v>670</v>
      </c>
      <c r="BF85" s="25" t="str">
        <f>HYPERLINK("http://dx.doi.org/10.1088/1748-9326/7/4/044009","http://dx.doi.org/10.1088/1748-9326/7/4/044009")</f>
        <v>http://dx.doi.org/10.1088/1748-9326/7/4/044009</v>
      </c>
      <c r="BG85" s="12" t="s">
        <v>12129</v>
      </c>
      <c r="BH85" s="12" t="s">
        <v>12129</v>
      </c>
      <c r="BI85" s="12">
        <v>12.0</v>
      </c>
      <c r="BJ85" s="12" t="s">
        <v>319</v>
      </c>
      <c r="BK85" s="12" t="s">
        <v>12729</v>
      </c>
      <c r="BL85" s="12" t="s">
        <v>12397</v>
      </c>
      <c r="BM85" s="12" t="s">
        <v>16664</v>
      </c>
      <c r="BN85" s="12" t="s">
        <v>12129</v>
      </c>
      <c r="BO85" s="12" t="s">
        <v>12179</v>
      </c>
      <c r="BP85" s="12" t="s">
        <v>12129</v>
      </c>
      <c r="BQ85" s="12" t="s">
        <v>12129</v>
      </c>
      <c r="BR85" s="12" t="s">
        <v>15851</v>
      </c>
      <c r="BS85" s="12" t="s">
        <v>672</v>
      </c>
      <c r="BT85" s="12" t="str">
        <f>HYPERLINK("https%3A%2F%2Fwww.webofscience.com%2Fwos%2Fwoscc%2Ffull-record%2FWOS:000312696400013","View Full Record in Web of Science")</f>
        <v>View Full Record in Web of Science</v>
      </c>
    </row>
    <row r="86" ht="12.75" customHeight="1">
      <c r="A86" s="12" t="s">
        <v>23</v>
      </c>
      <c r="B86" s="12" t="s">
        <v>707</v>
      </c>
      <c r="C86" s="12" t="s">
        <v>12129</v>
      </c>
      <c r="D86" s="12" t="s">
        <v>12129</v>
      </c>
      <c r="E86" s="12" t="s">
        <v>12129</v>
      </c>
      <c r="F86" s="12" t="s">
        <v>16665</v>
      </c>
      <c r="G86" s="12" t="s">
        <v>12129</v>
      </c>
      <c r="H86" s="12" t="s">
        <v>12129</v>
      </c>
      <c r="I86" s="12" t="s">
        <v>708</v>
      </c>
      <c r="J86" s="12" t="s">
        <v>283</v>
      </c>
      <c r="K86" s="12" t="s">
        <v>12129</v>
      </c>
      <c r="L86" s="12" t="s">
        <v>12129</v>
      </c>
      <c r="M86" s="12" t="s">
        <v>3263</v>
      </c>
      <c r="N86" s="12" t="s">
        <v>35</v>
      </c>
      <c r="O86" s="12" t="s">
        <v>12129</v>
      </c>
      <c r="P86" s="12" t="s">
        <v>12129</v>
      </c>
      <c r="Q86" s="12" t="s">
        <v>12129</v>
      </c>
      <c r="R86" s="12" t="s">
        <v>12129</v>
      </c>
      <c r="S86" s="12" t="s">
        <v>12129</v>
      </c>
      <c r="T86" s="12" t="s">
        <v>15754</v>
      </c>
      <c r="U86" s="12" t="s">
        <v>15755</v>
      </c>
      <c r="V86" s="12" t="s">
        <v>709</v>
      </c>
      <c r="W86" s="12" t="s">
        <v>16666</v>
      </c>
      <c r="X86" s="12" t="s">
        <v>16667</v>
      </c>
      <c r="Y86" s="12" t="s">
        <v>16668</v>
      </c>
      <c r="Z86" s="12" t="s">
        <v>16669</v>
      </c>
      <c r="AA86" s="12" t="s">
        <v>16670</v>
      </c>
      <c r="AB86" s="12" t="s">
        <v>16671</v>
      </c>
      <c r="AC86" s="12" t="s">
        <v>16672</v>
      </c>
      <c r="AD86" s="12" t="s">
        <v>16673</v>
      </c>
      <c r="AE86" s="12" t="s">
        <v>16674</v>
      </c>
      <c r="AF86" s="12" t="s">
        <v>12129</v>
      </c>
      <c r="AG86" s="12">
        <v>135.0</v>
      </c>
      <c r="AH86" s="12">
        <v>465.0</v>
      </c>
      <c r="AI86" s="12">
        <v>526.0</v>
      </c>
      <c r="AJ86" s="12">
        <v>3.0</v>
      </c>
      <c r="AK86" s="12">
        <v>380.0</v>
      </c>
      <c r="AL86" s="12" t="s">
        <v>12321</v>
      </c>
      <c r="AM86" s="12" t="s">
        <v>12295</v>
      </c>
      <c r="AN86" s="12" t="s">
        <v>12454</v>
      </c>
      <c r="AO86" s="12" t="s">
        <v>7029</v>
      </c>
      <c r="AP86" s="12" t="s">
        <v>16396</v>
      </c>
      <c r="AQ86" s="12" t="s">
        <v>12129</v>
      </c>
      <c r="AR86" s="12" t="s">
        <v>15749</v>
      </c>
      <c r="AS86" s="12" t="s">
        <v>15750</v>
      </c>
      <c r="AT86" s="12" t="s">
        <v>12459</v>
      </c>
      <c r="AU86" s="12">
        <v>2012.0</v>
      </c>
      <c r="AV86" s="12">
        <v>22.0</v>
      </c>
      <c r="AW86" s="12">
        <v>2.0</v>
      </c>
      <c r="AX86" s="12" t="s">
        <v>12129</v>
      </c>
      <c r="AY86" s="12" t="s">
        <v>12129</v>
      </c>
      <c r="AZ86" s="12" t="s">
        <v>12129</v>
      </c>
      <c r="BA86" s="12" t="s">
        <v>12129</v>
      </c>
      <c r="BB86" s="12">
        <v>418.0</v>
      </c>
      <c r="BC86" s="12">
        <v>429.0</v>
      </c>
      <c r="BD86" s="12" t="s">
        <v>12129</v>
      </c>
      <c r="BE86" s="12" t="s">
        <v>710</v>
      </c>
      <c r="BF86" s="25" t="str">
        <f>HYPERLINK("http://dx.doi.org/10.1016/j.gloenvcha.2011.10.009","http://dx.doi.org/10.1016/j.gloenvcha.2011.10.009")</f>
        <v>http://dx.doi.org/10.1016/j.gloenvcha.2011.10.009</v>
      </c>
      <c r="BG86" s="12" t="s">
        <v>12129</v>
      </c>
      <c r="BH86" s="12" t="s">
        <v>12129</v>
      </c>
      <c r="BI86" s="12">
        <v>12.0</v>
      </c>
      <c r="BJ86" s="12" t="s">
        <v>287</v>
      </c>
      <c r="BK86" s="12" t="s">
        <v>12729</v>
      </c>
      <c r="BL86" s="12" t="s">
        <v>15751</v>
      </c>
      <c r="BM86" s="12" t="s">
        <v>16675</v>
      </c>
      <c r="BN86" s="12" t="s">
        <v>12129</v>
      </c>
      <c r="BO86" s="12" t="s">
        <v>16676</v>
      </c>
      <c r="BP86" s="12" t="s">
        <v>12129</v>
      </c>
      <c r="BQ86" s="12" t="s">
        <v>12129</v>
      </c>
      <c r="BR86" s="12" t="s">
        <v>15851</v>
      </c>
      <c r="BS86" s="12" t="s">
        <v>712</v>
      </c>
      <c r="BT86" s="12" t="str">
        <f>HYPERLINK("https%3A%2F%2Fwww.webofscience.com%2Fwos%2Fwoscc%2Ffull-record%2FWOS:000304290100012","View Full Record in Web of Science")</f>
        <v>View Full Record in Web of Science</v>
      </c>
    </row>
    <row r="87" ht="12.75" customHeight="1">
      <c r="A87" s="12" t="s">
        <v>23</v>
      </c>
      <c r="B87" s="12" t="s">
        <v>723</v>
      </c>
      <c r="C87" s="12" t="s">
        <v>12129</v>
      </c>
      <c r="D87" s="12" t="s">
        <v>12129</v>
      </c>
      <c r="E87" s="12" t="s">
        <v>12129</v>
      </c>
      <c r="F87" s="12" t="s">
        <v>16677</v>
      </c>
      <c r="G87" s="12" t="s">
        <v>12129</v>
      </c>
      <c r="H87" s="12" t="s">
        <v>12129</v>
      </c>
      <c r="I87" s="12" t="s">
        <v>724</v>
      </c>
      <c r="J87" s="12" t="s">
        <v>34</v>
      </c>
      <c r="K87" s="12" t="s">
        <v>12129</v>
      </c>
      <c r="L87" s="12" t="s">
        <v>12129</v>
      </c>
      <c r="M87" s="12" t="s">
        <v>3263</v>
      </c>
      <c r="N87" s="12" t="s">
        <v>35</v>
      </c>
      <c r="O87" s="12" t="s">
        <v>12129</v>
      </c>
      <c r="P87" s="12" t="s">
        <v>12129</v>
      </c>
      <c r="Q87" s="12" t="s">
        <v>12129</v>
      </c>
      <c r="R87" s="12" t="s">
        <v>12129</v>
      </c>
      <c r="S87" s="12" t="s">
        <v>12129</v>
      </c>
      <c r="T87" s="12" t="s">
        <v>15590</v>
      </c>
      <c r="U87" s="12" t="s">
        <v>15591</v>
      </c>
      <c r="V87" s="12" t="s">
        <v>725</v>
      </c>
      <c r="W87" s="12" t="s">
        <v>16678</v>
      </c>
      <c r="X87" s="12" t="s">
        <v>16679</v>
      </c>
      <c r="Y87" s="12" t="s">
        <v>16680</v>
      </c>
      <c r="Z87" s="12" t="s">
        <v>16681</v>
      </c>
      <c r="AA87" s="12" t="s">
        <v>16682</v>
      </c>
      <c r="AB87" s="12" t="s">
        <v>16683</v>
      </c>
      <c r="AC87" s="12" t="s">
        <v>16684</v>
      </c>
      <c r="AD87" s="12" t="s">
        <v>16685</v>
      </c>
      <c r="AE87" s="12" t="s">
        <v>16686</v>
      </c>
      <c r="AF87" s="12" t="s">
        <v>12129</v>
      </c>
      <c r="AG87" s="12">
        <v>42.0</v>
      </c>
      <c r="AH87" s="12">
        <v>455.0</v>
      </c>
      <c r="AI87" s="12">
        <v>527.0</v>
      </c>
      <c r="AJ87" s="12">
        <v>6.0</v>
      </c>
      <c r="AK87" s="12">
        <v>232.0</v>
      </c>
      <c r="AL87" s="12" t="s">
        <v>12631</v>
      </c>
      <c r="AM87" s="12" t="s">
        <v>12632</v>
      </c>
      <c r="AN87" s="12" t="s">
        <v>12633</v>
      </c>
      <c r="AO87" s="12" t="s">
        <v>1689</v>
      </c>
      <c r="AP87" s="12" t="s">
        <v>12129</v>
      </c>
      <c r="AQ87" s="12" t="s">
        <v>12129</v>
      </c>
      <c r="AR87" s="12" t="s">
        <v>12634</v>
      </c>
      <c r="AS87" s="12" t="s">
        <v>12635</v>
      </c>
      <c r="AT87" s="12" t="s">
        <v>15592</v>
      </c>
      <c r="AU87" s="12">
        <v>2012.0</v>
      </c>
      <c r="AV87" s="12">
        <v>109.0</v>
      </c>
      <c r="AW87" s="12">
        <v>4.0</v>
      </c>
      <c r="AX87" s="12" t="s">
        <v>12129</v>
      </c>
      <c r="AY87" s="12" t="s">
        <v>12129</v>
      </c>
      <c r="AZ87" s="12" t="s">
        <v>12129</v>
      </c>
      <c r="BA87" s="12" t="s">
        <v>12129</v>
      </c>
      <c r="BB87" s="12">
        <v>1341.0</v>
      </c>
      <c r="BC87" s="12">
        <v>1346.0</v>
      </c>
      <c r="BD87" s="12" t="s">
        <v>12129</v>
      </c>
      <c r="BE87" s="12" t="s">
        <v>726</v>
      </c>
      <c r="BF87" s="25" t="str">
        <f>HYPERLINK("http://dx.doi.org/10.1073/pnas.1111374109","http://dx.doi.org/10.1073/pnas.1111374109")</f>
        <v>http://dx.doi.org/10.1073/pnas.1111374109</v>
      </c>
      <c r="BG87" s="12" t="s">
        <v>12129</v>
      </c>
      <c r="BH87" s="12" t="s">
        <v>12129</v>
      </c>
      <c r="BI87" s="12">
        <v>6.0</v>
      </c>
      <c r="BJ87" s="12" t="s">
        <v>39</v>
      </c>
      <c r="BK87" s="12" t="s">
        <v>12176</v>
      </c>
      <c r="BL87" s="12" t="s">
        <v>12202</v>
      </c>
      <c r="BM87" s="12" t="s">
        <v>16687</v>
      </c>
      <c r="BN87" s="12">
        <v>2.2232692E7</v>
      </c>
      <c r="BO87" s="12" t="s">
        <v>12129</v>
      </c>
      <c r="BP87" s="12" t="s">
        <v>12129</v>
      </c>
      <c r="BQ87" s="12" t="s">
        <v>12129</v>
      </c>
      <c r="BR87" s="12" t="s">
        <v>15851</v>
      </c>
      <c r="BS87" s="12" t="s">
        <v>728</v>
      </c>
      <c r="BT87" s="12" t="str">
        <f>HYPERLINK("https%3A%2F%2Fwww.webofscience.com%2Fwos%2Fwoscc%2Ffull-record%2FWOS:000299412600068","View Full Record in Web of Science")</f>
        <v>View Full Record in Web of Science</v>
      </c>
    </row>
    <row r="88" ht="12.75" customHeight="1">
      <c r="A88" s="12" t="s">
        <v>23</v>
      </c>
      <c r="B88" s="12" t="s">
        <v>222</v>
      </c>
      <c r="C88" s="12" t="s">
        <v>12129</v>
      </c>
      <c r="D88" s="12" t="s">
        <v>12129</v>
      </c>
      <c r="E88" s="12" t="s">
        <v>12129</v>
      </c>
      <c r="F88" s="12" t="s">
        <v>16688</v>
      </c>
      <c r="G88" s="12" t="s">
        <v>12129</v>
      </c>
      <c r="H88" s="12" t="s">
        <v>12129</v>
      </c>
      <c r="I88" s="12" t="s">
        <v>223</v>
      </c>
      <c r="J88" s="12" t="s">
        <v>224</v>
      </c>
      <c r="K88" s="12" t="s">
        <v>12129</v>
      </c>
      <c r="L88" s="12" t="s">
        <v>12129</v>
      </c>
      <c r="M88" s="12" t="s">
        <v>3263</v>
      </c>
      <c r="N88" s="12" t="s">
        <v>35</v>
      </c>
      <c r="O88" s="12" t="s">
        <v>12129</v>
      </c>
      <c r="P88" s="12" t="s">
        <v>12129</v>
      </c>
      <c r="Q88" s="12" t="s">
        <v>12129</v>
      </c>
      <c r="R88" s="12" t="s">
        <v>12129</v>
      </c>
      <c r="S88" s="12" t="s">
        <v>12129</v>
      </c>
      <c r="T88" s="12" t="s">
        <v>15769</v>
      </c>
      <c r="U88" s="12" t="s">
        <v>15770</v>
      </c>
      <c r="V88" s="12" t="s">
        <v>225</v>
      </c>
      <c r="W88" s="12" t="s">
        <v>16689</v>
      </c>
      <c r="X88" s="12" t="s">
        <v>16690</v>
      </c>
      <c r="Y88" s="12" t="s">
        <v>16691</v>
      </c>
      <c r="Z88" s="12" t="s">
        <v>16692</v>
      </c>
      <c r="AA88" s="12" t="s">
        <v>16693</v>
      </c>
      <c r="AB88" s="12" t="s">
        <v>16694</v>
      </c>
      <c r="AC88" s="12" t="s">
        <v>16695</v>
      </c>
      <c r="AD88" s="12" t="s">
        <v>16696</v>
      </c>
      <c r="AE88" s="12" t="s">
        <v>16697</v>
      </c>
      <c r="AF88" s="12" t="s">
        <v>12129</v>
      </c>
      <c r="AG88" s="12">
        <v>56.0</v>
      </c>
      <c r="AH88" s="12">
        <v>256.0</v>
      </c>
      <c r="AI88" s="12">
        <v>283.0</v>
      </c>
      <c r="AJ88" s="12">
        <v>3.0</v>
      </c>
      <c r="AK88" s="12">
        <v>230.0</v>
      </c>
      <c r="AL88" s="12" t="s">
        <v>13625</v>
      </c>
      <c r="AM88" s="12" t="s">
        <v>12170</v>
      </c>
      <c r="AN88" s="12" t="s">
        <v>13626</v>
      </c>
      <c r="AO88" s="12" t="s">
        <v>15189</v>
      </c>
      <c r="AP88" s="12" t="s">
        <v>15190</v>
      </c>
      <c r="AQ88" s="12" t="s">
        <v>12129</v>
      </c>
      <c r="AR88" s="12" t="s">
        <v>15191</v>
      </c>
      <c r="AS88" s="12" t="s">
        <v>15192</v>
      </c>
      <c r="AT88" s="12" t="s">
        <v>15384</v>
      </c>
      <c r="AU88" s="12">
        <v>2016.0</v>
      </c>
      <c r="AV88" s="12">
        <v>171.0</v>
      </c>
      <c r="AW88" s="12" t="s">
        <v>12129</v>
      </c>
      <c r="AX88" s="12" t="s">
        <v>12129</v>
      </c>
      <c r="AY88" s="12" t="s">
        <v>12129</v>
      </c>
      <c r="AZ88" s="12" t="s">
        <v>12129</v>
      </c>
      <c r="BA88" s="12" t="s">
        <v>12129</v>
      </c>
      <c r="BB88" s="12">
        <v>111.0</v>
      </c>
      <c r="BC88" s="12">
        <v>122.0</v>
      </c>
      <c r="BD88" s="12" t="s">
        <v>12129</v>
      </c>
      <c r="BE88" s="12" t="s">
        <v>226</v>
      </c>
      <c r="BF88" s="25" t="str">
        <f>HYPERLINK("http://dx.doi.org/10.1016/j.ecss.2016.01.036","http://dx.doi.org/10.1016/j.ecss.2016.01.036")</f>
        <v>http://dx.doi.org/10.1016/j.ecss.2016.01.036</v>
      </c>
      <c r="BG88" s="12" t="s">
        <v>12129</v>
      </c>
      <c r="BH88" s="12" t="s">
        <v>12129</v>
      </c>
      <c r="BI88" s="12">
        <v>12.0</v>
      </c>
      <c r="BJ88" s="12" t="s">
        <v>228</v>
      </c>
      <c r="BK88" s="12" t="s">
        <v>12176</v>
      </c>
      <c r="BL88" s="12" t="s">
        <v>228</v>
      </c>
      <c r="BM88" s="12" t="s">
        <v>16698</v>
      </c>
      <c r="BN88" s="12" t="s">
        <v>12129</v>
      </c>
      <c r="BO88" s="12" t="s">
        <v>12129</v>
      </c>
      <c r="BP88" s="12" t="s">
        <v>12129</v>
      </c>
      <c r="BQ88" s="12" t="s">
        <v>12129</v>
      </c>
      <c r="BR88" s="12" t="s">
        <v>15851</v>
      </c>
      <c r="BS88" s="12" t="s">
        <v>229</v>
      </c>
      <c r="BT88" s="12" t="str">
        <f>HYPERLINK("https%3A%2F%2Fwww.webofscience.com%2Fwos%2Fwoscc%2Ffull-record%2FWOS:000374199400013","View Full Record in Web of Science")</f>
        <v>View Full Record in Web of Science</v>
      </c>
    </row>
    <row r="89" ht="12.75" customHeight="1">
      <c r="A89" s="12" t="s">
        <v>23</v>
      </c>
      <c r="B89" s="12" t="s">
        <v>273</v>
      </c>
      <c r="C89" s="12" t="s">
        <v>12129</v>
      </c>
      <c r="D89" s="12" t="s">
        <v>12129</v>
      </c>
      <c r="E89" s="12" t="s">
        <v>12129</v>
      </c>
      <c r="F89" s="12" t="s">
        <v>7197</v>
      </c>
      <c r="G89" s="12" t="s">
        <v>12129</v>
      </c>
      <c r="H89" s="12" t="s">
        <v>12129</v>
      </c>
      <c r="I89" s="12" t="s">
        <v>274</v>
      </c>
      <c r="J89" s="12" t="s">
        <v>275</v>
      </c>
      <c r="K89" s="12" t="s">
        <v>12129</v>
      </c>
      <c r="L89" s="12" t="s">
        <v>12129</v>
      </c>
      <c r="M89" s="12" t="s">
        <v>3263</v>
      </c>
      <c r="N89" s="12" t="s">
        <v>35</v>
      </c>
      <c r="O89" s="12" t="s">
        <v>12129</v>
      </c>
      <c r="P89" s="12" t="s">
        <v>12129</v>
      </c>
      <c r="Q89" s="12" t="s">
        <v>12129</v>
      </c>
      <c r="R89" s="12" t="s">
        <v>12129</v>
      </c>
      <c r="S89" s="12" t="s">
        <v>12129</v>
      </c>
      <c r="T89" s="12" t="s">
        <v>12129</v>
      </c>
      <c r="U89" s="12" t="s">
        <v>15637</v>
      </c>
      <c r="V89" s="12" t="s">
        <v>276</v>
      </c>
      <c r="W89" s="12" t="s">
        <v>16699</v>
      </c>
      <c r="X89" s="12" t="s">
        <v>16700</v>
      </c>
      <c r="Y89" s="12" t="s">
        <v>16701</v>
      </c>
      <c r="Z89" s="12" t="s">
        <v>16702</v>
      </c>
      <c r="AA89" s="12" t="s">
        <v>16703</v>
      </c>
      <c r="AB89" s="12" t="s">
        <v>16704</v>
      </c>
      <c r="AC89" s="12" t="s">
        <v>12129</v>
      </c>
      <c r="AD89" s="12" t="s">
        <v>12129</v>
      </c>
      <c r="AE89" s="12" t="s">
        <v>12129</v>
      </c>
      <c r="AF89" s="12" t="s">
        <v>12129</v>
      </c>
      <c r="AG89" s="12">
        <v>27.0</v>
      </c>
      <c r="AH89" s="12">
        <v>1523.0</v>
      </c>
      <c r="AI89" s="12">
        <v>1971.0</v>
      </c>
      <c r="AJ89" s="12">
        <v>53.0</v>
      </c>
      <c r="AK89" s="12">
        <v>686.0</v>
      </c>
      <c r="AL89" s="12" t="s">
        <v>15615</v>
      </c>
      <c r="AM89" s="12" t="s">
        <v>12170</v>
      </c>
      <c r="AN89" s="12" t="s">
        <v>16017</v>
      </c>
      <c r="AO89" s="12" t="s">
        <v>1381</v>
      </c>
      <c r="AP89" s="12" t="s">
        <v>7916</v>
      </c>
      <c r="AQ89" s="12" t="s">
        <v>12129</v>
      </c>
      <c r="AR89" s="12" t="s">
        <v>275</v>
      </c>
      <c r="AS89" s="12" t="s">
        <v>1380</v>
      </c>
      <c r="AT89" s="12" t="s">
        <v>15638</v>
      </c>
      <c r="AU89" s="12">
        <v>2015.0</v>
      </c>
      <c r="AV89" s="12">
        <v>527.0</v>
      </c>
      <c r="AW89" s="12">
        <v>7577.0</v>
      </c>
      <c r="AX89" s="12" t="s">
        <v>12129</v>
      </c>
      <c r="AY89" s="12" t="s">
        <v>12129</v>
      </c>
      <c r="AZ89" s="12" t="s">
        <v>12129</v>
      </c>
      <c r="BA89" s="12" t="s">
        <v>12129</v>
      </c>
      <c r="BB89" s="12">
        <v>235.0</v>
      </c>
      <c r="BC89" s="12" t="s">
        <v>12727</v>
      </c>
      <c r="BD89" s="12" t="s">
        <v>12129</v>
      </c>
      <c r="BE89" s="12" t="s">
        <v>277</v>
      </c>
      <c r="BF89" s="25" t="str">
        <f>HYPERLINK("http://dx.doi.org/10.1038/nature15725","http://dx.doi.org/10.1038/nature15725")</f>
        <v>http://dx.doi.org/10.1038/nature15725</v>
      </c>
      <c r="BG89" s="12" t="s">
        <v>12129</v>
      </c>
      <c r="BH89" s="12" t="s">
        <v>12129</v>
      </c>
      <c r="BI89" s="12">
        <v>16.0</v>
      </c>
      <c r="BJ89" s="12" t="s">
        <v>39</v>
      </c>
      <c r="BK89" s="12" t="s">
        <v>12729</v>
      </c>
      <c r="BL89" s="12" t="s">
        <v>12202</v>
      </c>
      <c r="BM89" s="12" t="s">
        <v>16705</v>
      </c>
      <c r="BN89" s="12">
        <v>2.6503051E7</v>
      </c>
      <c r="BO89" s="12" t="s">
        <v>12399</v>
      </c>
      <c r="BP89" s="12" t="s">
        <v>12129</v>
      </c>
      <c r="BQ89" s="12" t="s">
        <v>12129</v>
      </c>
      <c r="BR89" s="12" t="s">
        <v>15851</v>
      </c>
      <c r="BS89" s="12" t="s">
        <v>279</v>
      </c>
      <c r="BT89" s="12" t="str">
        <f>HYPERLINK("https%3A%2F%2Fwww.webofscience.com%2Fwos%2Fwoscc%2Ffull-record%2FWOS:000364396700045","View Full Record in Web of Science")</f>
        <v>View Full Record in Web of Science</v>
      </c>
    </row>
    <row r="90" ht="12.75" customHeight="1">
      <c r="A90" s="12" t="s">
        <v>23</v>
      </c>
      <c r="B90" s="12" t="s">
        <v>306</v>
      </c>
      <c r="C90" s="12" t="s">
        <v>12129</v>
      </c>
      <c r="D90" s="12" t="s">
        <v>12129</v>
      </c>
      <c r="E90" s="12" t="s">
        <v>12129</v>
      </c>
      <c r="F90" s="12" t="s">
        <v>16706</v>
      </c>
      <c r="G90" s="12" t="s">
        <v>12129</v>
      </c>
      <c r="H90" s="12" t="s">
        <v>12129</v>
      </c>
      <c r="I90" s="12" t="s">
        <v>307</v>
      </c>
      <c r="J90" s="12" t="s">
        <v>275</v>
      </c>
      <c r="K90" s="12" t="s">
        <v>12129</v>
      </c>
      <c r="L90" s="12" t="s">
        <v>12129</v>
      </c>
      <c r="M90" s="12" t="s">
        <v>3263</v>
      </c>
      <c r="N90" s="12" t="s">
        <v>35</v>
      </c>
      <c r="O90" s="12" t="s">
        <v>12129</v>
      </c>
      <c r="P90" s="12" t="s">
        <v>12129</v>
      </c>
      <c r="Q90" s="12" t="s">
        <v>12129</v>
      </c>
      <c r="R90" s="12" t="s">
        <v>12129</v>
      </c>
      <c r="S90" s="12" t="s">
        <v>12129</v>
      </c>
      <c r="T90" s="12" t="s">
        <v>12129</v>
      </c>
      <c r="U90" s="12" t="s">
        <v>15639</v>
      </c>
      <c r="V90" s="12" t="s">
        <v>308</v>
      </c>
      <c r="W90" s="12" t="s">
        <v>16707</v>
      </c>
      <c r="X90" s="12" t="s">
        <v>16708</v>
      </c>
      <c r="Y90" s="12" t="s">
        <v>16709</v>
      </c>
      <c r="Z90" s="12" t="s">
        <v>16710</v>
      </c>
      <c r="AA90" s="12" t="s">
        <v>16711</v>
      </c>
      <c r="AB90" s="12" t="s">
        <v>16712</v>
      </c>
      <c r="AC90" s="12" t="s">
        <v>16713</v>
      </c>
      <c r="AD90" s="12" t="s">
        <v>16714</v>
      </c>
      <c r="AE90" s="12" t="s">
        <v>16715</v>
      </c>
      <c r="AF90" s="12" t="s">
        <v>12129</v>
      </c>
      <c r="AG90" s="12">
        <v>73.0</v>
      </c>
      <c r="AH90" s="12">
        <v>4332.0</v>
      </c>
      <c r="AI90" s="12">
        <v>4947.0</v>
      </c>
      <c r="AJ90" s="12">
        <v>86.0</v>
      </c>
      <c r="AK90" s="12">
        <v>3602.0</v>
      </c>
      <c r="AL90" s="12" t="s">
        <v>12723</v>
      </c>
      <c r="AM90" s="12" t="s">
        <v>12724</v>
      </c>
      <c r="AN90" s="12" t="s">
        <v>12725</v>
      </c>
      <c r="AO90" s="12" t="s">
        <v>1381</v>
      </c>
      <c r="AP90" s="12" t="s">
        <v>7916</v>
      </c>
      <c r="AQ90" s="12" t="s">
        <v>12129</v>
      </c>
      <c r="AR90" s="12" t="s">
        <v>275</v>
      </c>
      <c r="AS90" s="12" t="s">
        <v>1380</v>
      </c>
      <c r="AT90" s="12" t="s">
        <v>15640</v>
      </c>
      <c r="AU90" s="12">
        <v>2015.0</v>
      </c>
      <c r="AV90" s="12">
        <v>525.0</v>
      </c>
      <c r="AW90" s="12">
        <v>7569.0</v>
      </c>
      <c r="AX90" s="12" t="s">
        <v>12129</v>
      </c>
      <c r="AY90" s="12" t="s">
        <v>12129</v>
      </c>
      <c r="AZ90" s="12" t="s">
        <v>12129</v>
      </c>
      <c r="BA90" s="12" t="s">
        <v>12129</v>
      </c>
      <c r="BB90" s="12">
        <v>367.0</v>
      </c>
      <c r="BC90" s="12" t="s">
        <v>12727</v>
      </c>
      <c r="BD90" s="12" t="s">
        <v>12129</v>
      </c>
      <c r="BE90" s="12" t="s">
        <v>309</v>
      </c>
      <c r="BF90" s="25" t="str">
        <f>HYPERLINK("http://dx.doi.org/10.1038/nature15371","http://dx.doi.org/10.1038/nature15371")</f>
        <v>http://dx.doi.org/10.1038/nature15371</v>
      </c>
      <c r="BG90" s="12" t="s">
        <v>12129</v>
      </c>
      <c r="BH90" s="12" t="s">
        <v>12129</v>
      </c>
      <c r="BI90" s="12">
        <v>18.0</v>
      </c>
      <c r="BJ90" s="12" t="s">
        <v>39</v>
      </c>
      <c r="BK90" s="12" t="s">
        <v>12176</v>
      </c>
      <c r="BL90" s="12" t="s">
        <v>12202</v>
      </c>
      <c r="BM90" s="12" t="s">
        <v>16716</v>
      </c>
      <c r="BN90" s="12">
        <v>2.6381985E7</v>
      </c>
      <c r="BO90" s="12" t="s">
        <v>12253</v>
      </c>
      <c r="BP90" s="12" t="s">
        <v>12129</v>
      </c>
      <c r="BQ90" s="12" t="s">
        <v>12129</v>
      </c>
      <c r="BR90" s="12" t="s">
        <v>15851</v>
      </c>
      <c r="BS90" s="12" t="s">
        <v>311</v>
      </c>
      <c r="BT90" s="12" t="str">
        <f>HYPERLINK("https%3A%2F%2Fwww.webofscience.com%2Fwos%2Fwoscc%2Ffull-record%2FWOS:000361297900041","View Full Record in Web of Science")</f>
        <v>View Full Record in Web of Science</v>
      </c>
    </row>
    <row r="91" ht="12.75" customHeight="1">
      <c r="A91" s="12" t="s">
        <v>23</v>
      </c>
      <c r="B91" s="12" t="s">
        <v>541</v>
      </c>
      <c r="C91" s="12" t="s">
        <v>12129</v>
      </c>
      <c r="D91" s="12" t="s">
        <v>12129</v>
      </c>
      <c r="E91" s="12" t="s">
        <v>12129</v>
      </c>
      <c r="F91" s="12" t="s">
        <v>11682</v>
      </c>
      <c r="G91" s="12" t="s">
        <v>12129</v>
      </c>
      <c r="H91" s="12" t="s">
        <v>12129</v>
      </c>
      <c r="I91" s="12" t="s">
        <v>542</v>
      </c>
      <c r="J91" s="12" t="s">
        <v>283</v>
      </c>
      <c r="K91" s="12" t="s">
        <v>12129</v>
      </c>
      <c r="L91" s="12" t="s">
        <v>12129</v>
      </c>
      <c r="M91" s="12" t="s">
        <v>3263</v>
      </c>
      <c r="N91" s="12" t="s">
        <v>35</v>
      </c>
      <c r="O91" s="12" t="s">
        <v>12129</v>
      </c>
      <c r="P91" s="12" t="s">
        <v>12129</v>
      </c>
      <c r="Q91" s="12" t="s">
        <v>12129</v>
      </c>
      <c r="R91" s="12" t="s">
        <v>12129</v>
      </c>
      <c r="S91" s="12" t="s">
        <v>12129</v>
      </c>
      <c r="T91" s="12" t="s">
        <v>15752</v>
      </c>
      <c r="U91" s="12" t="s">
        <v>15753</v>
      </c>
      <c r="V91" s="12" t="s">
        <v>543</v>
      </c>
      <c r="W91" s="12" t="s">
        <v>16717</v>
      </c>
      <c r="X91" s="12" t="s">
        <v>16718</v>
      </c>
      <c r="Y91" s="12" t="s">
        <v>16719</v>
      </c>
      <c r="Z91" s="12" t="s">
        <v>16720</v>
      </c>
      <c r="AA91" s="12" t="s">
        <v>16721</v>
      </c>
      <c r="AB91" s="12" t="s">
        <v>16722</v>
      </c>
      <c r="AC91" s="12" t="s">
        <v>16723</v>
      </c>
      <c r="AD91" s="12" t="s">
        <v>16724</v>
      </c>
      <c r="AE91" s="12" t="s">
        <v>16725</v>
      </c>
      <c r="AF91" s="12" t="s">
        <v>12129</v>
      </c>
      <c r="AG91" s="12">
        <v>53.0</v>
      </c>
      <c r="AH91" s="12">
        <v>280.0</v>
      </c>
      <c r="AI91" s="12">
        <v>309.0</v>
      </c>
      <c r="AJ91" s="12">
        <v>3.0</v>
      </c>
      <c r="AK91" s="12">
        <v>227.0</v>
      </c>
      <c r="AL91" s="12" t="s">
        <v>12321</v>
      </c>
      <c r="AM91" s="12" t="s">
        <v>2146</v>
      </c>
      <c r="AN91" s="12" t="s">
        <v>12322</v>
      </c>
      <c r="AO91" s="12" t="s">
        <v>7029</v>
      </c>
      <c r="AP91" s="12" t="s">
        <v>16396</v>
      </c>
      <c r="AQ91" s="12" t="s">
        <v>12129</v>
      </c>
      <c r="AR91" s="12" t="s">
        <v>15749</v>
      </c>
      <c r="AS91" s="12" t="s">
        <v>15750</v>
      </c>
      <c r="AT91" s="12" t="s">
        <v>13127</v>
      </c>
      <c r="AU91" s="12">
        <v>2014.0</v>
      </c>
      <c r="AV91" s="12">
        <v>24.0</v>
      </c>
      <c r="AW91" s="12" t="s">
        <v>12129</v>
      </c>
      <c r="AX91" s="12" t="s">
        <v>12129</v>
      </c>
      <c r="AY91" s="12" t="s">
        <v>12129</v>
      </c>
      <c r="AZ91" s="12" t="s">
        <v>12129</v>
      </c>
      <c r="BA91" s="12" t="s">
        <v>12129</v>
      </c>
      <c r="BB91" s="12">
        <v>52.0</v>
      </c>
      <c r="BC91" s="12">
        <v>59.0</v>
      </c>
      <c r="BD91" s="12" t="s">
        <v>12129</v>
      </c>
      <c r="BE91" s="12" t="s">
        <v>544</v>
      </c>
      <c r="BF91" s="25" t="str">
        <f>HYPERLINK("http://dx.doi.org/10.1016/j.gloenvcha.2013.09.008","http://dx.doi.org/10.1016/j.gloenvcha.2013.09.008")</f>
        <v>http://dx.doi.org/10.1016/j.gloenvcha.2013.09.008</v>
      </c>
      <c r="BG91" s="12" t="s">
        <v>12129</v>
      </c>
      <c r="BH91" s="12" t="s">
        <v>12129</v>
      </c>
      <c r="BI91" s="12">
        <v>8.0</v>
      </c>
      <c r="BJ91" s="12" t="s">
        <v>287</v>
      </c>
      <c r="BK91" s="12" t="s">
        <v>12729</v>
      </c>
      <c r="BL91" s="12" t="s">
        <v>15751</v>
      </c>
      <c r="BM91" s="12" t="s">
        <v>16726</v>
      </c>
      <c r="BN91" s="12" t="s">
        <v>12129</v>
      </c>
      <c r="BO91" s="12" t="s">
        <v>12129</v>
      </c>
      <c r="BP91" s="12" t="s">
        <v>12129</v>
      </c>
      <c r="BQ91" s="12" t="s">
        <v>12129</v>
      </c>
      <c r="BR91" s="12" t="s">
        <v>15851</v>
      </c>
      <c r="BS91" s="12" t="s">
        <v>546</v>
      </c>
      <c r="BT91" s="12" t="str">
        <f>HYPERLINK("https%3A%2F%2Fwww.webofscience.com%2Fwos%2Fwoscc%2Ffull-record%2FWOS:000333506100007","View Full Record in Web of Science")</f>
        <v>View Full Record in Web of Science</v>
      </c>
    </row>
    <row r="92" ht="12.75" customHeight="1">
      <c r="A92" s="12" t="s">
        <v>23</v>
      </c>
      <c r="B92" s="12" t="s">
        <v>593</v>
      </c>
      <c r="C92" s="12" t="s">
        <v>12129</v>
      </c>
      <c r="D92" s="12" t="s">
        <v>12129</v>
      </c>
      <c r="E92" s="12" t="s">
        <v>12129</v>
      </c>
      <c r="F92" s="12" t="s">
        <v>16727</v>
      </c>
      <c r="G92" s="12" t="s">
        <v>12129</v>
      </c>
      <c r="H92" s="12" t="s">
        <v>12129</v>
      </c>
      <c r="I92" s="12" t="s">
        <v>594</v>
      </c>
      <c r="J92" s="12" t="s">
        <v>362</v>
      </c>
      <c r="K92" s="12" t="s">
        <v>12129</v>
      </c>
      <c r="L92" s="12" t="s">
        <v>12129</v>
      </c>
      <c r="M92" s="12" t="s">
        <v>3263</v>
      </c>
      <c r="N92" s="12" t="s">
        <v>35</v>
      </c>
      <c r="O92" s="12" t="s">
        <v>12129</v>
      </c>
      <c r="P92" s="12" t="s">
        <v>12129</v>
      </c>
      <c r="Q92" s="12" t="s">
        <v>12129</v>
      </c>
      <c r="R92" s="12" t="s">
        <v>12129</v>
      </c>
      <c r="S92" s="12" t="s">
        <v>12129</v>
      </c>
      <c r="T92" s="12" t="s">
        <v>12129</v>
      </c>
      <c r="U92" s="12" t="s">
        <v>15443</v>
      </c>
      <c r="V92" s="12" t="s">
        <v>595</v>
      </c>
      <c r="W92" s="12" t="s">
        <v>16728</v>
      </c>
      <c r="X92" s="12" t="s">
        <v>16729</v>
      </c>
      <c r="Y92" s="12" t="s">
        <v>16730</v>
      </c>
      <c r="Z92" s="12" t="s">
        <v>16731</v>
      </c>
      <c r="AA92" s="12" t="s">
        <v>16732</v>
      </c>
      <c r="AB92" s="12" t="s">
        <v>16733</v>
      </c>
      <c r="AC92" s="12" t="s">
        <v>16734</v>
      </c>
      <c r="AD92" s="12" t="s">
        <v>16735</v>
      </c>
      <c r="AE92" s="12" t="s">
        <v>16736</v>
      </c>
      <c r="AF92" s="12" t="s">
        <v>12129</v>
      </c>
      <c r="AG92" s="12">
        <v>73.0</v>
      </c>
      <c r="AH92" s="12">
        <v>352.0</v>
      </c>
      <c r="AI92" s="12">
        <v>409.0</v>
      </c>
      <c r="AJ92" s="12">
        <v>7.0</v>
      </c>
      <c r="AK92" s="12">
        <v>299.0</v>
      </c>
      <c r="AL92" s="12" t="s">
        <v>12195</v>
      </c>
      <c r="AM92" s="12" t="s">
        <v>12196</v>
      </c>
      <c r="AN92" s="12" t="s">
        <v>12197</v>
      </c>
      <c r="AO92" s="12" t="s">
        <v>1877</v>
      </c>
      <c r="AP92" s="12" t="s">
        <v>12129</v>
      </c>
      <c r="AQ92" s="12" t="s">
        <v>12129</v>
      </c>
      <c r="AR92" s="12" t="s">
        <v>362</v>
      </c>
      <c r="AS92" s="12" t="s">
        <v>12198</v>
      </c>
      <c r="AT92" s="12" t="s">
        <v>15444</v>
      </c>
      <c r="AU92" s="12">
        <v>2013.0</v>
      </c>
      <c r="AV92" s="12">
        <v>8.0</v>
      </c>
      <c r="AW92" s="12">
        <v>5.0</v>
      </c>
      <c r="AX92" s="12" t="s">
        <v>12129</v>
      </c>
      <c r="AY92" s="12" t="s">
        <v>12129</v>
      </c>
      <c r="AZ92" s="12" t="s">
        <v>12129</v>
      </c>
      <c r="BA92" s="12" t="s">
        <v>12129</v>
      </c>
      <c r="BB92" s="12" t="s">
        <v>12129</v>
      </c>
      <c r="BC92" s="12" t="s">
        <v>12129</v>
      </c>
      <c r="BD92" s="12" t="s">
        <v>16737</v>
      </c>
      <c r="BE92" s="12" t="s">
        <v>596</v>
      </c>
      <c r="BF92" s="25" t="str">
        <f>HYPERLINK("http://dx.doi.org/10.1371/journal.pone.0062374","http://dx.doi.org/10.1371/journal.pone.0062374")</f>
        <v>http://dx.doi.org/10.1371/journal.pone.0062374</v>
      </c>
      <c r="BG92" s="12" t="s">
        <v>12129</v>
      </c>
      <c r="BH92" s="12" t="s">
        <v>12129</v>
      </c>
      <c r="BI92" s="12">
        <v>10.0</v>
      </c>
      <c r="BJ92" s="12" t="s">
        <v>39</v>
      </c>
      <c r="BK92" s="12" t="s">
        <v>12176</v>
      </c>
      <c r="BL92" s="12" t="s">
        <v>12202</v>
      </c>
      <c r="BM92" s="12" t="s">
        <v>16738</v>
      </c>
      <c r="BN92" s="12">
        <v>2.3650513E7</v>
      </c>
      <c r="BO92" s="12" t="s">
        <v>12179</v>
      </c>
      <c r="BP92" s="12" t="s">
        <v>12129</v>
      </c>
      <c r="BQ92" s="12" t="s">
        <v>12129</v>
      </c>
      <c r="BR92" s="12" t="s">
        <v>15851</v>
      </c>
      <c r="BS92" s="12" t="s">
        <v>598</v>
      </c>
      <c r="BT92" s="12" t="str">
        <f>HYPERLINK("https%3A%2F%2Fwww.webofscience.com%2Fwos%2Fwoscc%2Ffull-record%2FWOS:000319167000043","View Full Record in Web of Science")</f>
        <v>View Full Record in Web of Science</v>
      </c>
    </row>
    <row r="93" ht="12.75" customHeight="1">
      <c r="A93" s="12" t="s">
        <v>23</v>
      </c>
      <c r="B93" s="12" t="s">
        <v>617</v>
      </c>
      <c r="C93" s="12" t="s">
        <v>12129</v>
      </c>
      <c r="D93" s="12" t="s">
        <v>12129</v>
      </c>
      <c r="E93" s="12" t="s">
        <v>12129</v>
      </c>
      <c r="F93" s="12" t="s">
        <v>16739</v>
      </c>
      <c r="G93" s="12" t="s">
        <v>12129</v>
      </c>
      <c r="H93" s="12" t="s">
        <v>12129</v>
      </c>
      <c r="I93" s="12" t="s">
        <v>618</v>
      </c>
      <c r="J93" s="12" t="s">
        <v>315</v>
      </c>
      <c r="K93" s="12" t="s">
        <v>12129</v>
      </c>
      <c r="L93" s="12" t="s">
        <v>12129</v>
      </c>
      <c r="M93" s="12" t="s">
        <v>3263</v>
      </c>
      <c r="N93" s="12" t="s">
        <v>35</v>
      </c>
      <c r="O93" s="12" t="s">
        <v>12129</v>
      </c>
      <c r="P93" s="12" t="s">
        <v>12129</v>
      </c>
      <c r="Q93" s="12" t="s">
        <v>12129</v>
      </c>
      <c r="R93" s="12" t="s">
        <v>12129</v>
      </c>
      <c r="S93" s="12" t="s">
        <v>12129</v>
      </c>
      <c r="T93" s="12" t="s">
        <v>15551</v>
      </c>
      <c r="U93" s="12" t="s">
        <v>15552</v>
      </c>
      <c r="V93" s="12" t="s">
        <v>619</v>
      </c>
      <c r="W93" s="12" t="s">
        <v>16740</v>
      </c>
      <c r="X93" s="12" t="s">
        <v>16741</v>
      </c>
      <c r="Y93" s="12" t="s">
        <v>16742</v>
      </c>
      <c r="Z93" s="12" t="s">
        <v>16743</v>
      </c>
      <c r="AA93" s="12" t="s">
        <v>16744</v>
      </c>
      <c r="AB93" s="12" t="s">
        <v>16745</v>
      </c>
      <c r="AC93" s="12" t="s">
        <v>16746</v>
      </c>
      <c r="AD93" s="12" t="s">
        <v>16747</v>
      </c>
      <c r="AE93" s="12" t="s">
        <v>16748</v>
      </c>
      <c r="AF93" s="12" t="s">
        <v>12129</v>
      </c>
      <c r="AG93" s="12">
        <v>33.0</v>
      </c>
      <c r="AH93" s="12">
        <v>426.0</v>
      </c>
      <c r="AI93" s="12">
        <v>462.0</v>
      </c>
      <c r="AJ93" s="12">
        <v>1.0</v>
      </c>
      <c r="AK93" s="12">
        <v>238.0</v>
      </c>
      <c r="AL93" s="12" t="s">
        <v>12392</v>
      </c>
      <c r="AM93" s="12" t="s">
        <v>12393</v>
      </c>
      <c r="AN93" s="12" t="s">
        <v>12394</v>
      </c>
      <c r="AO93" s="12" t="s">
        <v>5876</v>
      </c>
      <c r="AP93" s="12" t="s">
        <v>12129</v>
      </c>
      <c r="AQ93" s="12" t="s">
        <v>12129</v>
      </c>
      <c r="AR93" s="12" t="s">
        <v>12395</v>
      </c>
      <c r="AS93" s="12" t="s">
        <v>5884</v>
      </c>
      <c r="AT93" s="12" t="s">
        <v>15553</v>
      </c>
      <c r="AU93" s="12">
        <v>2013.0</v>
      </c>
      <c r="AV93" s="12">
        <v>8.0</v>
      </c>
      <c r="AW93" s="12">
        <v>1.0</v>
      </c>
      <c r="AX93" s="12" t="s">
        <v>12129</v>
      </c>
      <c r="AY93" s="12" t="s">
        <v>12129</v>
      </c>
      <c r="AZ93" s="12" t="s">
        <v>12129</v>
      </c>
      <c r="BA93" s="12" t="s">
        <v>12129</v>
      </c>
      <c r="BB93" s="12" t="s">
        <v>12129</v>
      </c>
      <c r="BC93" s="12" t="s">
        <v>12129</v>
      </c>
      <c r="BD93" s="12">
        <v>14003.0</v>
      </c>
      <c r="BE93" s="12" t="s">
        <v>620</v>
      </c>
      <c r="BF93" s="25" t="str">
        <f>HYPERLINK("http://dx.doi.org/10.1088/1748-9326/8/1/014003","http://dx.doi.org/10.1088/1748-9326/8/1/014003")</f>
        <v>http://dx.doi.org/10.1088/1748-9326/8/1/014003</v>
      </c>
      <c r="BG93" s="12" t="s">
        <v>12129</v>
      </c>
      <c r="BH93" s="12" t="s">
        <v>12129</v>
      </c>
      <c r="BI93" s="12">
        <v>6.0</v>
      </c>
      <c r="BJ93" s="12" t="s">
        <v>319</v>
      </c>
      <c r="BK93" s="12" t="s">
        <v>12176</v>
      </c>
      <c r="BL93" s="12" t="s">
        <v>12397</v>
      </c>
      <c r="BM93" s="12" t="s">
        <v>16749</v>
      </c>
      <c r="BN93" s="12" t="s">
        <v>12129</v>
      </c>
      <c r="BO93" s="12" t="s">
        <v>12179</v>
      </c>
      <c r="BP93" s="12" t="s">
        <v>12129</v>
      </c>
      <c r="BQ93" s="12" t="s">
        <v>12129</v>
      </c>
      <c r="BR93" s="12" t="s">
        <v>15851</v>
      </c>
      <c r="BS93" s="12" t="s">
        <v>622</v>
      </c>
      <c r="BT93" s="12" t="str">
        <f>HYPERLINK("https%3A%2F%2Fwww.webofscience.com%2Fwos%2Fwoscc%2Ffull-record%2FWOS:000316998300011","View Full Record in Web of Science")</f>
        <v>View Full Record in Web of Science</v>
      </c>
    </row>
    <row r="94" ht="12.75" customHeight="1">
      <c r="A94" s="12" t="s">
        <v>23</v>
      </c>
      <c r="B94" s="12" t="s">
        <v>714</v>
      </c>
      <c r="C94" s="12" t="s">
        <v>12129</v>
      </c>
      <c r="D94" s="12" t="s">
        <v>12129</v>
      </c>
      <c r="E94" s="12" t="s">
        <v>12129</v>
      </c>
      <c r="F94" s="12" t="s">
        <v>4521</v>
      </c>
      <c r="G94" s="12" t="s">
        <v>12129</v>
      </c>
      <c r="H94" s="12" t="s">
        <v>12129</v>
      </c>
      <c r="I94" s="12" t="s">
        <v>715</v>
      </c>
      <c r="J94" s="12" t="s">
        <v>716</v>
      </c>
      <c r="K94" s="12" t="s">
        <v>12129</v>
      </c>
      <c r="L94" s="12" t="s">
        <v>12129</v>
      </c>
      <c r="M94" s="12" t="s">
        <v>3263</v>
      </c>
      <c r="N94" s="12" t="s">
        <v>35</v>
      </c>
      <c r="O94" s="12" t="s">
        <v>12129</v>
      </c>
      <c r="P94" s="12" t="s">
        <v>12129</v>
      </c>
      <c r="Q94" s="12" t="s">
        <v>12129</v>
      </c>
      <c r="R94" s="12" t="s">
        <v>12129</v>
      </c>
      <c r="S94" s="12" t="s">
        <v>12129</v>
      </c>
      <c r="T94" s="12" t="s">
        <v>12129</v>
      </c>
      <c r="U94" s="12" t="s">
        <v>15818</v>
      </c>
      <c r="V94" s="12" t="s">
        <v>717</v>
      </c>
      <c r="W94" s="12" t="s">
        <v>16750</v>
      </c>
      <c r="X94" s="12" t="s">
        <v>16751</v>
      </c>
      <c r="Y94" s="12" t="s">
        <v>16752</v>
      </c>
      <c r="Z94" s="12" t="s">
        <v>16753</v>
      </c>
      <c r="AA94" s="12" t="s">
        <v>12129</v>
      </c>
      <c r="AB94" s="12" t="s">
        <v>12129</v>
      </c>
      <c r="AC94" s="12" t="s">
        <v>16754</v>
      </c>
      <c r="AD94" s="12" t="s">
        <v>16754</v>
      </c>
      <c r="AE94" s="12" t="s">
        <v>16755</v>
      </c>
      <c r="AF94" s="12" t="s">
        <v>12129</v>
      </c>
      <c r="AG94" s="12">
        <v>103.0</v>
      </c>
      <c r="AH94" s="12">
        <v>178.0</v>
      </c>
      <c r="AI94" s="12">
        <v>203.0</v>
      </c>
      <c r="AJ94" s="12">
        <v>4.0</v>
      </c>
      <c r="AK94" s="12">
        <v>194.0</v>
      </c>
      <c r="AL94" s="12" t="s">
        <v>12243</v>
      </c>
      <c r="AM94" s="12" t="s">
        <v>12244</v>
      </c>
      <c r="AN94" s="12" t="s">
        <v>12245</v>
      </c>
      <c r="AO94" s="12" t="s">
        <v>16756</v>
      </c>
      <c r="AP94" s="12" t="s">
        <v>16757</v>
      </c>
      <c r="AQ94" s="12" t="s">
        <v>12129</v>
      </c>
      <c r="AR94" s="12" t="s">
        <v>15819</v>
      </c>
      <c r="AS94" s="12" t="s">
        <v>15820</v>
      </c>
      <c r="AT94" s="12" t="s">
        <v>13055</v>
      </c>
      <c r="AU94" s="12">
        <v>2012.0</v>
      </c>
      <c r="AV94" s="12">
        <v>3.0</v>
      </c>
      <c r="AW94" s="12">
        <v>2.0</v>
      </c>
      <c r="AX94" s="12" t="s">
        <v>12129</v>
      </c>
      <c r="AY94" s="12" t="s">
        <v>12129</v>
      </c>
      <c r="AZ94" s="12" t="s">
        <v>12129</v>
      </c>
      <c r="BA94" s="12" t="s">
        <v>12129</v>
      </c>
      <c r="BB94" s="12">
        <v>115.0</v>
      </c>
      <c r="BC94" s="12">
        <v>129.0</v>
      </c>
      <c r="BD94" s="12" t="s">
        <v>12129</v>
      </c>
      <c r="BE94" s="12" t="s">
        <v>718</v>
      </c>
      <c r="BF94" s="25" t="str">
        <f>HYPERLINK("http://dx.doi.org/10.1002/wcc.160","http://dx.doi.org/10.1002/wcc.160")</f>
        <v>http://dx.doi.org/10.1002/wcc.160</v>
      </c>
      <c r="BG94" s="12" t="s">
        <v>12129</v>
      </c>
      <c r="BH94" s="12" t="s">
        <v>12129</v>
      </c>
      <c r="BI94" s="12">
        <v>15.0</v>
      </c>
      <c r="BJ94" s="12" t="s">
        <v>720</v>
      </c>
      <c r="BK94" s="12" t="s">
        <v>12729</v>
      </c>
      <c r="BL94" s="12" t="s">
        <v>12397</v>
      </c>
      <c r="BM94" s="12" t="s">
        <v>16758</v>
      </c>
      <c r="BN94" s="12" t="s">
        <v>12129</v>
      </c>
      <c r="BO94" s="12" t="s">
        <v>12129</v>
      </c>
      <c r="BP94" s="12" t="s">
        <v>12129</v>
      </c>
      <c r="BQ94" s="12" t="s">
        <v>12129</v>
      </c>
      <c r="BR94" s="12" t="s">
        <v>15851</v>
      </c>
      <c r="BS94" s="12" t="s">
        <v>721</v>
      </c>
      <c r="BT94" s="12" t="str">
        <f>HYPERLINK("https%3A%2F%2Fwww.webofscience.com%2Fwos%2Fwoscc%2Ffull-record%2FWOS:000301644400001","View Full Record in Web of Science")</f>
        <v>View Full Record in Web of Science</v>
      </c>
    </row>
    <row r="95" ht="12.75" customHeight="1">
      <c r="A95" s="12" t="s">
        <v>23</v>
      </c>
      <c r="B95" s="12" t="s">
        <v>730</v>
      </c>
      <c r="C95" s="12" t="s">
        <v>12129</v>
      </c>
      <c r="D95" s="12" t="s">
        <v>12129</v>
      </c>
      <c r="E95" s="12" t="s">
        <v>12129</v>
      </c>
      <c r="F95" s="12" t="s">
        <v>11477</v>
      </c>
      <c r="G95" s="12" t="s">
        <v>12129</v>
      </c>
      <c r="H95" s="12" t="s">
        <v>12129</v>
      </c>
      <c r="I95" s="12" t="s">
        <v>731</v>
      </c>
      <c r="J95" s="12" t="s">
        <v>315</v>
      </c>
      <c r="K95" s="12" t="s">
        <v>12129</v>
      </c>
      <c r="L95" s="12" t="s">
        <v>12129</v>
      </c>
      <c r="M95" s="12" t="s">
        <v>3263</v>
      </c>
      <c r="N95" s="12" t="s">
        <v>35</v>
      </c>
      <c r="O95" s="12" t="s">
        <v>12129</v>
      </c>
      <c r="P95" s="12" t="s">
        <v>12129</v>
      </c>
      <c r="Q95" s="12" t="s">
        <v>12129</v>
      </c>
      <c r="R95" s="12" t="s">
        <v>12129</v>
      </c>
      <c r="S95" s="12" t="s">
        <v>12129</v>
      </c>
      <c r="T95" s="12" t="s">
        <v>15557</v>
      </c>
      <c r="U95" s="12" t="s">
        <v>15558</v>
      </c>
      <c r="V95" s="12" t="s">
        <v>732</v>
      </c>
      <c r="W95" s="12" t="s">
        <v>16759</v>
      </c>
      <c r="X95" s="12" t="s">
        <v>16760</v>
      </c>
      <c r="Y95" s="12" t="s">
        <v>16761</v>
      </c>
      <c r="Z95" s="12" t="s">
        <v>16762</v>
      </c>
      <c r="AA95" s="12" t="s">
        <v>16763</v>
      </c>
      <c r="AB95" s="12" t="s">
        <v>16764</v>
      </c>
      <c r="AC95" s="12" t="s">
        <v>16765</v>
      </c>
      <c r="AD95" s="12" t="s">
        <v>16766</v>
      </c>
      <c r="AE95" s="12" t="s">
        <v>16767</v>
      </c>
      <c r="AF95" s="12" t="s">
        <v>12129</v>
      </c>
      <c r="AG95" s="12">
        <v>50.0</v>
      </c>
      <c r="AH95" s="12">
        <v>118.0</v>
      </c>
      <c r="AI95" s="12">
        <v>133.0</v>
      </c>
      <c r="AJ95" s="12">
        <v>0.0</v>
      </c>
      <c r="AK95" s="12">
        <v>97.0</v>
      </c>
      <c r="AL95" s="12" t="s">
        <v>12392</v>
      </c>
      <c r="AM95" s="12" t="s">
        <v>12393</v>
      </c>
      <c r="AN95" s="12" t="s">
        <v>12394</v>
      </c>
      <c r="AO95" s="12" t="s">
        <v>5876</v>
      </c>
      <c r="AP95" s="12" t="s">
        <v>12129</v>
      </c>
      <c r="AQ95" s="12" t="s">
        <v>12129</v>
      </c>
      <c r="AR95" s="12" t="s">
        <v>12395</v>
      </c>
      <c r="AS95" s="12" t="s">
        <v>5884</v>
      </c>
      <c r="AT95" s="12" t="s">
        <v>12148</v>
      </c>
      <c r="AU95" s="12">
        <v>2011.0</v>
      </c>
      <c r="AV95" s="12">
        <v>6.0</v>
      </c>
      <c r="AW95" s="12">
        <v>4.0</v>
      </c>
      <c r="AX95" s="12" t="s">
        <v>12129</v>
      </c>
      <c r="AY95" s="12" t="s">
        <v>12129</v>
      </c>
      <c r="AZ95" s="12" t="s">
        <v>12129</v>
      </c>
      <c r="BA95" s="12" t="s">
        <v>12129</v>
      </c>
      <c r="BB95" s="12" t="s">
        <v>12129</v>
      </c>
      <c r="BC95" s="12" t="s">
        <v>12129</v>
      </c>
      <c r="BD95" s="12">
        <v>45201.0</v>
      </c>
      <c r="BE95" s="12" t="s">
        <v>733</v>
      </c>
      <c r="BF95" s="25" t="str">
        <f>HYPERLINK("http://dx.doi.org/10.1088/1748-9326/6/4/045201","http://dx.doi.org/10.1088/1748-9326/6/4/045201")</f>
        <v>http://dx.doi.org/10.1088/1748-9326/6/4/045201</v>
      </c>
      <c r="BG95" s="12" t="s">
        <v>12129</v>
      </c>
      <c r="BH95" s="12" t="s">
        <v>12129</v>
      </c>
      <c r="BI95" s="12">
        <v>8.0</v>
      </c>
      <c r="BJ95" s="12" t="s">
        <v>319</v>
      </c>
      <c r="BK95" s="12" t="s">
        <v>12729</v>
      </c>
      <c r="BL95" s="12" t="s">
        <v>12397</v>
      </c>
      <c r="BM95" s="12" t="s">
        <v>16768</v>
      </c>
      <c r="BN95" s="12" t="s">
        <v>12129</v>
      </c>
      <c r="BO95" s="12" t="s">
        <v>12179</v>
      </c>
      <c r="BP95" s="12" t="s">
        <v>12129</v>
      </c>
      <c r="BQ95" s="12" t="s">
        <v>12129</v>
      </c>
      <c r="BR95" s="12" t="s">
        <v>15851</v>
      </c>
      <c r="BS95" s="12" t="s">
        <v>735</v>
      </c>
      <c r="BT95" s="12" t="str">
        <f>HYPERLINK("https%3A%2F%2Fwww.webofscience.com%2Fwos%2Fwoscc%2Ffull-record%2FWOS:000298674700039","View Full Record in Web of Science")</f>
        <v>View Full Record in Web of Science</v>
      </c>
    </row>
    <row r="96" ht="12.75" customHeight="1">
      <c r="A96" s="12" t="s">
        <v>23</v>
      </c>
      <c r="B96" s="12" t="s">
        <v>967</v>
      </c>
      <c r="C96" s="12" t="s">
        <v>12129</v>
      </c>
      <c r="D96" s="12" t="s">
        <v>12129</v>
      </c>
      <c r="E96" s="12" t="s">
        <v>12129</v>
      </c>
      <c r="F96" s="12" t="s">
        <v>1362</v>
      </c>
      <c r="G96" s="12" t="s">
        <v>12129</v>
      </c>
      <c r="H96" s="12" t="s">
        <v>12129</v>
      </c>
      <c r="I96" s="12" t="s">
        <v>968</v>
      </c>
      <c r="J96" s="12" t="s">
        <v>457</v>
      </c>
      <c r="K96" s="12" t="s">
        <v>12129</v>
      </c>
      <c r="L96" s="12" t="s">
        <v>12129</v>
      </c>
      <c r="M96" s="12" t="s">
        <v>3263</v>
      </c>
      <c r="N96" s="12" t="s">
        <v>35</v>
      </c>
      <c r="O96" s="12" t="s">
        <v>12129</v>
      </c>
      <c r="P96" s="12" t="s">
        <v>12129</v>
      </c>
      <c r="Q96" s="12" t="s">
        <v>12129</v>
      </c>
      <c r="R96" s="12" t="s">
        <v>12129</v>
      </c>
      <c r="S96" s="12" t="s">
        <v>12129</v>
      </c>
      <c r="T96" s="12" t="s">
        <v>15540</v>
      </c>
      <c r="U96" s="12" t="s">
        <v>15541</v>
      </c>
      <c r="V96" s="12" t="s">
        <v>969</v>
      </c>
      <c r="W96" s="12" t="s">
        <v>16769</v>
      </c>
      <c r="X96" s="12" t="s">
        <v>16770</v>
      </c>
      <c r="Y96" s="12" t="s">
        <v>16771</v>
      </c>
      <c r="Z96" s="12" t="s">
        <v>16448</v>
      </c>
      <c r="AA96" s="12" t="s">
        <v>16772</v>
      </c>
      <c r="AB96" s="12" t="s">
        <v>16773</v>
      </c>
      <c r="AC96" s="12" t="s">
        <v>16774</v>
      </c>
      <c r="AD96" s="12" t="s">
        <v>16775</v>
      </c>
      <c r="AE96" s="12" t="s">
        <v>12129</v>
      </c>
      <c r="AF96" s="12" t="s">
        <v>12129</v>
      </c>
      <c r="AG96" s="12">
        <v>96.0</v>
      </c>
      <c r="AH96" s="12">
        <v>4028.0</v>
      </c>
      <c r="AI96" s="12">
        <v>4579.0</v>
      </c>
      <c r="AJ96" s="12">
        <v>62.0</v>
      </c>
      <c r="AK96" s="12">
        <v>4136.0</v>
      </c>
      <c r="AL96" s="12" t="s">
        <v>14600</v>
      </c>
      <c r="AM96" s="12" t="s">
        <v>12170</v>
      </c>
      <c r="AN96" s="12" t="s">
        <v>14601</v>
      </c>
      <c r="AO96" s="12" t="s">
        <v>1775</v>
      </c>
      <c r="AP96" s="12" t="s">
        <v>14602</v>
      </c>
      <c r="AQ96" s="12" t="s">
        <v>12129</v>
      </c>
      <c r="AR96" s="12" t="s">
        <v>14603</v>
      </c>
      <c r="AS96" s="12" t="s">
        <v>14604</v>
      </c>
      <c r="AT96" s="12" t="s">
        <v>15542</v>
      </c>
      <c r="AU96" s="12">
        <v>2009.0</v>
      </c>
      <c r="AV96" s="12">
        <v>364.0</v>
      </c>
      <c r="AW96" s="12">
        <v>1526.0</v>
      </c>
      <c r="AX96" s="12" t="s">
        <v>12129</v>
      </c>
      <c r="AY96" s="12" t="s">
        <v>12129</v>
      </c>
      <c r="AZ96" s="12" t="s">
        <v>12129</v>
      </c>
      <c r="BA96" s="12" t="s">
        <v>12129</v>
      </c>
      <c r="BB96" s="12">
        <v>1985.0</v>
      </c>
      <c r="BC96" s="12">
        <v>1998.0</v>
      </c>
      <c r="BD96" s="12" t="s">
        <v>12129</v>
      </c>
      <c r="BE96" s="12" t="s">
        <v>970</v>
      </c>
      <c r="BF96" s="25" t="str">
        <f>HYPERLINK("http://dx.doi.org/10.1098/rstb.2008.0205","http://dx.doi.org/10.1098/rstb.2008.0205")</f>
        <v>http://dx.doi.org/10.1098/rstb.2008.0205</v>
      </c>
      <c r="BG96" s="12" t="s">
        <v>12129</v>
      </c>
      <c r="BH96" s="12" t="s">
        <v>12129</v>
      </c>
      <c r="BI96" s="12">
        <v>14.0</v>
      </c>
      <c r="BJ96" s="12" t="s">
        <v>185</v>
      </c>
      <c r="BK96" s="12" t="s">
        <v>12176</v>
      </c>
      <c r="BL96" s="12" t="s">
        <v>13772</v>
      </c>
      <c r="BM96" s="12" t="s">
        <v>16776</v>
      </c>
      <c r="BN96" s="12">
        <v>1.9528051E7</v>
      </c>
      <c r="BO96" s="12" t="s">
        <v>12253</v>
      </c>
      <c r="BP96" s="12" t="s">
        <v>12129</v>
      </c>
      <c r="BQ96" s="12" t="s">
        <v>12129</v>
      </c>
      <c r="BR96" s="12" t="s">
        <v>15851</v>
      </c>
      <c r="BS96" s="12" t="s">
        <v>972</v>
      </c>
      <c r="BT96" s="12" t="str">
        <f>HYPERLINK("https%3A%2F%2Fwww.webofscience.com%2Fwos%2Fwoscc%2Ffull-record%2FWOS:000267281600004","View Full Record in Web of Science")</f>
        <v>View Full Record in Web of Science</v>
      </c>
    </row>
    <row r="97" ht="12.75" customHeight="1">
      <c r="A97" s="12" t="s">
        <v>23</v>
      </c>
      <c r="B97" s="12" t="s">
        <v>1075</v>
      </c>
      <c r="C97" s="12" t="s">
        <v>12129</v>
      </c>
      <c r="D97" s="12" t="s">
        <v>12129</v>
      </c>
      <c r="E97" s="12" t="s">
        <v>12129</v>
      </c>
      <c r="F97" s="12" t="s">
        <v>16777</v>
      </c>
      <c r="G97" s="12" t="s">
        <v>12129</v>
      </c>
      <c r="H97" s="12" t="s">
        <v>12129</v>
      </c>
      <c r="I97" s="12" t="s">
        <v>1076</v>
      </c>
      <c r="J97" s="12" t="s">
        <v>1077</v>
      </c>
      <c r="K97" s="12" t="s">
        <v>12129</v>
      </c>
      <c r="L97" s="12" t="s">
        <v>12129</v>
      </c>
      <c r="M97" s="12" t="s">
        <v>3263</v>
      </c>
      <c r="N97" s="12" t="s">
        <v>266</v>
      </c>
      <c r="O97" s="12" t="s">
        <v>16778</v>
      </c>
      <c r="P97" s="12" t="s">
        <v>16779</v>
      </c>
      <c r="Q97" s="12" t="s">
        <v>16780</v>
      </c>
      <c r="R97" s="12" t="s">
        <v>12129</v>
      </c>
      <c r="S97" s="12" t="s">
        <v>12129</v>
      </c>
      <c r="T97" s="12" t="s">
        <v>15765</v>
      </c>
      <c r="U97" s="12" t="s">
        <v>15766</v>
      </c>
      <c r="V97" s="12" t="s">
        <v>1078</v>
      </c>
      <c r="W97" s="12" t="s">
        <v>16781</v>
      </c>
      <c r="X97" s="12" t="s">
        <v>16782</v>
      </c>
      <c r="Y97" s="12" t="s">
        <v>16783</v>
      </c>
      <c r="Z97" s="12" t="s">
        <v>16784</v>
      </c>
      <c r="AA97" s="12" t="s">
        <v>16785</v>
      </c>
      <c r="AB97" s="12" t="s">
        <v>16786</v>
      </c>
      <c r="AC97" s="12" t="s">
        <v>12129</v>
      </c>
      <c r="AD97" s="12" t="s">
        <v>12129</v>
      </c>
      <c r="AE97" s="12" t="s">
        <v>12129</v>
      </c>
      <c r="AF97" s="12" t="s">
        <v>12129</v>
      </c>
      <c r="AG97" s="12">
        <v>255.0</v>
      </c>
      <c r="AH97" s="12">
        <v>1607.0</v>
      </c>
      <c r="AI97" s="12">
        <v>1959.0</v>
      </c>
      <c r="AJ97" s="12">
        <v>44.0</v>
      </c>
      <c r="AK97" s="12">
        <v>2162.0</v>
      </c>
      <c r="AL97" s="12" t="s">
        <v>12294</v>
      </c>
      <c r="AM97" s="12" t="s">
        <v>12295</v>
      </c>
      <c r="AN97" s="12" t="s">
        <v>12296</v>
      </c>
      <c r="AO97" s="12" t="s">
        <v>10917</v>
      </c>
      <c r="AP97" s="12" t="s">
        <v>16787</v>
      </c>
      <c r="AQ97" s="12" t="s">
        <v>12129</v>
      </c>
      <c r="AR97" s="12" t="s">
        <v>15767</v>
      </c>
      <c r="AS97" s="12" t="s">
        <v>15768</v>
      </c>
      <c r="AT97" s="12" t="s">
        <v>12301</v>
      </c>
      <c r="AU97" s="12">
        <v>2006.0</v>
      </c>
      <c r="AV97" s="12">
        <v>32.0</v>
      </c>
      <c r="AW97" s="12">
        <v>6.0</v>
      </c>
      <c r="AX97" s="12" t="s">
        <v>12129</v>
      </c>
      <c r="AY97" s="12" t="s">
        <v>12129</v>
      </c>
      <c r="AZ97" s="12" t="s">
        <v>12129</v>
      </c>
      <c r="BA97" s="12" t="s">
        <v>12129</v>
      </c>
      <c r="BB97" s="12">
        <v>831.0</v>
      </c>
      <c r="BC97" s="12">
        <v>849.0</v>
      </c>
      <c r="BD97" s="12" t="s">
        <v>12129</v>
      </c>
      <c r="BE97" s="12" t="s">
        <v>1079</v>
      </c>
      <c r="BF97" s="25" t="str">
        <f>HYPERLINK("http://dx.doi.org/10.1016/j.envint.2006.05.002","http://dx.doi.org/10.1016/j.envint.2006.05.002")</f>
        <v>http://dx.doi.org/10.1016/j.envint.2006.05.002</v>
      </c>
      <c r="BG97" s="12" t="s">
        <v>12129</v>
      </c>
      <c r="BH97" s="12" t="s">
        <v>12129</v>
      </c>
      <c r="BI97" s="12">
        <v>19.0</v>
      </c>
      <c r="BJ97" s="12" t="s">
        <v>65</v>
      </c>
      <c r="BK97" s="12" t="s">
        <v>14627</v>
      </c>
      <c r="BL97" s="12" t="s">
        <v>12251</v>
      </c>
      <c r="BM97" s="12" t="s">
        <v>16788</v>
      </c>
      <c r="BN97" s="12">
        <v>1.6781774E7</v>
      </c>
      <c r="BO97" s="12" t="s">
        <v>12129</v>
      </c>
      <c r="BP97" s="12" t="s">
        <v>12129</v>
      </c>
      <c r="BQ97" s="12" t="s">
        <v>12129</v>
      </c>
      <c r="BR97" s="12" t="s">
        <v>15851</v>
      </c>
      <c r="BS97" s="12" t="s">
        <v>1081</v>
      </c>
      <c r="BT97" s="12" t="str">
        <f>HYPERLINK("https%3A%2F%2Fwww.webofscience.com%2Fwos%2Fwoscc%2Ffull-record%2FWOS:000239095700015","View Full Record in Web of Science")</f>
        <v>View Full Record in Web of Science</v>
      </c>
    </row>
    <row r="98" ht="12.75" customHeight="1">
      <c r="A98" s="12" t="s">
        <v>23</v>
      </c>
      <c r="B98" s="12" t="s">
        <v>1192</v>
      </c>
      <c r="C98" s="12" t="s">
        <v>12129</v>
      </c>
      <c r="D98" s="12" t="s">
        <v>12129</v>
      </c>
      <c r="E98" s="12" t="s">
        <v>12129</v>
      </c>
      <c r="F98" s="12" t="s">
        <v>1192</v>
      </c>
      <c r="G98" s="12" t="s">
        <v>12129</v>
      </c>
      <c r="H98" s="12" t="s">
        <v>12129</v>
      </c>
      <c r="I98" s="12" t="s">
        <v>1193</v>
      </c>
      <c r="J98" s="12" t="s">
        <v>324</v>
      </c>
      <c r="K98" s="12" t="s">
        <v>12129</v>
      </c>
      <c r="L98" s="12" t="s">
        <v>12129</v>
      </c>
      <c r="M98" s="12" t="s">
        <v>3263</v>
      </c>
      <c r="N98" s="12" t="s">
        <v>35</v>
      </c>
      <c r="O98" s="12" t="s">
        <v>12129</v>
      </c>
      <c r="P98" s="12" t="s">
        <v>12129</v>
      </c>
      <c r="Q98" s="12" t="s">
        <v>12129</v>
      </c>
      <c r="R98" s="12" t="s">
        <v>12129</v>
      </c>
      <c r="S98" s="12" t="s">
        <v>12129</v>
      </c>
      <c r="T98" s="12" t="s">
        <v>12129</v>
      </c>
      <c r="U98" s="12" t="s">
        <v>15508</v>
      </c>
      <c r="V98" s="12" t="s">
        <v>1194</v>
      </c>
      <c r="W98" s="12" t="s">
        <v>16789</v>
      </c>
      <c r="X98" s="12" t="s">
        <v>16790</v>
      </c>
      <c r="Y98" s="12" t="s">
        <v>16791</v>
      </c>
      <c r="Z98" s="12" t="s">
        <v>16792</v>
      </c>
      <c r="AA98" s="12" t="s">
        <v>16793</v>
      </c>
      <c r="AB98" s="12" t="s">
        <v>16794</v>
      </c>
      <c r="AC98" s="12" t="s">
        <v>12129</v>
      </c>
      <c r="AD98" s="12" t="s">
        <v>12129</v>
      </c>
      <c r="AE98" s="12" t="s">
        <v>12129</v>
      </c>
      <c r="AF98" s="12" t="s">
        <v>12129</v>
      </c>
      <c r="AG98" s="12">
        <v>19.0</v>
      </c>
      <c r="AH98" s="12">
        <v>609.0</v>
      </c>
      <c r="AI98" s="12">
        <v>712.0</v>
      </c>
      <c r="AJ98" s="12">
        <v>5.0</v>
      </c>
      <c r="AK98" s="12">
        <v>233.0</v>
      </c>
      <c r="AL98" s="12" t="s">
        <v>15485</v>
      </c>
      <c r="AM98" s="12" t="s">
        <v>12632</v>
      </c>
      <c r="AN98" s="12" t="s">
        <v>15872</v>
      </c>
      <c r="AO98" s="12" t="s">
        <v>1511</v>
      </c>
      <c r="AP98" s="12" t="s">
        <v>1917</v>
      </c>
      <c r="AQ98" s="12" t="s">
        <v>12129</v>
      </c>
      <c r="AR98" s="12" t="s">
        <v>324</v>
      </c>
      <c r="AS98" s="12" t="s">
        <v>1510</v>
      </c>
      <c r="AT98" s="12" t="s">
        <v>15509</v>
      </c>
      <c r="AU98" s="12">
        <v>2002.0</v>
      </c>
      <c r="AV98" s="12">
        <v>296.0</v>
      </c>
      <c r="AW98" s="12">
        <v>5573.0</v>
      </c>
      <c r="AX98" s="12" t="s">
        <v>12129</v>
      </c>
      <c r="AY98" s="12" t="s">
        <v>12129</v>
      </c>
      <c r="AZ98" s="12" t="s">
        <v>12129</v>
      </c>
      <c r="BA98" s="12" t="s">
        <v>12129</v>
      </c>
      <c r="BB98" s="12">
        <v>1687.0</v>
      </c>
      <c r="BC98" s="12">
        <v>1689.0</v>
      </c>
      <c r="BD98" s="12" t="s">
        <v>12129</v>
      </c>
      <c r="BE98" s="12" t="s">
        <v>1195</v>
      </c>
      <c r="BF98" s="25" t="str">
        <f>HYPERLINK("http://dx.doi.org/10.1126/science.1071828","http://dx.doi.org/10.1126/science.1071828")</f>
        <v>http://dx.doi.org/10.1126/science.1071828</v>
      </c>
      <c r="BG98" s="12" t="s">
        <v>12129</v>
      </c>
      <c r="BH98" s="12" t="s">
        <v>12129</v>
      </c>
      <c r="BI98" s="12">
        <v>3.0</v>
      </c>
      <c r="BJ98" s="12" t="s">
        <v>39</v>
      </c>
      <c r="BK98" s="12" t="s">
        <v>12176</v>
      </c>
      <c r="BL98" s="12" t="s">
        <v>12202</v>
      </c>
      <c r="BM98" s="12" t="s">
        <v>16795</v>
      </c>
      <c r="BN98" s="12">
        <v>1.2040194E7</v>
      </c>
      <c r="BO98" s="12" t="s">
        <v>12253</v>
      </c>
      <c r="BP98" s="12" t="s">
        <v>12129</v>
      </c>
      <c r="BQ98" s="12" t="s">
        <v>12129</v>
      </c>
      <c r="BR98" s="12" t="s">
        <v>15851</v>
      </c>
      <c r="BS98" s="12" t="s">
        <v>1197</v>
      </c>
      <c r="BT98" s="12" t="str">
        <f>HYPERLINK("https%3A%2F%2Fwww.webofscience.com%2Fwos%2Fwoscc%2Ffull-record%2FWOS:000175976200058","View Full Record in Web of Science")</f>
        <v>View Full Record in Web of Science</v>
      </c>
    </row>
    <row r="99" ht="12.75" customHeight="1">
      <c r="A99" s="12" t="s">
        <v>23</v>
      </c>
      <c r="B99" s="12" t="s">
        <v>1224</v>
      </c>
      <c r="C99" s="12" t="s">
        <v>12129</v>
      </c>
      <c r="D99" s="12" t="s">
        <v>12129</v>
      </c>
      <c r="E99" s="12" t="s">
        <v>12129</v>
      </c>
      <c r="F99" s="12" t="s">
        <v>1224</v>
      </c>
      <c r="G99" s="12" t="s">
        <v>12129</v>
      </c>
      <c r="H99" s="12" t="s">
        <v>12129</v>
      </c>
      <c r="I99" s="12" t="s">
        <v>1225</v>
      </c>
      <c r="J99" s="12" t="s">
        <v>1226</v>
      </c>
      <c r="K99" s="12" t="s">
        <v>12129</v>
      </c>
      <c r="L99" s="12" t="s">
        <v>12129</v>
      </c>
      <c r="M99" s="12" t="s">
        <v>3263</v>
      </c>
      <c r="N99" s="12" t="s">
        <v>35</v>
      </c>
      <c r="O99" s="12" t="s">
        <v>12129</v>
      </c>
      <c r="P99" s="12" t="s">
        <v>12129</v>
      </c>
      <c r="Q99" s="12" t="s">
        <v>12129</v>
      </c>
      <c r="R99" s="12" t="s">
        <v>12129</v>
      </c>
      <c r="S99" s="12" t="s">
        <v>12129</v>
      </c>
      <c r="T99" s="12" t="s">
        <v>15679</v>
      </c>
      <c r="U99" s="12" t="s">
        <v>15680</v>
      </c>
      <c r="V99" s="12" t="s">
        <v>1227</v>
      </c>
      <c r="W99" s="12" t="s">
        <v>16796</v>
      </c>
      <c r="X99" s="12" t="s">
        <v>16797</v>
      </c>
      <c r="Y99" s="12" t="s">
        <v>16798</v>
      </c>
      <c r="Z99" s="12" t="s">
        <v>12129</v>
      </c>
      <c r="AA99" s="12" t="s">
        <v>16799</v>
      </c>
      <c r="AB99" s="12" t="s">
        <v>16800</v>
      </c>
      <c r="AC99" s="12" t="s">
        <v>12129</v>
      </c>
      <c r="AD99" s="12" t="s">
        <v>12129</v>
      </c>
      <c r="AE99" s="12" t="s">
        <v>12129</v>
      </c>
      <c r="AF99" s="12" t="s">
        <v>12129</v>
      </c>
      <c r="AG99" s="12">
        <v>100.0</v>
      </c>
      <c r="AH99" s="12">
        <v>338.0</v>
      </c>
      <c r="AI99" s="12">
        <v>414.0</v>
      </c>
      <c r="AJ99" s="12">
        <v>3.0</v>
      </c>
      <c r="AK99" s="12">
        <v>195.0</v>
      </c>
      <c r="AL99" s="12" t="s">
        <v>12321</v>
      </c>
      <c r="AM99" s="12" t="s">
        <v>12295</v>
      </c>
      <c r="AN99" s="12" t="s">
        <v>12454</v>
      </c>
      <c r="AO99" s="12" t="s">
        <v>16801</v>
      </c>
      <c r="AP99" s="12" t="s">
        <v>12129</v>
      </c>
      <c r="AQ99" s="12" t="s">
        <v>12129</v>
      </c>
      <c r="AR99" s="12" t="s">
        <v>15681</v>
      </c>
      <c r="AS99" s="12" t="s">
        <v>15682</v>
      </c>
      <c r="AT99" s="12" t="s">
        <v>12301</v>
      </c>
      <c r="AU99" s="12">
        <v>2000.0</v>
      </c>
      <c r="AV99" s="12">
        <v>65.0</v>
      </c>
      <c r="AW99" s="12">
        <v>2.0</v>
      </c>
      <c r="AX99" s="12" t="s">
        <v>12129</v>
      </c>
      <c r="AY99" s="12" t="s">
        <v>12129</v>
      </c>
      <c r="AZ99" s="12" t="s">
        <v>12129</v>
      </c>
      <c r="BA99" s="12" t="s">
        <v>12129</v>
      </c>
      <c r="BB99" s="12">
        <v>113.0</v>
      </c>
      <c r="BC99" s="12">
        <v>136.0</v>
      </c>
      <c r="BD99" s="12" t="s">
        <v>12129</v>
      </c>
      <c r="BE99" s="12" t="s">
        <v>1228</v>
      </c>
      <c r="BF99" s="25" t="str">
        <f>HYPERLINK("http://dx.doi.org/10.1016/S0308-521X(00)00031-7","http://dx.doi.org/10.1016/S0308-521X(00)00031-7")</f>
        <v>http://dx.doi.org/10.1016/S0308-521X(00)00031-7</v>
      </c>
      <c r="BG99" s="12" t="s">
        <v>12129</v>
      </c>
      <c r="BH99" s="12" t="s">
        <v>12129</v>
      </c>
      <c r="BI99" s="12">
        <v>24.0</v>
      </c>
      <c r="BJ99" s="12" t="s">
        <v>1230</v>
      </c>
      <c r="BK99" s="12" t="s">
        <v>12176</v>
      </c>
      <c r="BL99" s="12" t="s">
        <v>13707</v>
      </c>
      <c r="BM99" s="12" t="s">
        <v>16802</v>
      </c>
      <c r="BN99" s="12" t="s">
        <v>12129</v>
      </c>
      <c r="BO99" s="12" t="s">
        <v>12129</v>
      </c>
      <c r="BP99" s="12" t="s">
        <v>12129</v>
      </c>
      <c r="BQ99" s="12" t="s">
        <v>12129</v>
      </c>
      <c r="BR99" s="12" t="s">
        <v>15851</v>
      </c>
      <c r="BS99" s="12" t="s">
        <v>1231</v>
      </c>
      <c r="BT99" s="12" t="str">
        <f>HYPERLINK("https%3A%2F%2Fwww.webofscience.com%2Fwos%2Fwoscc%2Ffull-record%2FWOS:000089669800003","View Full Record in Web of Science")</f>
        <v>View Full Record in Web of Science</v>
      </c>
    </row>
    <row r="100" ht="12.75" customHeight="1">
      <c r="A100" s="12" t="s">
        <v>23</v>
      </c>
      <c r="B100" s="12" t="s">
        <v>745</v>
      </c>
      <c r="C100" s="12" t="s">
        <v>12129</v>
      </c>
      <c r="D100" s="12" t="s">
        <v>12129</v>
      </c>
      <c r="E100" s="12" t="s">
        <v>12129</v>
      </c>
      <c r="F100" s="12" t="s">
        <v>4383</v>
      </c>
      <c r="G100" s="12" t="s">
        <v>12129</v>
      </c>
      <c r="H100" s="12" t="s">
        <v>12129</v>
      </c>
      <c r="I100" s="12" t="s">
        <v>746</v>
      </c>
      <c r="J100" s="12" t="s">
        <v>747</v>
      </c>
      <c r="K100" s="12" t="s">
        <v>12129</v>
      </c>
      <c r="L100" s="12" t="s">
        <v>12129</v>
      </c>
      <c r="M100" s="12" t="s">
        <v>3263</v>
      </c>
      <c r="N100" s="12" t="s">
        <v>35</v>
      </c>
      <c r="O100" s="12" t="s">
        <v>12129</v>
      </c>
      <c r="P100" s="12" t="s">
        <v>12129</v>
      </c>
      <c r="Q100" s="12" t="s">
        <v>12129</v>
      </c>
      <c r="R100" s="12" t="s">
        <v>12129</v>
      </c>
      <c r="S100" s="12" t="s">
        <v>12129</v>
      </c>
      <c r="T100" s="12" t="s">
        <v>15758</v>
      </c>
      <c r="U100" s="12" t="s">
        <v>12129</v>
      </c>
      <c r="V100" s="12" t="s">
        <v>748</v>
      </c>
      <c r="W100" s="12" t="s">
        <v>16803</v>
      </c>
      <c r="X100" s="12" t="s">
        <v>16804</v>
      </c>
      <c r="Y100" s="12" t="s">
        <v>16805</v>
      </c>
      <c r="Z100" s="12" t="s">
        <v>16806</v>
      </c>
      <c r="AA100" s="12" t="s">
        <v>12129</v>
      </c>
      <c r="AB100" s="12" t="s">
        <v>12129</v>
      </c>
      <c r="AC100" s="12" t="s">
        <v>12129</v>
      </c>
      <c r="AD100" s="12" t="s">
        <v>12129</v>
      </c>
      <c r="AE100" s="12" t="s">
        <v>12129</v>
      </c>
      <c r="AF100" s="12" t="s">
        <v>12129</v>
      </c>
      <c r="AG100" s="12">
        <v>24.0</v>
      </c>
      <c r="AH100" s="12">
        <v>73.0</v>
      </c>
      <c r="AI100" s="12">
        <v>91.0</v>
      </c>
      <c r="AJ100" s="12">
        <v>1.0</v>
      </c>
      <c r="AK100" s="12">
        <v>79.0</v>
      </c>
      <c r="AL100" s="12" t="s">
        <v>12321</v>
      </c>
      <c r="AM100" s="12" t="s">
        <v>12295</v>
      </c>
      <c r="AN100" s="12" t="s">
        <v>12454</v>
      </c>
      <c r="AO100" s="12" t="s">
        <v>16807</v>
      </c>
      <c r="AP100" s="12" t="s">
        <v>16808</v>
      </c>
      <c r="AQ100" s="12" t="s">
        <v>12129</v>
      </c>
      <c r="AR100" s="12" t="s">
        <v>747</v>
      </c>
      <c r="AS100" s="12" t="s">
        <v>4384</v>
      </c>
      <c r="AT100" s="12" t="s">
        <v>12561</v>
      </c>
      <c r="AU100" s="12">
        <v>2011.0</v>
      </c>
      <c r="AV100" s="12">
        <v>36.0</v>
      </c>
      <c r="AW100" s="12">
        <v>2.0</v>
      </c>
      <c r="AX100" s="12" t="s">
        <v>12129</v>
      </c>
      <c r="AY100" s="12" t="s">
        <v>12129</v>
      </c>
      <c r="AZ100" s="12" t="s">
        <v>12129</v>
      </c>
      <c r="BA100" s="12" t="s">
        <v>12129</v>
      </c>
      <c r="BB100" s="12">
        <v>186.0</v>
      </c>
      <c r="BC100" s="12">
        <v>196.0</v>
      </c>
      <c r="BD100" s="12" t="s">
        <v>12129</v>
      </c>
      <c r="BE100" s="12" t="s">
        <v>749</v>
      </c>
      <c r="BF100" s="25" t="str">
        <f>HYPERLINK("http://dx.doi.org/10.1016/j.foodpol.2010.11.015","http://dx.doi.org/10.1016/j.foodpol.2010.11.015")</f>
        <v>http://dx.doi.org/10.1016/j.foodpol.2010.11.015</v>
      </c>
      <c r="BG100" s="12" t="s">
        <v>12129</v>
      </c>
      <c r="BH100" s="12" t="s">
        <v>12129</v>
      </c>
      <c r="BI100" s="12">
        <v>11.0</v>
      </c>
      <c r="BJ100" s="12" t="s">
        <v>751</v>
      </c>
      <c r="BK100" s="12" t="s">
        <v>12729</v>
      </c>
      <c r="BL100" s="12" t="s">
        <v>15759</v>
      </c>
      <c r="BM100" s="12" t="s">
        <v>16809</v>
      </c>
      <c r="BN100" s="12" t="s">
        <v>12129</v>
      </c>
      <c r="BO100" s="12" t="s">
        <v>12129</v>
      </c>
      <c r="BP100" s="12" t="s">
        <v>12129</v>
      </c>
      <c r="BQ100" s="12" t="s">
        <v>12129</v>
      </c>
      <c r="BR100" s="12" t="s">
        <v>15851</v>
      </c>
      <c r="BS100" s="12" t="s">
        <v>752</v>
      </c>
      <c r="BT100" s="12" t="str">
        <f>HYPERLINK("https%3A%2F%2Fwww.webofscience.com%2Fwos%2Fwoscc%2Ffull-record%2FWOS:000289340500011","View Full Record in Web of Science")</f>
        <v>View Full Record in Web of Science</v>
      </c>
    </row>
    <row r="101" ht="12.75" customHeight="1">
      <c r="A101" s="12" t="s">
        <v>23</v>
      </c>
      <c r="B101" s="12" t="s">
        <v>1027</v>
      </c>
      <c r="C101" s="12" t="s">
        <v>12129</v>
      </c>
      <c r="D101" s="12" t="s">
        <v>12129</v>
      </c>
      <c r="E101" s="12" t="s">
        <v>12129</v>
      </c>
      <c r="F101" s="12" t="s">
        <v>10430</v>
      </c>
      <c r="G101" s="12" t="s">
        <v>12129</v>
      </c>
      <c r="H101" s="12" t="s">
        <v>12129</v>
      </c>
      <c r="I101" s="12" t="s">
        <v>1028</v>
      </c>
      <c r="J101" s="12" t="s">
        <v>34</v>
      </c>
      <c r="K101" s="12" t="s">
        <v>12129</v>
      </c>
      <c r="L101" s="12" t="s">
        <v>12129</v>
      </c>
      <c r="M101" s="12" t="s">
        <v>3263</v>
      </c>
      <c r="N101" s="12" t="s">
        <v>35</v>
      </c>
      <c r="O101" s="12" t="s">
        <v>12129</v>
      </c>
      <c r="P101" s="12" t="s">
        <v>12129</v>
      </c>
      <c r="Q101" s="12" t="s">
        <v>12129</v>
      </c>
      <c r="R101" s="12" t="s">
        <v>12129</v>
      </c>
      <c r="S101" s="12" t="s">
        <v>12129</v>
      </c>
      <c r="T101" s="12" t="s">
        <v>15602</v>
      </c>
      <c r="U101" s="12" t="s">
        <v>15603</v>
      </c>
      <c r="V101" s="12" t="s">
        <v>1029</v>
      </c>
      <c r="W101" s="12" t="s">
        <v>16810</v>
      </c>
      <c r="X101" s="12" t="s">
        <v>16811</v>
      </c>
      <c r="Y101" s="12" t="s">
        <v>16812</v>
      </c>
      <c r="Z101" s="12" t="s">
        <v>16813</v>
      </c>
      <c r="AA101" s="12" t="s">
        <v>16814</v>
      </c>
      <c r="AB101" s="12" t="s">
        <v>16815</v>
      </c>
      <c r="AC101" s="12" t="s">
        <v>12129</v>
      </c>
      <c r="AD101" s="12" t="s">
        <v>12129</v>
      </c>
      <c r="AE101" s="12" t="s">
        <v>12129</v>
      </c>
      <c r="AF101" s="12" t="s">
        <v>12129</v>
      </c>
      <c r="AG101" s="12">
        <v>30.0</v>
      </c>
      <c r="AH101" s="12">
        <v>1604.0</v>
      </c>
      <c r="AI101" s="12">
        <v>1933.0</v>
      </c>
      <c r="AJ101" s="12">
        <v>12.0</v>
      </c>
      <c r="AK101" s="12">
        <v>1201.0</v>
      </c>
      <c r="AL101" s="12" t="s">
        <v>12631</v>
      </c>
      <c r="AM101" s="12" t="s">
        <v>12632</v>
      </c>
      <c r="AN101" s="12" t="s">
        <v>12633</v>
      </c>
      <c r="AO101" s="12" t="s">
        <v>1689</v>
      </c>
      <c r="AP101" s="12" t="s">
        <v>12129</v>
      </c>
      <c r="AQ101" s="12" t="s">
        <v>12129</v>
      </c>
      <c r="AR101" s="12" t="s">
        <v>12634</v>
      </c>
      <c r="AS101" s="12" t="s">
        <v>12635</v>
      </c>
      <c r="AT101" s="12" t="s">
        <v>15604</v>
      </c>
      <c r="AU101" s="12">
        <v>2007.0</v>
      </c>
      <c r="AV101" s="12">
        <v>104.0</v>
      </c>
      <c r="AW101" s="12">
        <v>21.0</v>
      </c>
      <c r="AX101" s="12" t="s">
        <v>12129</v>
      </c>
      <c r="AY101" s="12" t="s">
        <v>12129</v>
      </c>
      <c r="AZ101" s="12" t="s">
        <v>12129</v>
      </c>
      <c r="BA101" s="12" t="s">
        <v>12129</v>
      </c>
      <c r="BB101" s="12">
        <v>8897.0</v>
      </c>
      <c r="BC101" s="12">
        <v>8901.0</v>
      </c>
      <c r="BD101" s="12" t="s">
        <v>12129</v>
      </c>
      <c r="BE101" s="12" t="s">
        <v>1030</v>
      </c>
      <c r="BF101" s="25" t="str">
        <f>HYPERLINK("http://dx.doi.org/10.1073/pnas.0609568104","http://dx.doi.org/10.1073/pnas.0609568104")</f>
        <v>http://dx.doi.org/10.1073/pnas.0609568104</v>
      </c>
      <c r="BG101" s="12" t="s">
        <v>12129</v>
      </c>
      <c r="BH101" s="12" t="s">
        <v>12129</v>
      </c>
      <c r="BI101" s="12">
        <v>5.0</v>
      </c>
      <c r="BJ101" s="12" t="s">
        <v>39</v>
      </c>
      <c r="BK101" s="12" t="s">
        <v>12176</v>
      </c>
      <c r="BL101" s="12" t="s">
        <v>12202</v>
      </c>
      <c r="BM101" s="12" t="s">
        <v>16816</v>
      </c>
      <c r="BN101" s="12">
        <v>1.7517636E7</v>
      </c>
      <c r="BO101" s="12" t="s">
        <v>12253</v>
      </c>
      <c r="BP101" s="12" t="s">
        <v>12129</v>
      </c>
      <c r="BQ101" s="12" t="s">
        <v>12129</v>
      </c>
      <c r="BR101" s="12" t="s">
        <v>15851</v>
      </c>
      <c r="BS101" s="12" t="s">
        <v>1032</v>
      </c>
      <c r="BT101" s="12" t="str">
        <f>HYPERLINK("https%3A%2F%2Fwww.webofscience.com%2Fwos%2Fwoscc%2Ffull-record%2FWOS:000246853700040","View Full Record in Web of Science")</f>
        <v>View Full Record in Web of Science</v>
      </c>
    </row>
    <row r="102" ht="12.75" customHeight="1">
      <c r="A102" s="12" t="s">
        <v>23</v>
      </c>
      <c r="B102" s="12" t="s">
        <v>1266</v>
      </c>
      <c r="C102" s="12" t="s">
        <v>12129</v>
      </c>
      <c r="D102" s="12" t="s">
        <v>12129</v>
      </c>
      <c r="E102" s="12" t="s">
        <v>12129</v>
      </c>
      <c r="F102" s="12" t="s">
        <v>1266</v>
      </c>
      <c r="G102" s="12" t="s">
        <v>12129</v>
      </c>
      <c r="H102" s="12" t="s">
        <v>12129</v>
      </c>
      <c r="I102" s="12" t="s">
        <v>1267</v>
      </c>
      <c r="J102" s="12" t="s">
        <v>1268</v>
      </c>
      <c r="K102" s="12" t="s">
        <v>12129</v>
      </c>
      <c r="L102" s="12" t="s">
        <v>12129</v>
      </c>
      <c r="M102" s="12" t="s">
        <v>3263</v>
      </c>
      <c r="N102" s="12" t="s">
        <v>35</v>
      </c>
      <c r="O102" s="12" t="s">
        <v>12129</v>
      </c>
      <c r="P102" s="12" t="s">
        <v>12129</v>
      </c>
      <c r="Q102" s="12" t="s">
        <v>12129</v>
      </c>
      <c r="R102" s="12" t="s">
        <v>12129</v>
      </c>
      <c r="S102" s="12" t="s">
        <v>12129</v>
      </c>
      <c r="T102" s="12" t="s">
        <v>12129</v>
      </c>
      <c r="U102" s="12" t="s">
        <v>12129</v>
      </c>
      <c r="V102" s="12" t="s">
        <v>1269</v>
      </c>
      <c r="W102" s="12" t="s">
        <v>16817</v>
      </c>
      <c r="X102" s="12" t="s">
        <v>16818</v>
      </c>
      <c r="Y102" s="12" t="s">
        <v>16819</v>
      </c>
      <c r="Z102" s="12" t="s">
        <v>12129</v>
      </c>
      <c r="AA102" s="12" t="s">
        <v>16820</v>
      </c>
      <c r="AB102" s="12" t="s">
        <v>16821</v>
      </c>
      <c r="AC102" s="12" t="s">
        <v>12129</v>
      </c>
      <c r="AD102" s="12" t="s">
        <v>12129</v>
      </c>
      <c r="AE102" s="12" t="s">
        <v>12129</v>
      </c>
      <c r="AF102" s="12" t="s">
        <v>12129</v>
      </c>
      <c r="AG102" s="12">
        <v>31.0</v>
      </c>
      <c r="AH102" s="12">
        <v>53.0</v>
      </c>
      <c r="AI102" s="12">
        <v>56.0</v>
      </c>
      <c r="AJ102" s="12">
        <v>0.0</v>
      </c>
      <c r="AK102" s="12">
        <v>8.0</v>
      </c>
      <c r="AL102" s="12" t="s">
        <v>12243</v>
      </c>
      <c r="AM102" s="12" t="s">
        <v>12244</v>
      </c>
      <c r="AN102" s="12" t="s">
        <v>12245</v>
      </c>
      <c r="AO102" s="12" t="s">
        <v>16822</v>
      </c>
      <c r="AP102" s="12" t="s">
        <v>16823</v>
      </c>
      <c r="AQ102" s="12" t="s">
        <v>12129</v>
      </c>
      <c r="AR102" s="12" t="s">
        <v>15422</v>
      </c>
      <c r="AS102" s="12" t="s">
        <v>15423</v>
      </c>
      <c r="AT102" s="12" t="s">
        <v>12148</v>
      </c>
      <c r="AU102" s="12">
        <v>1987.0</v>
      </c>
      <c r="AV102" s="12">
        <v>16.0</v>
      </c>
      <c r="AW102" s="12">
        <v>4.0</v>
      </c>
      <c r="AX102" s="12" t="s">
        <v>12129</v>
      </c>
      <c r="AY102" s="12" t="s">
        <v>12129</v>
      </c>
      <c r="AZ102" s="12" t="s">
        <v>12129</v>
      </c>
      <c r="BA102" s="12" t="s">
        <v>12129</v>
      </c>
      <c r="BB102" s="12">
        <v>383.0</v>
      </c>
      <c r="BC102" s="12">
        <v>390.0</v>
      </c>
      <c r="BD102" s="12" t="s">
        <v>12129</v>
      </c>
      <c r="BE102" s="12" t="s">
        <v>1270</v>
      </c>
      <c r="BF102" s="25" t="str">
        <f>HYPERLINK("http://dx.doi.org/10.2134/jeq1987.00472425001600040016x","http://dx.doi.org/10.2134/jeq1987.00472425001600040016x")</f>
        <v>http://dx.doi.org/10.2134/jeq1987.00472425001600040016x</v>
      </c>
      <c r="BG102" s="12" t="s">
        <v>12129</v>
      </c>
      <c r="BH102" s="12" t="s">
        <v>12129</v>
      </c>
      <c r="BI102" s="12">
        <v>8.0</v>
      </c>
      <c r="BJ102" s="12" t="s">
        <v>65</v>
      </c>
      <c r="BK102" s="12" t="s">
        <v>12176</v>
      </c>
      <c r="BL102" s="12" t="s">
        <v>12251</v>
      </c>
      <c r="BM102" s="12" t="s">
        <v>16824</v>
      </c>
      <c r="BN102" s="12" t="s">
        <v>12129</v>
      </c>
      <c r="BO102" s="12" t="s">
        <v>12129</v>
      </c>
      <c r="BP102" s="12" t="s">
        <v>12129</v>
      </c>
      <c r="BQ102" s="12" t="s">
        <v>12129</v>
      </c>
      <c r="BR102" s="12" t="s">
        <v>15851</v>
      </c>
      <c r="BS102" s="12" t="s">
        <v>1272</v>
      </c>
      <c r="BT102" s="12" t="str">
        <f>HYPERLINK("https%3A%2F%2Fwww.webofscience.com%2Fwos%2Fwoscc%2Ffull-record%2FWOS:A1987K900200016","View Full Record in Web of Science")</f>
        <v>View Full Record in Web of Science</v>
      </c>
    </row>
    <row r="103" ht="12.75" customHeight="1">
      <c r="A103" s="12" t="s">
        <v>23</v>
      </c>
      <c r="B103" s="12" t="s">
        <v>197</v>
      </c>
      <c r="C103" s="12" t="s">
        <v>12129</v>
      </c>
      <c r="D103" s="12" t="s">
        <v>12129</v>
      </c>
      <c r="E103" s="12" t="s">
        <v>12129</v>
      </c>
      <c r="F103" s="12" t="s">
        <v>16825</v>
      </c>
      <c r="G103" s="12" t="s">
        <v>12129</v>
      </c>
      <c r="H103" s="12" t="s">
        <v>12129</v>
      </c>
      <c r="I103" s="12" t="s">
        <v>198</v>
      </c>
      <c r="J103" s="12" t="s">
        <v>199</v>
      </c>
      <c r="K103" s="12" t="s">
        <v>12129</v>
      </c>
      <c r="L103" s="12" t="s">
        <v>12129</v>
      </c>
      <c r="M103" s="12" t="s">
        <v>3263</v>
      </c>
      <c r="N103" s="12" t="s">
        <v>200</v>
      </c>
      <c r="O103" s="12" t="s">
        <v>12129</v>
      </c>
      <c r="P103" s="12" t="s">
        <v>12129</v>
      </c>
      <c r="Q103" s="12" t="s">
        <v>12129</v>
      </c>
      <c r="R103" s="12" t="s">
        <v>12129</v>
      </c>
      <c r="S103" s="12" t="s">
        <v>12129</v>
      </c>
      <c r="T103" s="12" t="s">
        <v>12129</v>
      </c>
      <c r="U103" s="12" t="s">
        <v>15614</v>
      </c>
      <c r="V103" s="12" t="s">
        <v>201</v>
      </c>
      <c r="W103" s="12" t="s">
        <v>16826</v>
      </c>
      <c r="X103" s="12" t="s">
        <v>16827</v>
      </c>
      <c r="Y103" s="12" t="s">
        <v>16828</v>
      </c>
      <c r="Z103" s="12" t="s">
        <v>16829</v>
      </c>
      <c r="AA103" s="12" t="s">
        <v>16830</v>
      </c>
      <c r="AB103" s="12" t="s">
        <v>16831</v>
      </c>
      <c r="AC103" s="12" t="s">
        <v>16832</v>
      </c>
      <c r="AD103" s="12" t="s">
        <v>16833</v>
      </c>
      <c r="AE103" s="12" t="s">
        <v>16834</v>
      </c>
      <c r="AF103" s="12" t="s">
        <v>12129</v>
      </c>
      <c r="AG103" s="12">
        <v>56.0</v>
      </c>
      <c r="AH103" s="12">
        <v>575.0</v>
      </c>
      <c r="AI103" s="12">
        <v>649.0</v>
      </c>
      <c r="AJ103" s="12">
        <v>18.0</v>
      </c>
      <c r="AK103" s="12">
        <v>323.0</v>
      </c>
      <c r="AL103" s="12" t="s">
        <v>15615</v>
      </c>
      <c r="AM103" s="12" t="s">
        <v>12170</v>
      </c>
      <c r="AN103" s="12" t="s">
        <v>16017</v>
      </c>
      <c r="AO103" s="12" t="s">
        <v>12129</v>
      </c>
      <c r="AP103" s="12" t="s">
        <v>5051</v>
      </c>
      <c r="AQ103" s="12" t="s">
        <v>12129</v>
      </c>
      <c r="AR103" s="12" t="s">
        <v>15616</v>
      </c>
      <c r="AS103" s="12" t="s">
        <v>15617</v>
      </c>
      <c r="AT103" s="12" t="s">
        <v>15618</v>
      </c>
      <c r="AU103" s="12">
        <v>2016.0</v>
      </c>
      <c r="AV103" s="12">
        <v>3.0</v>
      </c>
      <c r="AW103" s="12" t="s">
        <v>12129</v>
      </c>
      <c r="AX103" s="12" t="s">
        <v>12129</v>
      </c>
      <c r="AY103" s="12" t="s">
        <v>12129</v>
      </c>
      <c r="AZ103" s="12" t="s">
        <v>12129</v>
      </c>
      <c r="BA103" s="12" t="s">
        <v>12129</v>
      </c>
      <c r="BB103" s="12" t="s">
        <v>12129</v>
      </c>
      <c r="BC103" s="12" t="s">
        <v>12129</v>
      </c>
      <c r="BD103" s="12">
        <v>160067.0</v>
      </c>
      <c r="BE103" s="12" t="s">
        <v>202</v>
      </c>
      <c r="BF103" s="25" t="str">
        <f>HYPERLINK("http://dx.doi.org/10.1038/sdata.2016.67","http://dx.doi.org/10.1038/sdata.2016.67")</f>
        <v>http://dx.doi.org/10.1038/sdata.2016.67</v>
      </c>
      <c r="BG103" s="12" t="s">
        <v>12129</v>
      </c>
      <c r="BH103" s="12" t="s">
        <v>12129</v>
      </c>
      <c r="BI103" s="12">
        <v>10.0</v>
      </c>
      <c r="BJ103" s="12" t="s">
        <v>39</v>
      </c>
      <c r="BK103" s="12" t="s">
        <v>12176</v>
      </c>
      <c r="BL103" s="12" t="s">
        <v>12202</v>
      </c>
      <c r="BM103" s="12" t="s">
        <v>16835</v>
      </c>
      <c r="BN103" s="12">
        <v>2.7552448E7</v>
      </c>
      <c r="BO103" s="12" t="s">
        <v>12179</v>
      </c>
      <c r="BP103" s="12" t="s">
        <v>12129</v>
      </c>
      <c r="BQ103" s="12" t="s">
        <v>12129</v>
      </c>
      <c r="BR103" s="12" t="s">
        <v>15851</v>
      </c>
      <c r="BS103" s="12" t="s">
        <v>204</v>
      </c>
      <c r="BT103" s="12" t="str">
        <f>HYPERLINK("https%3A%2F%2Fwww.webofscience.com%2Fwos%2Fwoscc%2Ffull-record%2FWOS:000390229900001","View Full Record in Web of Science")</f>
        <v>View Full Record in Web of Science</v>
      </c>
    </row>
    <row r="104" ht="12.75" customHeight="1">
      <c r="A104" s="12" t="s">
        <v>23</v>
      </c>
      <c r="B104" s="12" t="s">
        <v>130</v>
      </c>
      <c r="C104" s="12" t="s">
        <v>12129</v>
      </c>
      <c r="D104" s="12" t="s">
        <v>12129</v>
      </c>
      <c r="E104" s="12" t="s">
        <v>12129</v>
      </c>
      <c r="F104" s="12" t="s">
        <v>2065</v>
      </c>
      <c r="G104" s="12" t="s">
        <v>12129</v>
      </c>
      <c r="H104" s="12" t="s">
        <v>12129</v>
      </c>
      <c r="I104" s="12" t="s">
        <v>131</v>
      </c>
      <c r="J104" s="12" t="s">
        <v>132</v>
      </c>
      <c r="K104" s="12" t="s">
        <v>12129</v>
      </c>
      <c r="L104" s="12" t="s">
        <v>12129</v>
      </c>
      <c r="M104" s="12" t="s">
        <v>3263</v>
      </c>
      <c r="N104" s="12" t="s">
        <v>35</v>
      </c>
      <c r="O104" s="12" t="s">
        <v>12129</v>
      </c>
      <c r="P104" s="12" t="s">
        <v>12129</v>
      </c>
      <c r="Q104" s="12" t="s">
        <v>12129</v>
      </c>
      <c r="R104" s="12" t="s">
        <v>12129</v>
      </c>
      <c r="S104" s="12" t="s">
        <v>12129</v>
      </c>
      <c r="T104" s="12" t="s">
        <v>15547</v>
      </c>
      <c r="U104" s="12" t="s">
        <v>15548</v>
      </c>
      <c r="V104" s="12" t="s">
        <v>133</v>
      </c>
      <c r="W104" s="12" t="s">
        <v>16836</v>
      </c>
      <c r="X104" s="12" t="s">
        <v>14849</v>
      </c>
      <c r="Y104" s="12" t="s">
        <v>16837</v>
      </c>
      <c r="Z104" s="12" t="s">
        <v>16838</v>
      </c>
      <c r="AA104" s="12" t="s">
        <v>16839</v>
      </c>
      <c r="AB104" s="12" t="s">
        <v>16840</v>
      </c>
      <c r="AC104" s="12" t="s">
        <v>16841</v>
      </c>
      <c r="AD104" s="12" t="s">
        <v>16842</v>
      </c>
      <c r="AE104" s="12" t="s">
        <v>16843</v>
      </c>
      <c r="AF104" s="12" t="s">
        <v>12129</v>
      </c>
      <c r="AG104" s="12">
        <v>21.0</v>
      </c>
      <c r="AH104" s="12">
        <v>26.0</v>
      </c>
      <c r="AI104" s="12">
        <v>29.0</v>
      </c>
      <c r="AJ104" s="12">
        <v>1.0</v>
      </c>
      <c r="AK104" s="12">
        <v>39.0</v>
      </c>
      <c r="AL104" s="12" t="s">
        <v>14600</v>
      </c>
      <c r="AM104" s="12" t="s">
        <v>12170</v>
      </c>
      <c r="AN104" s="12" t="s">
        <v>14601</v>
      </c>
      <c r="AO104" s="12" t="s">
        <v>16844</v>
      </c>
      <c r="AP104" s="12" t="s">
        <v>16845</v>
      </c>
      <c r="AQ104" s="12" t="s">
        <v>12129</v>
      </c>
      <c r="AR104" s="12" t="s">
        <v>15549</v>
      </c>
      <c r="AS104" s="12" t="s">
        <v>15550</v>
      </c>
      <c r="AT104" s="12" t="s">
        <v>13987</v>
      </c>
      <c r="AU104" s="12">
        <v>2017.0</v>
      </c>
      <c r="AV104" s="12">
        <v>13.0</v>
      </c>
      <c r="AW104" s="12">
        <v>2.0</v>
      </c>
      <c r="AX104" s="12" t="s">
        <v>12129</v>
      </c>
      <c r="AY104" s="12" t="s">
        <v>12129</v>
      </c>
      <c r="AZ104" s="12" t="s">
        <v>12129</v>
      </c>
      <c r="BA104" s="12" t="s">
        <v>12129</v>
      </c>
      <c r="BB104" s="12" t="s">
        <v>12129</v>
      </c>
      <c r="BC104" s="12" t="s">
        <v>12129</v>
      </c>
      <c r="BD104" s="12">
        <v>2.0160774E7</v>
      </c>
      <c r="BE104" s="12" t="s">
        <v>134</v>
      </c>
      <c r="BF104" s="25" t="str">
        <f>HYPERLINK("http://dx.doi.org/10.1098/rsbl.2016.0774","http://dx.doi.org/10.1098/rsbl.2016.0774")</f>
        <v>http://dx.doi.org/10.1098/rsbl.2016.0774</v>
      </c>
      <c r="BG104" s="12" t="s">
        <v>12129</v>
      </c>
      <c r="BH104" s="12" t="s">
        <v>12129</v>
      </c>
      <c r="BI104" s="12">
        <v>4.0</v>
      </c>
      <c r="BJ104" s="12" t="s">
        <v>136</v>
      </c>
      <c r="BK104" s="12" t="s">
        <v>12176</v>
      </c>
      <c r="BL104" s="12" t="s">
        <v>14803</v>
      </c>
      <c r="BM104" s="12" t="s">
        <v>16846</v>
      </c>
      <c r="BN104" s="12">
        <v>2.8148833E7</v>
      </c>
      <c r="BO104" s="12" t="s">
        <v>16847</v>
      </c>
      <c r="BP104" s="12" t="s">
        <v>12129</v>
      </c>
      <c r="BQ104" s="12" t="s">
        <v>12129</v>
      </c>
      <c r="BR104" s="12" t="s">
        <v>15851</v>
      </c>
      <c r="BS104" s="12" t="s">
        <v>137</v>
      </c>
      <c r="BT104" s="12" t="str">
        <f>HYPERLINK("https%3A%2F%2Fwww.webofscience.com%2Fwos%2Fwoscc%2Ffull-record%2FWOS:000396015400004","View Full Record in Web of Science")</f>
        <v>View Full Record in Web of Science</v>
      </c>
    </row>
    <row r="105" ht="12.75" customHeight="1">
      <c r="A105" s="12" t="s">
        <v>23</v>
      </c>
      <c r="B105" s="12" t="s">
        <v>231</v>
      </c>
      <c r="C105" s="12" t="s">
        <v>12129</v>
      </c>
      <c r="D105" s="12" t="s">
        <v>12129</v>
      </c>
      <c r="E105" s="12" t="s">
        <v>12129</v>
      </c>
      <c r="F105" s="12" t="s">
        <v>16848</v>
      </c>
      <c r="G105" s="12" t="s">
        <v>12129</v>
      </c>
      <c r="H105" s="12" t="s">
        <v>12129</v>
      </c>
      <c r="I105" s="12" t="s">
        <v>232</v>
      </c>
      <c r="J105" s="12" t="s">
        <v>86</v>
      </c>
      <c r="K105" s="12" t="s">
        <v>12129</v>
      </c>
      <c r="L105" s="12" t="s">
        <v>12129</v>
      </c>
      <c r="M105" s="12" t="s">
        <v>3263</v>
      </c>
      <c r="N105" s="12" t="s">
        <v>35</v>
      </c>
      <c r="O105" s="12" t="s">
        <v>12129</v>
      </c>
      <c r="P105" s="12" t="s">
        <v>12129</v>
      </c>
      <c r="Q105" s="12" t="s">
        <v>12129</v>
      </c>
      <c r="R105" s="12" t="s">
        <v>12129</v>
      </c>
      <c r="S105" s="12" t="s">
        <v>12129</v>
      </c>
      <c r="T105" s="12" t="s">
        <v>12129</v>
      </c>
      <c r="U105" s="12" t="s">
        <v>15514</v>
      </c>
      <c r="V105" s="12" t="s">
        <v>233</v>
      </c>
      <c r="W105" s="12" t="s">
        <v>16849</v>
      </c>
      <c r="X105" s="12" t="s">
        <v>16850</v>
      </c>
      <c r="Y105" s="12" t="s">
        <v>16851</v>
      </c>
      <c r="Z105" s="12" t="s">
        <v>16852</v>
      </c>
      <c r="AA105" s="12" t="s">
        <v>16853</v>
      </c>
      <c r="AB105" s="12" t="s">
        <v>16854</v>
      </c>
      <c r="AC105" s="12" t="s">
        <v>16855</v>
      </c>
      <c r="AD105" s="12" t="s">
        <v>16856</v>
      </c>
      <c r="AE105" s="12" t="s">
        <v>16857</v>
      </c>
      <c r="AF105" s="12" t="s">
        <v>12129</v>
      </c>
      <c r="AG105" s="12">
        <v>55.0</v>
      </c>
      <c r="AH105" s="12">
        <v>196.0</v>
      </c>
      <c r="AI105" s="12">
        <v>220.0</v>
      </c>
      <c r="AJ105" s="12">
        <v>4.0</v>
      </c>
      <c r="AK105" s="12">
        <v>161.0</v>
      </c>
      <c r="AL105" s="12" t="s">
        <v>15485</v>
      </c>
      <c r="AM105" s="12" t="s">
        <v>12632</v>
      </c>
      <c r="AN105" s="12" t="s">
        <v>15872</v>
      </c>
      <c r="AO105" s="12" t="s">
        <v>12129</v>
      </c>
      <c r="AP105" s="12" t="s">
        <v>1614</v>
      </c>
      <c r="AQ105" s="12" t="s">
        <v>12129</v>
      </c>
      <c r="AR105" s="12" t="s">
        <v>15511</v>
      </c>
      <c r="AS105" s="12" t="s">
        <v>5964</v>
      </c>
      <c r="AT105" s="12" t="s">
        <v>13078</v>
      </c>
      <c r="AU105" s="12">
        <v>2016.0</v>
      </c>
      <c r="AV105" s="12">
        <v>2.0</v>
      </c>
      <c r="AW105" s="12">
        <v>3.0</v>
      </c>
      <c r="AX105" s="12" t="s">
        <v>12129</v>
      </c>
      <c r="AY105" s="12" t="s">
        <v>12129</v>
      </c>
      <c r="AZ105" s="12" t="s">
        <v>12129</v>
      </c>
      <c r="BA105" s="12" t="s">
        <v>12129</v>
      </c>
      <c r="BB105" s="12" t="s">
        <v>12129</v>
      </c>
      <c r="BC105" s="12" t="s">
        <v>12129</v>
      </c>
      <c r="BD105" s="12" t="s">
        <v>16858</v>
      </c>
      <c r="BE105" s="12" t="s">
        <v>234</v>
      </c>
      <c r="BF105" s="25" t="str">
        <f>HYPERLINK("http://dx.doi.org/10.1126/sciadv.1500965","http://dx.doi.org/10.1126/sciadv.1500965")</f>
        <v>http://dx.doi.org/10.1126/sciadv.1500965</v>
      </c>
      <c r="BG105" s="12" t="s">
        <v>12129</v>
      </c>
      <c r="BH105" s="12" t="s">
        <v>12129</v>
      </c>
      <c r="BI105" s="12">
        <v>7.0</v>
      </c>
      <c r="BJ105" s="12" t="s">
        <v>39</v>
      </c>
      <c r="BK105" s="12" t="s">
        <v>12176</v>
      </c>
      <c r="BL105" s="12" t="s">
        <v>12202</v>
      </c>
      <c r="BM105" s="12" t="s">
        <v>16859</v>
      </c>
      <c r="BN105" s="12">
        <v>2.703498E7</v>
      </c>
      <c r="BO105" s="12" t="s">
        <v>12399</v>
      </c>
      <c r="BP105" s="12" t="s">
        <v>12129</v>
      </c>
      <c r="BQ105" s="12" t="s">
        <v>12129</v>
      </c>
      <c r="BR105" s="12" t="s">
        <v>15851</v>
      </c>
      <c r="BS105" s="12" t="s">
        <v>236</v>
      </c>
      <c r="BT105" s="12" t="str">
        <f>HYPERLINK("https%3A%2F%2Fwww.webofscience.com%2Fwos%2Fwoscc%2Ffull-record%2FWOS:000379620200006","View Full Record in Web of Science")</f>
        <v>View Full Record in Web of Science</v>
      </c>
    </row>
    <row r="106" ht="12.75" customHeight="1">
      <c r="A106" s="12" t="s">
        <v>23</v>
      </c>
      <c r="B106" s="12" t="s">
        <v>337</v>
      </c>
      <c r="C106" s="12" t="s">
        <v>12129</v>
      </c>
      <c r="D106" s="12" t="s">
        <v>12129</v>
      </c>
      <c r="E106" s="12" t="s">
        <v>12129</v>
      </c>
      <c r="F106" s="12" t="s">
        <v>4400</v>
      </c>
      <c r="G106" s="12" t="s">
        <v>12129</v>
      </c>
      <c r="H106" s="12" t="s">
        <v>12129</v>
      </c>
      <c r="I106" s="12" t="s">
        <v>338</v>
      </c>
      <c r="J106" s="12" t="s">
        <v>339</v>
      </c>
      <c r="K106" s="12" t="s">
        <v>12129</v>
      </c>
      <c r="L106" s="12" t="s">
        <v>12129</v>
      </c>
      <c r="M106" s="12" t="s">
        <v>3263</v>
      </c>
      <c r="N106" s="12" t="s">
        <v>35</v>
      </c>
      <c r="O106" s="12" t="s">
        <v>12129</v>
      </c>
      <c r="P106" s="12" t="s">
        <v>12129</v>
      </c>
      <c r="Q106" s="12" t="s">
        <v>12129</v>
      </c>
      <c r="R106" s="12" t="s">
        <v>12129</v>
      </c>
      <c r="S106" s="12" t="s">
        <v>12129</v>
      </c>
      <c r="T106" s="12" t="s">
        <v>15830</v>
      </c>
      <c r="U106" s="12" t="s">
        <v>15831</v>
      </c>
      <c r="V106" s="12" t="s">
        <v>340</v>
      </c>
      <c r="W106" s="12" t="s">
        <v>16860</v>
      </c>
      <c r="X106" s="12" t="s">
        <v>16861</v>
      </c>
      <c r="Y106" s="12" t="s">
        <v>16862</v>
      </c>
      <c r="Z106" s="12" t="s">
        <v>16863</v>
      </c>
      <c r="AA106" s="12" t="s">
        <v>16864</v>
      </c>
      <c r="AB106" s="12" t="s">
        <v>16865</v>
      </c>
      <c r="AC106" s="12" t="s">
        <v>16866</v>
      </c>
      <c r="AD106" s="12" t="s">
        <v>16867</v>
      </c>
      <c r="AE106" s="12" t="s">
        <v>16868</v>
      </c>
      <c r="AF106" s="12" t="s">
        <v>12129</v>
      </c>
      <c r="AG106" s="12">
        <v>110.0</v>
      </c>
      <c r="AH106" s="12">
        <v>609.0</v>
      </c>
      <c r="AI106" s="12">
        <v>700.0</v>
      </c>
      <c r="AJ106" s="12">
        <v>20.0</v>
      </c>
      <c r="AK106" s="12">
        <v>367.0</v>
      </c>
      <c r="AL106" s="12" t="s">
        <v>14464</v>
      </c>
      <c r="AM106" s="12" t="s">
        <v>12632</v>
      </c>
      <c r="AN106" s="12" t="s">
        <v>14465</v>
      </c>
      <c r="AO106" s="12" t="s">
        <v>16869</v>
      </c>
      <c r="AP106" s="12" t="s">
        <v>16870</v>
      </c>
      <c r="AQ106" s="12" t="s">
        <v>12129</v>
      </c>
      <c r="AR106" s="12" t="s">
        <v>15832</v>
      </c>
      <c r="AS106" s="12" t="s">
        <v>15833</v>
      </c>
      <c r="AT106" s="12" t="s">
        <v>12352</v>
      </c>
      <c r="AU106" s="12">
        <v>2015.0</v>
      </c>
      <c r="AV106" s="12">
        <v>51.0</v>
      </c>
      <c r="AW106" s="12">
        <v>7.0</v>
      </c>
      <c r="AX106" s="12" t="s">
        <v>12129</v>
      </c>
      <c r="AY106" s="12" t="s">
        <v>12129</v>
      </c>
      <c r="AZ106" s="12" t="s">
        <v>12129</v>
      </c>
      <c r="BA106" s="12" t="s">
        <v>12129</v>
      </c>
      <c r="BB106" s="12">
        <v>5217.0</v>
      </c>
      <c r="BC106" s="12">
        <v>5238.0</v>
      </c>
      <c r="BD106" s="12" t="s">
        <v>12129</v>
      </c>
      <c r="BE106" s="12" t="s">
        <v>341</v>
      </c>
      <c r="BF106" s="25" t="str">
        <f>HYPERLINK("http://dx.doi.org/10.1002/2015WR017349","http://dx.doi.org/10.1002/2015WR017349")</f>
        <v>http://dx.doi.org/10.1002/2015WR017349</v>
      </c>
      <c r="BG106" s="12" t="s">
        <v>12129</v>
      </c>
      <c r="BH106" s="12" t="s">
        <v>12129</v>
      </c>
      <c r="BI106" s="12">
        <v>22.0</v>
      </c>
      <c r="BJ106" s="12" t="s">
        <v>343</v>
      </c>
      <c r="BK106" s="12" t="s">
        <v>12176</v>
      </c>
      <c r="BL106" s="12" t="s">
        <v>12663</v>
      </c>
      <c r="BM106" s="12" t="s">
        <v>16871</v>
      </c>
      <c r="BN106" s="12">
        <v>2.6900185E7</v>
      </c>
      <c r="BO106" s="12" t="s">
        <v>12378</v>
      </c>
      <c r="BP106" s="12" t="s">
        <v>12129</v>
      </c>
      <c r="BQ106" s="12" t="s">
        <v>12129</v>
      </c>
      <c r="BR106" s="12" t="s">
        <v>15851</v>
      </c>
      <c r="BS106" s="12" t="s">
        <v>344</v>
      </c>
      <c r="BT106" s="12" t="str">
        <f>HYPERLINK("https%3A%2F%2Fwww.webofscience.com%2Fwos%2Fwoscc%2Ffull-record%2FWOS:000360080200019","View Full Record in Web of Science")</f>
        <v>View Full Record in Web of Science</v>
      </c>
    </row>
    <row r="107" ht="12.75" customHeight="1">
      <c r="A107" s="12" t="s">
        <v>23</v>
      </c>
      <c r="B107" s="12" t="s">
        <v>878</v>
      </c>
      <c r="C107" s="12" t="s">
        <v>12129</v>
      </c>
      <c r="D107" s="12" t="s">
        <v>12129</v>
      </c>
      <c r="E107" s="12" t="s">
        <v>12129</v>
      </c>
      <c r="F107" s="12" t="s">
        <v>16872</v>
      </c>
      <c r="G107" s="12" t="s">
        <v>12129</v>
      </c>
      <c r="H107" s="12" t="s">
        <v>12129</v>
      </c>
      <c r="I107" s="12" t="s">
        <v>879</v>
      </c>
      <c r="J107" s="12" t="s">
        <v>324</v>
      </c>
      <c r="K107" s="12" t="s">
        <v>12129</v>
      </c>
      <c r="L107" s="12" t="s">
        <v>12129</v>
      </c>
      <c r="M107" s="12" t="s">
        <v>3263</v>
      </c>
      <c r="N107" s="12" t="s">
        <v>35</v>
      </c>
      <c r="O107" s="12" t="s">
        <v>12129</v>
      </c>
      <c r="P107" s="12" t="s">
        <v>12129</v>
      </c>
      <c r="Q107" s="12" t="s">
        <v>12129</v>
      </c>
      <c r="R107" s="12" t="s">
        <v>12129</v>
      </c>
      <c r="S107" s="12" t="s">
        <v>12129</v>
      </c>
      <c r="T107" s="12" t="s">
        <v>12129</v>
      </c>
      <c r="U107" s="12" t="s">
        <v>15497</v>
      </c>
      <c r="V107" s="12" t="s">
        <v>880</v>
      </c>
      <c r="W107" s="12" t="s">
        <v>16873</v>
      </c>
      <c r="X107" s="12" t="s">
        <v>16874</v>
      </c>
      <c r="Y107" s="12" t="s">
        <v>16875</v>
      </c>
      <c r="Z107" s="12" t="s">
        <v>16876</v>
      </c>
      <c r="AA107" s="12" t="s">
        <v>16877</v>
      </c>
      <c r="AB107" s="12" t="s">
        <v>16878</v>
      </c>
      <c r="AC107" s="12" t="s">
        <v>16879</v>
      </c>
      <c r="AD107" s="12" t="s">
        <v>16880</v>
      </c>
      <c r="AE107" s="12" t="s">
        <v>16881</v>
      </c>
      <c r="AF107" s="12" t="s">
        <v>12129</v>
      </c>
      <c r="AG107" s="12">
        <v>26.0</v>
      </c>
      <c r="AH107" s="12">
        <v>3585.0</v>
      </c>
      <c r="AI107" s="12">
        <v>4250.0</v>
      </c>
      <c r="AJ107" s="12">
        <v>56.0</v>
      </c>
      <c r="AK107" s="12">
        <v>4484.0</v>
      </c>
      <c r="AL107" s="12" t="s">
        <v>15485</v>
      </c>
      <c r="AM107" s="12" t="s">
        <v>12632</v>
      </c>
      <c r="AN107" s="12" t="s">
        <v>15872</v>
      </c>
      <c r="AO107" s="12" t="s">
        <v>1511</v>
      </c>
      <c r="AP107" s="12" t="s">
        <v>1917</v>
      </c>
      <c r="AQ107" s="12" t="s">
        <v>12129</v>
      </c>
      <c r="AR107" s="12" t="s">
        <v>324</v>
      </c>
      <c r="AS107" s="12" t="s">
        <v>1510</v>
      </c>
      <c r="AT107" s="12" t="s">
        <v>15498</v>
      </c>
      <c r="AU107" s="12">
        <v>2010.0</v>
      </c>
      <c r="AV107" s="12">
        <v>328.0</v>
      </c>
      <c r="AW107" s="12">
        <v>5982.0</v>
      </c>
      <c r="AX107" s="12" t="s">
        <v>12129</v>
      </c>
      <c r="AY107" s="12" t="s">
        <v>12129</v>
      </c>
      <c r="AZ107" s="12" t="s">
        <v>12129</v>
      </c>
      <c r="BA107" s="12" t="s">
        <v>12129</v>
      </c>
      <c r="BB107" s="12">
        <v>1164.0</v>
      </c>
      <c r="BC107" s="12">
        <v>1168.0</v>
      </c>
      <c r="BD107" s="12" t="s">
        <v>12129</v>
      </c>
      <c r="BE107" s="12" t="s">
        <v>881</v>
      </c>
      <c r="BF107" s="25" t="str">
        <f>HYPERLINK("http://dx.doi.org/10.1126/science.1187512","http://dx.doi.org/10.1126/science.1187512")</f>
        <v>http://dx.doi.org/10.1126/science.1187512</v>
      </c>
      <c r="BG107" s="12" t="s">
        <v>12129</v>
      </c>
      <c r="BH107" s="12" t="s">
        <v>12129</v>
      </c>
      <c r="BI107" s="12">
        <v>5.0</v>
      </c>
      <c r="BJ107" s="12" t="s">
        <v>39</v>
      </c>
      <c r="BK107" s="12" t="s">
        <v>12176</v>
      </c>
      <c r="BL107" s="12" t="s">
        <v>12202</v>
      </c>
      <c r="BM107" s="12" t="s">
        <v>16882</v>
      </c>
      <c r="BN107" s="12">
        <v>2.0430971E7</v>
      </c>
      <c r="BO107" s="12" t="s">
        <v>12129</v>
      </c>
      <c r="BP107" s="12" t="s">
        <v>12129</v>
      </c>
      <c r="BQ107" s="12" t="s">
        <v>12129</v>
      </c>
      <c r="BR107" s="12" t="s">
        <v>15851</v>
      </c>
      <c r="BS107" s="12" t="s">
        <v>883</v>
      </c>
      <c r="BT107" s="12" t="str">
        <f>HYPERLINK("https%3A%2F%2Fwww.webofscience.com%2Fwos%2Fwoscc%2Ffull-record%2FWOS:000278104700046","View Full Record in Web of Science")</f>
        <v>View Full Record in Web of Science</v>
      </c>
    </row>
    <row r="108" ht="12.75" customHeight="1">
      <c r="A108" s="12" t="s">
        <v>23</v>
      </c>
      <c r="B108" s="12" t="s">
        <v>885</v>
      </c>
      <c r="C108" s="12" t="s">
        <v>12129</v>
      </c>
      <c r="D108" s="12" t="s">
        <v>12129</v>
      </c>
      <c r="E108" s="12" t="s">
        <v>12129</v>
      </c>
      <c r="F108" s="12" t="s">
        <v>3965</v>
      </c>
      <c r="G108" s="12" t="s">
        <v>12129</v>
      </c>
      <c r="H108" s="12" t="s">
        <v>12129</v>
      </c>
      <c r="I108" s="12" t="s">
        <v>886</v>
      </c>
      <c r="J108" s="12" t="s">
        <v>763</v>
      </c>
      <c r="K108" s="12" t="s">
        <v>12129</v>
      </c>
      <c r="L108" s="12" t="s">
        <v>12129</v>
      </c>
      <c r="M108" s="12" t="s">
        <v>3263</v>
      </c>
      <c r="N108" s="12" t="s">
        <v>35</v>
      </c>
      <c r="O108" s="12" t="s">
        <v>12129</v>
      </c>
      <c r="P108" s="12" t="s">
        <v>12129</v>
      </c>
      <c r="Q108" s="12" t="s">
        <v>12129</v>
      </c>
      <c r="R108" s="12" t="s">
        <v>12129</v>
      </c>
      <c r="S108" s="12" t="s">
        <v>12129</v>
      </c>
      <c r="T108" s="12" t="s">
        <v>12129</v>
      </c>
      <c r="U108" s="12" t="s">
        <v>15623</v>
      </c>
      <c r="V108" s="12" t="s">
        <v>887</v>
      </c>
      <c r="W108" s="12" t="s">
        <v>16883</v>
      </c>
      <c r="X108" s="12" t="s">
        <v>16884</v>
      </c>
      <c r="Y108" s="12" t="s">
        <v>16885</v>
      </c>
      <c r="Z108" s="12" t="s">
        <v>16570</v>
      </c>
      <c r="AA108" s="12" t="s">
        <v>16886</v>
      </c>
      <c r="AB108" s="12" t="s">
        <v>16887</v>
      </c>
      <c r="AC108" s="12" t="s">
        <v>16888</v>
      </c>
      <c r="AD108" s="12" t="s">
        <v>16889</v>
      </c>
      <c r="AE108" s="12" t="s">
        <v>16890</v>
      </c>
      <c r="AF108" s="12" t="s">
        <v>12129</v>
      </c>
      <c r="AG108" s="12">
        <v>37.0</v>
      </c>
      <c r="AH108" s="12">
        <v>708.0</v>
      </c>
      <c r="AI108" s="12">
        <v>796.0</v>
      </c>
      <c r="AJ108" s="12">
        <v>31.0</v>
      </c>
      <c r="AK108" s="12">
        <v>916.0</v>
      </c>
      <c r="AL108" s="12" t="s">
        <v>15615</v>
      </c>
      <c r="AM108" s="12" t="s">
        <v>13961</v>
      </c>
      <c r="AN108" s="12" t="s">
        <v>16564</v>
      </c>
      <c r="AO108" s="12" t="s">
        <v>4375</v>
      </c>
      <c r="AP108" s="12" t="s">
        <v>16565</v>
      </c>
      <c r="AQ108" s="12" t="s">
        <v>12129</v>
      </c>
      <c r="AR108" s="12" t="s">
        <v>15624</v>
      </c>
      <c r="AS108" s="12" t="s">
        <v>15625</v>
      </c>
      <c r="AT108" s="12" t="s">
        <v>12459</v>
      </c>
      <c r="AU108" s="12">
        <v>2010.0</v>
      </c>
      <c r="AV108" s="12">
        <v>3.0</v>
      </c>
      <c r="AW108" s="12">
        <v>5.0</v>
      </c>
      <c r="AX108" s="12" t="s">
        <v>12129</v>
      </c>
      <c r="AY108" s="12" t="s">
        <v>12129</v>
      </c>
      <c r="AZ108" s="12" t="s">
        <v>13188</v>
      </c>
      <c r="BA108" s="12" t="s">
        <v>12129</v>
      </c>
      <c r="BB108" s="12">
        <v>311.0</v>
      </c>
      <c r="BC108" s="12">
        <v>314.0</v>
      </c>
      <c r="BD108" s="12" t="s">
        <v>12129</v>
      </c>
      <c r="BE108" s="12" t="s">
        <v>888</v>
      </c>
      <c r="BF108" s="25" t="str">
        <f>HYPERLINK("http://dx.doi.org/10.1038/ngeo838","http://dx.doi.org/10.1038/ngeo838")</f>
        <v>http://dx.doi.org/10.1038/ngeo838</v>
      </c>
      <c r="BG108" s="12" t="s">
        <v>12129</v>
      </c>
      <c r="BH108" s="12" t="s">
        <v>12129</v>
      </c>
      <c r="BI108" s="12">
        <v>4.0</v>
      </c>
      <c r="BJ108" s="12" t="s">
        <v>56</v>
      </c>
      <c r="BK108" s="12" t="s">
        <v>12176</v>
      </c>
      <c r="BL108" s="12" t="s">
        <v>14257</v>
      </c>
      <c r="BM108" s="12" t="s">
        <v>16891</v>
      </c>
      <c r="BN108" s="12" t="s">
        <v>12129</v>
      </c>
      <c r="BO108" s="12" t="s">
        <v>12129</v>
      </c>
      <c r="BP108" s="12" t="s">
        <v>12129</v>
      </c>
      <c r="BQ108" s="12" t="s">
        <v>12129</v>
      </c>
      <c r="BR108" s="12" t="s">
        <v>15851</v>
      </c>
      <c r="BS108" s="12" t="s">
        <v>890</v>
      </c>
      <c r="BT108" s="12" t="str">
        <f>HYPERLINK("https%3A%2F%2Fwww.webofscience.com%2Fwos%2Fwoscc%2Ffull-record%2FWOS:000277188500011","View Full Record in Web of Science")</f>
        <v>View Full Record in Web of Science</v>
      </c>
    </row>
    <row r="109" ht="12.75" customHeight="1">
      <c r="A109" s="12" t="s">
        <v>23</v>
      </c>
      <c r="B109" s="12" t="s">
        <v>1170</v>
      </c>
      <c r="C109" s="12" t="s">
        <v>12129</v>
      </c>
      <c r="D109" s="12" t="s">
        <v>12129</v>
      </c>
      <c r="E109" s="12" t="s">
        <v>12129</v>
      </c>
      <c r="F109" s="12" t="s">
        <v>1170</v>
      </c>
      <c r="G109" s="12" t="s">
        <v>12129</v>
      </c>
      <c r="H109" s="12" t="s">
        <v>12129</v>
      </c>
      <c r="I109" s="12" t="s">
        <v>1171</v>
      </c>
      <c r="J109" s="12" t="s">
        <v>275</v>
      </c>
      <c r="K109" s="12" t="s">
        <v>12129</v>
      </c>
      <c r="L109" s="12" t="s">
        <v>12129</v>
      </c>
      <c r="M109" s="12" t="s">
        <v>3263</v>
      </c>
      <c r="N109" s="12" t="s">
        <v>35</v>
      </c>
      <c r="O109" s="12" t="s">
        <v>12129</v>
      </c>
      <c r="P109" s="12" t="s">
        <v>12129</v>
      </c>
      <c r="Q109" s="12" t="s">
        <v>12129</v>
      </c>
      <c r="R109" s="12" t="s">
        <v>12129</v>
      </c>
      <c r="S109" s="12" t="s">
        <v>12129</v>
      </c>
      <c r="T109" s="12" t="s">
        <v>12129</v>
      </c>
      <c r="U109" s="12" t="s">
        <v>15645</v>
      </c>
      <c r="V109" s="12" t="s">
        <v>1172</v>
      </c>
      <c r="W109" s="12" t="s">
        <v>16892</v>
      </c>
      <c r="X109" s="12" t="s">
        <v>16893</v>
      </c>
      <c r="Y109" s="12" t="s">
        <v>16894</v>
      </c>
      <c r="Z109" s="12" t="s">
        <v>16895</v>
      </c>
      <c r="AA109" s="12" t="s">
        <v>16896</v>
      </c>
      <c r="AB109" s="12" t="s">
        <v>16897</v>
      </c>
      <c r="AC109" s="12" t="s">
        <v>12129</v>
      </c>
      <c r="AD109" s="12" t="s">
        <v>12129</v>
      </c>
      <c r="AE109" s="12" t="s">
        <v>12129</v>
      </c>
      <c r="AF109" s="12" t="s">
        <v>12129</v>
      </c>
      <c r="AG109" s="12">
        <v>28.0</v>
      </c>
      <c r="AH109" s="12">
        <v>456.0</v>
      </c>
      <c r="AI109" s="12">
        <v>548.0</v>
      </c>
      <c r="AJ109" s="12">
        <v>3.0</v>
      </c>
      <c r="AK109" s="12">
        <v>220.0</v>
      </c>
      <c r="AL109" s="12" t="s">
        <v>12723</v>
      </c>
      <c r="AM109" s="12" t="s">
        <v>12724</v>
      </c>
      <c r="AN109" s="12" t="s">
        <v>12725</v>
      </c>
      <c r="AO109" s="12" t="s">
        <v>1381</v>
      </c>
      <c r="AP109" s="12" t="s">
        <v>7916</v>
      </c>
      <c r="AQ109" s="12" t="s">
        <v>12129</v>
      </c>
      <c r="AR109" s="12" t="s">
        <v>275</v>
      </c>
      <c r="AS109" s="12" t="s">
        <v>1380</v>
      </c>
      <c r="AT109" s="12" t="s">
        <v>15646</v>
      </c>
      <c r="AU109" s="12">
        <v>2003.0</v>
      </c>
      <c r="AV109" s="12">
        <v>421.0</v>
      </c>
      <c r="AW109" s="12">
        <v>6922.0</v>
      </c>
      <c r="AX109" s="12" t="s">
        <v>12129</v>
      </c>
      <c r="AY109" s="12" t="s">
        <v>12129</v>
      </c>
      <c r="AZ109" s="12" t="s">
        <v>12129</v>
      </c>
      <c r="BA109" s="12" t="s">
        <v>12129</v>
      </c>
      <c r="BB109" s="12">
        <v>530.0</v>
      </c>
      <c r="BC109" s="12">
        <v>533.0</v>
      </c>
      <c r="BD109" s="12" t="s">
        <v>12129</v>
      </c>
      <c r="BE109" s="12" t="s">
        <v>1173</v>
      </c>
      <c r="BF109" s="25" t="str">
        <f>HYPERLINK("http://dx.doi.org/10.1038/nature01359","http://dx.doi.org/10.1038/nature01359")</f>
        <v>http://dx.doi.org/10.1038/nature01359</v>
      </c>
      <c r="BG109" s="12" t="s">
        <v>12129</v>
      </c>
      <c r="BH109" s="12" t="s">
        <v>12129</v>
      </c>
      <c r="BI109" s="12">
        <v>4.0</v>
      </c>
      <c r="BJ109" s="12" t="s">
        <v>39</v>
      </c>
      <c r="BK109" s="12" t="s">
        <v>12729</v>
      </c>
      <c r="BL109" s="12" t="s">
        <v>12202</v>
      </c>
      <c r="BM109" s="12" t="s">
        <v>16898</v>
      </c>
      <c r="BN109" s="12">
        <v>1.2540852E7</v>
      </c>
      <c r="BO109" s="12" t="s">
        <v>12129</v>
      </c>
      <c r="BP109" s="12" t="s">
        <v>12129</v>
      </c>
      <c r="BQ109" s="12" t="s">
        <v>12129</v>
      </c>
      <c r="BR109" s="12" t="s">
        <v>15851</v>
      </c>
      <c r="BS109" s="12" t="s">
        <v>1175</v>
      </c>
      <c r="BT109" s="12" t="str">
        <f>HYPERLINK("https%3A%2F%2Fwww.webofscience.com%2Fwos%2Fwoscc%2Ffull-record%2FWOS:000180670600044","View Full Record in Web of Science")</f>
        <v>View Full Record in Web of Science</v>
      </c>
    </row>
    <row r="110" ht="12.75" customHeight="1">
      <c r="A110" s="12" t="s">
        <v>23</v>
      </c>
      <c r="B110" s="12" t="s">
        <v>557</v>
      </c>
      <c r="C110" s="12" t="s">
        <v>12129</v>
      </c>
      <c r="D110" s="12" t="s">
        <v>12129</v>
      </c>
      <c r="E110" s="12" t="s">
        <v>12129</v>
      </c>
      <c r="F110" s="12" t="s">
        <v>8711</v>
      </c>
      <c r="G110" s="12" t="s">
        <v>12129</v>
      </c>
      <c r="H110" s="12" t="s">
        <v>12129</v>
      </c>
      <c r="I110" s="12" t="s">
        <v>558</v>
      </c>
      <c r="J110" s="12" t="s">
        <v>416</v>
      </c>
      <c r="K110" s="12" t="s">
        <v>12129</v>
      </c>
      <c r="L110" s="12" t="s">
        <v>12129</v>
      </c>
      <c r="M110" s="12" t="s">
        <v>3263</v>
      </c>
      <c r="N110" s="12" t="s">
        <v>35</v>
      </c>
      <c r="O110" s="12" t="s">
        <v>12129</v>
      </c>
      <c r="P110" s="12" t="s">
        <v>12129</v>
      </c>
      <c r="Q110" s="12" t="s">
        <v>12129</v>
      </c>
      <c r="R110" s="12" t="s">
        <v>12129</v>
      </c>
      <c r="S110" s="12" t="s">
        <v>12129</v>
      </c>
      <c r="T110" s="12" t="s">
        <v>12129</v>
      </c>
      <c r="U110" s="12" t="s">
        <v>15635</v>
      </c>
      <c r="V110" s="12" t="s">
        <v>559</v>
      </c>
      <c r="W110" s="12" t="s">
        <v>16899</v>
      </c>
      <c r="X110" s="12" t="s">
        <v>16900</v>
      </c>
      <c r="Y110" s="12" t="s">
        <v>16901</v>
      </c>
      <c r="Z110" s="12" t="s">
        <v>16902</v>
      </c>
      <c r="AA110" s="12" t="s">
        <v>16903</v>
      </c>
      <c r="AB110" s="12" t="s">
        <v>16904</v>
      </c>
      <c r="AC110" s="12" t="s">
        <v>16905</v>
      </c>
      <c r="AD110" s="12" t="s">
        <v>16906</v>
      </c>
      <c r="AE110" s="12" t="s">
        <v>16907</v>
      </c>
      <c r="AF110" s="12" t="s">
        <v>12129</v>
      </c>
      <c r="AG110" s="12">
        <v>29.0</v>
      </c>
      <c r="AH110" s="12">
        <v>95.0</v>
      </c>
      <c r="AI110" s="12">
        <v>108.0</v>
      </c>
      <c r="AJ110" s="12">
        <v>2.0</v>
      </c>
      <c r="AK110" s="12">
        <v>124.0</v>
      </c>
      <c r="AL110" s="12" t="s">
        <v>15615</v>
      </c>
      <c r="AM110" s="12" t="s">
        <v>12170</v>
      </c>
      <c r="AN110" s="12" t="s">
        <v>16017</v>
      </c>
      <c r="AO110" s="12" t="s">
        <v>4293</v>
      </c>
      <c r="AP110" s="12" t="s">
        <v>10365</v>
      </c>
      <c r="AQ110" s="12" t="s">
        <v>12129</v>
      </c>
      <c r="AR110" s="12" t="s">
        <v>15633</v>
      </c>
      <c r="AS110" s="12" t="s">
        <v>15634</v>
      </c>
      <c r="AT110" s="12" t="s">
        <v>12787</v>
      </c>
      <c r="AU110" s="12">
        <v>2013.0</v>
      </c>
      <c r="AV110" s="12">
        <v>3.0</v>
      </c>
      <c r="AW110" s="12">
        <v>11.0</v>
      </c>
      <c r="AX110" s="12" t="s">
        <v>12129</v>
      </c>
      <c r="AY110" s="12" t="s">
        <v>12129</v>
      </c>
      <c r="AZ110" s="12" t="s">
        <v>12129</v>
      </c>
      <c r="BA110" s="12" t="s">
        <v>12129</v>
      </c>
      <c r="BB110" s="12">
        <v>975.0</v>
      </c>
      <c r="BC110" s="12">
        <v>978.0</v>
      </c>
      <c r="BD110" s="12" t="s">
        <v>12129</v>
      </c>
      <c r="BE110" s="12" t="s">
        <v>560</v>
      </c>
      <c r="BF110" s="25" t="str">
        <f>HYPERLINK("http://dx.doi.org/10.1038/NCLIMATE1981","http://dx.doi.org/10.1038/NCLIMATE1981")</f>
        <v>http://dx.doi.org/10.1038/NCLIMATE1981</v>
      </c>
      <c r="BG110" s="12" t="s">
        <v>12129</v>
      </c>
      <c r="BH110" s="12" t="s">
        <v>12129</v>
      </c>
      <c r="BI110" s="12">
        <v>4.0</v>
      </c>
      <c r="BJ110" s="12" t="s">
        <v>420</v>
      </c>
      <c r="BK110" s="12" t="s">
        <v>12729</v>
      </c>
      <c r="BL110" s="12" t="s">
        <v>12397</v>
      </c>
      <c r="BM110" s="12" t="s">
        <v>16908</v>
      </c>
      <c r="BN110" s="12" t="s">
        <v>12129</v>
      </c>
      <c r="BO110" s="12" t="s">
        <v>12253</v>
      </c>
      <c r="BP110" s="12" t="s">
        <v>12129</v>
      </c>
      <c r="BQ110" s="12" t="s">
        <v>12129</v>
      </c>
      <c r="BR110" s="12" t="s">
        <v>15851</v>
      </c>
      <c r="BS110" s="12" t="s">
        <v>562</v>
      </c>
      <c r="BT110" s="12" t="str">
        <f>HYPERLINK("https%3A%2F%2Fwww.webofscience.com%2Fwos%2Fwoscc%2Ffull-record%2FWOS:000330125100016","View Full Record in Web of Science")</f>
        <v>View Full Record in Web of Science</v>
      </c>
    </row>
    <row r="111" ht="12.75" customHeight="1">
      <c r="A111" s="12" t="s">
        <v>23</v>
      </c>
      <c r="B111" s="12" t="s">
        <v>579</v>
      </c>
      <c r="C111" s="12" t="s">
        <v>12129</v>
      </c>
      <c r="D111" s="12" t="s">
        <v>12129</v>
      </c>
      <c r="E111" s="12" t="s">
        <v>12129</v>
      </c>
      <c r="F111" s="12" t="s">
        <v>16909</v>
      </c>
      <c r="G111" s="12" t="s">
        <v>12129</v>
      </c>
      <c r="H111" s="12" t="s">
        <v>12129</v>
      </c>
      <c r="I111" s="12" t="s">
        <v>580</v>
      </c>
      <c r="J111" s="12" t="s">
        <v>34</v>
      </c>
      <c r="K111" s="12" t="s">
        <v>12129</v>
      </c>
      <c r="L111" s="12" t="s">
        <v>12129</v>
      </c>
      <c r="M111" s="12" t="s">
        <v>3263</v>
      </c>
      <c r="N111" s="12" t="s">
        <v>35</v>
      </c>
      <c r="O111" s="12" t="s">
        <v>12129</v>
      </c>
      <c r="P111" s="12" t="s">
        <v>12129</v>
      </c>
      <c r="Q111" s="12" t="s">
        <v>12129</v>
      </c>
      <c r="R111" s="12" t="s">
        <v>12129</v>
      </c>
      <c r="S111" s="12" t="s">
        <v>12129</v>
      </c>
      <c r="T111" s="12" t="s">
        <v>15582</v>
      </c>
      <c r="U111" s="12" t="s">
        <v>15583</v>
      </c>
      <c r="V111" s="12" t="s">
        <v>581</v>
      </c>
      <c r="W111" s="12" t="s">
        <v>16910</v>
      </c>
      <c r="X111" s="12" t="s">
        <v>16911</v>
      </c>
      <c r="Y111" s="12" t="s">
        <v>16912</v>
      </c>
      <c r="Z111" s="12" t="s">
        <v>16913</v>
      </c>
      <c r="AA111" s="12" t="s">
        <v>16914</v>
      </c>
      <c r="AB111" s="12" t="s">
        <v>16915</v>
      </c>
      <c r="AC111" s="12" t="s">
        <v>16916</v>
      </c>
      <c r="AD111" s="12" t="s">
        <v>16917</v>
      </c>
      <c r="AE111" s="12" t="s">
        <v>16918</v>
      </c>
      <c r="AF111" s="12" t="s">
        <v>12129</v>
      </c>
      <c r="AG111" s="12">
        <v>40.0</v>
      </c>
      <c r="AH111" s="12">
        <v>605.0</v>
      </c>
      <c r="AI111" s="12">
        <v>689.0</v>
      </c>
      <c r="AJ111" s="12">
        <v>2.0</v>
      </c>
      <c r="AK111" s="12">
        <v>436.0</v>
      </c>
      <c r="AL111" s="12" t="s">
        <v>12631</v>
      </c>
      <c r="AM111" s="12" t="s">
        <v>12632</v>
      </c>
      <c r="AN111" s="12" t="s">
        <v>12633</v>
      </c>
      <c r="AO111" s="12" t="s">
        <v>1689</v>
      </c>
      <c r="AP111" s="12" t="s">
        <v>12129</v>
      </c>
      <c r="AQ111" s="12" t="s">
        <v>12129</v>
      </c>
      <c r="AR111" s="12" t="s">
        <v>12634</v>
      </c>
      <c r="AS111" s="12" t="s">
        <v>12635</v>
      </c>
      <c r="AT111" s="12" t="s">
        <v>15584</v>
      </c>
      <c r="AU111" s="12">
        <v>2013.0</v>
      </c>
      <c r="AV111" s="12">
        <v>110.0</v>
      </c>
      <c r="AW111" s="12">
        <v>27.0</v>
      </c>
      <c r="AX111" s="12" t="s">
        <v>12129</v>
      </c>
      <c r="AY111" s="12" t="s">
        <v>12129</v>
      </c>
      <c r="AZ111" s="12" t="s">
        <v>12129</v>
      </c>
      <c r="BA111" s="12" t="s">
        <v>12129</v>
      </c>
      <c r="BB111" s="12">
        <v>11039.0</v>
      </c>
      <c r="BC111" s="12">
        <v>11043.0</v>
      </c>
      <c r="BD111" s="12" t="s">
        <v>12129</v>
      </c>
      <c r="BE111" s="12" t="s">
        <v>582</v>
      </c>
      <c r="BF111" s="25" t="str">
        <f>HYPERLINK("http://dx.doi.org/10.1073/pnas.1305618110","http://dx.doi.org/10.1073/pnas.1305618110")</f>
        <v>http://dx.doi.org/10.1073/pnas.1305618110</v>
      </c>
      <c r="BG111" s="12" t="s">
        <v>12129</v>
      </c>
      <c r="BH111" s="12" t="s">
        <v>12129</v>
      </c>
      <c r="BI111" s="12">
        <v>5.0</v>
      </c>
      <c r="BJ111" s="12" t="s">
        <v>39</v>
      </c>
      <c r="BK111" s="12" t="s">
        <v>12176</v>
      </c>
      <c r="BL111" s="12" t="s">
        <v>12202</v>
      </c>
      <c r="BM111" s="12" t="s">
        <v>16919</v>
      </c>
      <c r="BN111" s="12">
        <v>2.3776226E7</v>
      </c>
      <c r="BO111" s="12" t="s">
        <v>12129</v>
      </c>
      <c r="BP111" s="12" t="s">
        <v>12129</v>
      </c>
      <c r="BQ111" s="12" t="s">
        <v>12129</v>
      </c>
      <c r="BR111" s="12" t="s">
        <v>15851</v>
      </c>
      <c r="BS111" s="12" t="s">
        <v>584</v>
      </c>
      <c r="BT111" s="12" t="str">
        <f>HYPERLINK("https%3A%2F%2Fwww.webofscience.com%2Fwos%2Fwoscc%2Ffull-record%2FWOS:000321978000046","View Full Record in Web of Science")</f>
        <v>View Full Record in Web of Science</v>
      </c>
    </row>
    <row r="112" ht="12.75" customHeight="1">
      <c r="A112" s="12" t="s">
        <v>23</v>
      </c>
      <c r="B112" s="12" t="s">
        <v>1241</v>
      </c>
      <c r="C112" s="12" t="s">
        <v>12129</v>
      </c>
      <c r="D112" s="12" t="s">
        <v>12129</v>
      </c>
      <c r="E112" s="12" t="s">
        <v>12129</v>
      </c>
      <c r="F112" s="12" t="s">
        <v>1241</v>
      </c>
      <c r="G112" s="12" t="s">
        <v>12129</v>
      </c>
      <c r="H112" s="12" t="s">
        <v>12129</v>
      </c>
      <c r="I112" s="12" t="s">
        <v>1242</v>
      </c>
      <c r="J112" s="12" t="s">
        <v>275</v>
      </c>
      <c r="K112" s="12" t="s">
        <v>12129</v>
      </c>
      <c r="L112" s="12" t="s">
        <v>12129</v>
      </c>
      <c r="M112" s="12" t="s">
        <v>3263</v>
      </c>
      <c r="N112" s="12" t="s">
        <v>35</v>
      </c>
      <c r="O112" s="12" t="s">
        <v>12129</v>
      </c>
      <c r="P112" s="12" t="s">
        <v>12129</v>
      </c>
      <c r="Q112" s="12" t="s">
        <v>12129</v>
      </c>
      <c r="R112" s="12" t="s">
        <v>12129</v>
      </c>
      <c r="S112" s="12" t="s">
        <v>12129</v>
      </c>
      <c r="T112" s="12" t="s">
        <v>12129</v>
      </c>
      <c r="U112" s="12" t="s">
        <v>15649</v>
      </c>
      <c r="V112" s="12" t="s">
        <v>1243</v>
      </c>
      <c r="W112" s="12" t="s">
        <v>16920</v>
      </c>
      <c r="X112" s="12" t="s">
        <v>16921</v>
      </c>
      <c r="Y112" s="12" t="s">
        <v>16922</v>
      </c>
      <c r="Z112" s="12" t="s">
        <v>16923</v>
      </c>
      <c r="AA112" s="12" t="s">
        <v>16924</v>
      </c>
      <c r="AB112" s="12" t="s">
        <v>16925</v>
      </c>
      <c r="AC112" s="12" t="s">
        <v>12129</v>
      </c>
      <c r="AD112" s="12" t="s">
        <v>12129</v>
      </c>
      <c r="AE112" s="12" t="s">
        <v>12129</v>
      </c>
      <c r="AF112" s="12" t="s">
        <v>12129</v>
      </c>
      <c r="AG112" s="12">
        <v>30.0</v>
      </c>
      <c r="AH112" s="12">
        <v>702.0</v>
      </c>
      <c r="AI112" s="12">
        <v>780.0</v>
      </c>
      <c r="AJ112" s="12">
        <v>2.0</v>
      </c>
      <c r="AK112" s="12">
        <v>259.0</v>
      </c>
      <c r="AL112" s="12" t="s">
        <v>15615</v>
      </c>
      <c r="AM112" s="12" t="s">
        <v>12170</v>
      </c>
      <c r="AN112" s="12" t="s">
        <v>16017</v>
      </c>
      <c r="AO112" s="12" t="s">
        <v>1381</v>
      </c>
      <c r="AP112" s="12" t="s">
        <v>12129</v>
      </c>
      <c r="AQ112" s="12" t="s">
        <v>12129</v>
      </c>
      <c r="AR112" s="12" t="s">
        <v>275</v>
      </c>
      <c r="AS112" s="12" t="s">
        <v>1380</v>
      </c>
      <c r="AT112" s="12" t="s">
        <v>15650</v>
      </c>
      <c r="AU112" s="12">
        <v>1999.0</v>
      </c>
      <c r="AV112" s="12">
        <v>401.0</v>
      </c>
      <c r="AW112" s="12">
        <v>6753.0</v>
      </c>
      <c r="AX112" s="12" t="s">
        <v>12129</v>
      </c>
      <c r="AY112" s="12" t="s">
        <v>12129</v>
      </c>
      <c r="AZ112" s="12" t="s">
        <v>12129</v>
      </c>
      <c r="BA112" s="12" t="s">
        <v>12129</v>
      </c>
      <c r="BB112" s="12">
        <v>575.0</v>
      </c>
      <c r="BC112" s="12">
        <v>578.0</v>
      </c>
      <c r="BD112" s="12" t="s">
        <v>12129</v>
      </c>
      <c r="BE112" s="12" t="s">
        <v>1244</v>
      </c>
      <c r="BF112" s="25" t="str">
        <f>HYPERLINK("http://dx.doi.org/10.1038/44114","http://dx.doi.org/10.1038/44114")</f>
        <v>http://dx.doi.org/10.1038/44114</v>
      </c>
      <c r="BG112" s="12" t="s">
        <v>12129</v>
      </c>
      <c r="BH112" s="12" t="s">
        <v>12129</v>
      </c>
      <c r="BI112" s="12">
        <v>4.0</v>
      </c>
      <c r="BJ112" s="12" t="s">
        <v>39</v>
      </c>
      <c r="BK112" s="12" t="s">
        <v>12176</v>
      </c>
      <c r="BL112" s="12" t="s">
        <v>12202</v>
      </c>
      <c r="BM112" s="12" t="s">
        <v>16926</v>
      </c>
      <c r="BN112" s="12" t="s">
        <v>12129</v>
      </c>
      <c r="BO112" s="12" t="s">
        <v>12129</v>
      </c>
      <c r="BP112" s="12" t="s">
        <v>12129</v>
      </c>
      <c r="BQ112" s="12" t="s">
        <v>12129</v>
      </c>
      <c r="BR112" s="12" t="s">
        <v>15851</v>
      </c>
      <c r="BS112" s="12" t="s">
        <v>1246</v>
      </c>
      <c r="BT112" s="12" t="str">
        <f>HYPERLINK("https%3A%2F%2Fwww.webofscience.com%2Fwos%2Fwoscc%2Ffull-record%2FWOS:000083054900046","View Full Record in Web of Science")</f>
        <v>View Full Record in Web of Science</v>
      </c>
    </row>
    <row r="113" ht="12.75" customHeight="1">
      <c r="A113" s="12" t="s">
        <v>23</v>
      </c>
      <c r="B113" s="12" t="s">
        <v>1059</v>
      </c>
      <c r="C113" s="12" t="s">
        <v>12129</v>
      </c>
      <c r="D113" s="12" t="s">
        <v>12129</v>
      </c>
      <c r="E113" s="12" t="s">
        <v>12129</v>
      </c>
      <c r="F113" s="12" t="s">
        <v>8629</v>
      </c>
      <c r="G113" s="12" t="s">
        <v>12129</v>
      </c>
      <c r="H113" s="12" t="s">
        <v>12129</v>
      </c>
      <c r="I113" s="12" t="s">
        <v>1060</v>
      </c>
      <c r="J113" s="12" t="s">
        <v>1061</v>
      </c>
      <c r="K113" s="12" t="s">
        <v>12129</v>
      </c>
      <c r="L113" s="12" t="s">
        <v>12129</v>
      </c>
      <c r="M113" s="12" t="s">
        <v>3263</v>
      </c>
      <c r="N113" s="12" t="s">
        <v>35</v>
      </c>
      <c r="O113" s="12" t="s">
        <v>12129</v>
      </c>
      <c r="P113" s="12" t="s">
        <v>12129</v>
      </c>
      <c r="Q113" s="12" t="s">
        <v>12129</v>
      </c>
      <c r="R113" s="12" t="s">
        <v>12129</v>
      </c>
      <c r="S113" s="12" t="s">
        <v>12129</v>
      </c>
      <c r="T113" s="12" t="s">
        <v>15464</v>
      </c>
      <c r="U113" s="12" t="s">
        <v>12129</v>
      </c>
      <c r="V113" s="12" t="s">
        <v>1062</v>
      </c>
      <c r="W113" s="12" t="s">
        <v>16927</v>
      </c>
      <c r="X113" s="12" t="s">
        <v>16928</v>
      </c>
      <c r="Y113" s="12" t="s">
        <v>16929</v>
      </c>
      <c r="Z113" s="12" t="s">
        <v>15885</v>
      </c>
      <c r="AA113" s="12" t="s">
        <v>16930</v>
      </c>
      <c r="AB113" s="12" t="s">
        <v>16931</v>
      </c>
      <c r="AC113" s="12" t="s">
        <v>12129</v>
      </c>
      <c r="AD113" s="12" t="s">
        <v>12129</v>
      </c>
      <c r="AE113" s="12" t="s">
        <v>12129</v>
      </c>
      <c r="AF113" s="12" t="s">
        <v>12129</v>
      </c>
      <c r="AG113" s="12">
        <v>23.0</v>
      </c>
      <c r="AH113" s="12">
        <v>43.0</v>
      </c>
      <c r="AI113" s="12">
        <v>45.0</v>
      </c>
      <c r="AJ113" s="12">
        <v>0.0</v>
      </c>
      <c r="AK113" s="12">
        <v>15.0</v>
      </c>
      <c r="AL113" s="12" t="s">
        <v>12243</v>
      </c>
      <c r="AM113" s="12" t="s">
        <v>12244</v>
      </c>
      <c r="AN113" s="12" t="s">
        <v>12245</v>
      </c>
      <c r="AO113" s="12" t="s">
        <v>8632</v>
      </c>
      <c r="AP113" s="12" t="s">
        <v>16932</v>
      </c>
      <c r="AQ113" s="12" t="s">
        <v>12129</v>
      </c>
      <c r="AR113" s="12" t="s">
        <v>15465</v>
      </c>
      <c r="AS113" s="12" t="s">
        <v>15466</v>
      </c>
      <c r="AT113" s="12" t="s">
        <v>15467</v>
      </c>
      <c r="AU113" s="12">
        <v>2006.0</v>
      </c>
      <c r="AV113" s="12">
        <v>10.0</v>
      </c>
      <c r="AW113" s="12">
        <v>4.0</v>
      </c>
      <c r="AX113" s="12" t="s">
        <v>12129</v>
      </c>
      <c r="AY113" s="12" t="s">
        <v>12129</v>
      </c>
      <c r="AZ113" s="12" t="s">
        <v>12129</v>
      </c>
      <c r="BA113" s="12" t="s">
        <v>12129</v>
      </c>
      <c r="BB113" s="12">
        <v>133.0</v>
      </c>
      <c r="BC113" s="12">
        <v>147.0</v>
      </c>
      <c r="BD113" s="12" t="s">
        <v>12129</v>
      </c>
      <c r="BE113" s="12" t="s">
        <v>1063</v>
      </c>
      <c r="BF113" s="25" t="str">
        <f>HYPERLINK("http://dx.doi.org/10.1162/jiec.2006.10.4.133","http://dx.doi.org/10.1162/jiec.2006.10.4.133")</f>
        <v>http://dx.doi.org/10.1162/jiec.2006.10.4.133</v>
      </c>
      <c r="BG113" s="12" t="s">
        <v>12129</v>
      </c>
      <c r="BH113" s="12" t="s">
        <v>12129</v>
      </c>
      <c r="BI113" s="12">
        <v>15.0</v>
      </c>
      <c r="BJ113" s="12" t="s">
        <v>194</v>
      </c>
      <c r="BK113" s="12" t="s">
        <v>12176</v>
      </c>
      <c r="BL113" s="12" t="s">
        <v>14349</v>
      </c>
      <c r="BM113" s="12" t="s">
        <v>16933</v>
      </c>
      <c r="BN113" s="12" t="s">
        <v>12129</v>
      </c>
      <c r="BO113" s="12" t="s">
        <v>12129</v>
      </c>
      <c r="BP113" s="12" t="s">
        <v>12129</v>
      </c>
      <c r="BQ113" s="12" t="s">
        <v>12129</v>
      </c>
      <c r="BR113" s="12" t="s">
        <v>15851</v>
      </c>
      <c r="BS113" s="12" t="s">
        <v>1065</v>
      </c>
      <c r="BT113" s="12" t="str">
        <f>HYPERLINK("https%3A%2F%2Fwww.webofscience.com%2Fwos%2Fwoscc%2Ffull-record%2FWOS:000242416200011","View Full Record in Web of Science")</f>
        <v>View Full Record in Web of Science</v>
      </c>
    </row>
    <row r="114" ht="12.75" customHeight="1">
      <c r="A114" s="12" t="s">
        <v>23</v>
      </c>
      <c r="B114" s="12" t="s">
        <v>163</v>
      </c>
      <c r="C114" s="12" t="s">
        <v>12129</v>
      </c>
      <c r="D114" s="12" t="s">
        <v>12129</v>
      </c>
      <c r="E114" s="12" t="s">
        <v>12129</v>
      </c>
      <c r="F114" s="12" t="s">
        <v>16934</v>
      </c>
      <c r="G114" s="12" t="s">
        <v>12129</v>
      </c>
      <c r="H114" s="12" t="s">
        <v>12129</v>
      </c>
      <c r="I114" s="12" t="s">
        <v>164</v>
      </c>
      <c r="J114" s="12" t="s">
        <v>165</v>
      </c>
      <c r="K114" s="12" t="s">
        <v>12129</v>
      </c>
      <c r="L114" s="12" t="s">
        <v>12129</v>
      </c>
      <c r="M114" s="12" t="s">
        <v>3263</v>
      </c>
      <c r="N114" s="12" t="s">
        <v>35</v>
      </c>
      <c r="O114" s="12" t="s">
        <v>12129</v>
      </c>
      <c r="P114" s="12" t="s">
        <v>12129</v>
      </c>
      <c r="Q114" s="12" t="s">
        <v>12129</v>
      </c>
      <c r="R114" s="12" t="s">
        <v>12129</v>
      </c>
      <c r="S114" s="12" t="s">
        <v>12129</v>
      </c>
      <c r="T114" s="12" t="s">
        <v>15724</v>
      </c>
      <c r="U114" s="12" t="s">
        <v>15725</v>
      </c>
      <c r="V114" s="12" t="s">
        <v>166</v>
      </c>
      <c r="W114" s="12" t="s">
        <v>16935</v>
      </c>
      <c r="X114" s="12" t="s">
        <v>16936</v>
      </c>
      <c r="Y114" s="12" t="s">
        <v>16937</v>
      </c>
      <c r="Z114" s="12" t="s">
        <v>12129</v>
      </c>
      <c r="AA114" s="12" t="s">
        <v>16938</v>
      </c>
      <c r="AB114" s="12" t="s">
        <v>16939</v>
      </c>
      <c r="AC114" s="12" t="s">
        <v>16940</v>
      </c>
      <c r="AD114" s="12" t="s">
        <v>16941</v>
      </c>
      <c r="AE114" s="12" t="s">
        <v>16942</v>
      </c>
      <c r="AF114" s="12" t="s">
        <v>12129</v>
      </c>
      <c r="AG114" s="12">
        <v>49.0</v>
      </c>
      <c r="AH114" s="12">
        <v>64.0</v>
      </c>
      <c r="AI114" s="12">
        <v>81.0</v>
      </c>
      <c r="AJ114" s="12">
        <v>1.0</v>
      </c>
      <c r="AK114" s="12">
        <v>176.0</v>
      </c>
      <c r="AL114" s="12" t="s">
        <v>12321</v>
      </c>
      <c r="AM114" s="12" t="s">
        <v>12295</v>
      </c>
      <c r="AN114" s="12" t="s">
        <v>12454</v>
      </c>
      <c r="AO114" s="12" t="s">
        <v>2346</v>
      </c>
      <c r="AP114" s="12" t="s">
        <v>12762</v>
      </c>
      <c r="AQ114" s="12" t="s">
        <v>12129</v>
      </c>
      <c r="AR114" s="12" t="s">
        <v>165</v>
      </c>
      <c r="AS114" s="12" t="s">
        <v>12763</v>
      </c>
      <c r="AT114" s="12" t="s">
        <v>15726</v>
      </c>
      <c r="AU114" s="12">
        <v>2016.0</v>
      </c>
      <c r="AV114" s="12">
        <v>57.0</v>
      </c>
      <c r="AW114" s="12" t="s">
        <v>12129</v>
      </c>
      <c r="AX114" s="12" t="s">
        <v>12129</v>
      </c>
      <c r="AY114" s="12" t="s">
        <v>12129</v>
      </c>
      <c r="AZ114" s="12" t="s">
        <v>12129</v>
      </c>
      <c r="BA114" s="12" t="s">
        <v>12129</v>
      </c>
      <c r="BB114" s="12">
        <v>777.0</v>
      </c>
      <c r="BC114" s="12">
        <v>785.0</v>
      </c>
      <c r="BD114" s="12" t="s">
        <v>12129</v>
      </c>
      <c r="BE114" s="12" t="s">
        <v>167</v>
      </c>
      <c r="BF114" s="25" t="str">
        <f>HYPERLINK("http://dx.doi.org/10.1016/j.landusepol.2014.12.005","http://dx.doi.org/10.1016/j.landusepol.2014.12.005")</f>
        <v>http://dx.doi.org/10.1016/j.landusepol.2014.12.005</v>
      </c>
      <c r="BG114" s="12" t="s">
        <v>12129</v>
      </c>
      <c r="BH114" s="12" t="s">
        <v>12129</v>
      </c>
      <c r="BI114" s="12">
        <v>9.0</v>
      </c>
      <c r="BJ114" s="12" t="s">
        <v>169</v>
      </c>
      <c r="BK114" s="12" t="s">
        <v>12461</v>
      </c>
      <c r="BL114" s="12" t="s">
        <v>12251</v>
      </c>
      <c r="BM114" s="12" t="s">
        <v>16943</v>
      </c>
      <c r="BN114" s="12" t="s">
        <v>12129</v>
      </c>
      <c r="BO114" s="12" t="s">
        <v>12129</v>
      </c>
      <c r="BP114" s="12" t="s">
        <v>12129</v>
      </c>
      <c r="BQ114" s="12" t="s">
        <v>12129</v>
      </c>
      <c r="BR114" s="12" t="s">
        <v>15851</v>
      </c>
      <c r="BS114" s="12" t="s">
        <v>170</v>
      </c>
      <c r="BT114" s="12" t="str">
        <f>HYPERLINK("https%3A%2F%2Fwww.webofscience.com%2Fwos%2Fwoscc%2Ffull-record%2FWOS:000382341200071","View Full Record in Web of Science")</f>
        <v>View Full Record in Web of Science</v>
      </c>
    </row>
    <row r="115" ht="12.75" customHeight="1">
      <c r="A115" s="12" t="s">
        <v>23</v>
      </c>
      <c r="B115" s="12" t="s">
        <v>206</v>
      </c>
      <c r="C115" s="12" t="s">
        <v>12129</v>
      </c>
      <c r="D115" s="12" t="s">
        <v>12129</v>
      </c>
      <c r="E115" s="12" t="s">
        <v>12129</v>
      </c>
      <c r="F115" s="12" t="s">
        <v>16944</v>
      </c>
      <c r="G115" s="12" t="s">
        <v>12129</v>
      </c>
      <c r="H115" s="12" t="s">
        <v>12129</v>
      </c>
      <c r="I115" s="12" t="s">
        <v>207</v>
      </c>
      <c r="J115" s="12" t="s">
        <v>101</v>
      </c>
      <c r="K115" s="12" t="s">
        <v>12129</v>
      </c>
      <c r="L115" s="12" t="s">
        <v>12129</v>
      </c>
      <c r="M115" s="12" t="s">
        <v>3263</v>
      </c>
      <c r="N115" s="12" t="s">
        <v>35</v>
      </c>
      <c r="O115" s="12" t="s">
        <v>12129</v>
      </c>
      <c r="P115" s="12" t="s">
        <v>12129</v>
      </c>
      <c r="Q115" s="12" t="s">
        <v>12129</v>
      </c>
      <c r="R115" s="12" t="s">
        <v>12129</v>
      </c>
      <c r="S115" s="12" t="s">
        <v>12129</v>
      </c>
      <c r="T115" s="12" t="s">
        <v>12129</v>
      </c>
      <c r="U115" s="12" t="s">
        <v>15631</v>
      </c>
      <c r="V115" s="12" t="s">
        <v>208</v>
      </c>
      <c r="W115" s="12" t="s">
        <v>16945</v>
      </c>
      <c r="X115" s="12" t="s">
        <v>16946</v>
      </c>
      <c r="Y115" s="12" t="s">
        <v>16947</v>
      </c>
      <c r="Z115" s="12" t="s">
        <v>16948</v>
      </c>
      <c r="AA115" s="12" t="s">
        <v>16949</v>
      </c>
      <c r="AB115" s="12" t="s">
        <v>16950</v>
      </c>
      <c r="AC115" s="12" t="s">
        <v>16951</v>
      </c>
      <c r="AD115" s="12" t="s">
        <v>16952</v>
      </c>
      <c r="AE115" s="12" t="s">
        <v>16953</v>
      </c>
      <c r="AF115" s="12" t="s">
        <v>12129</v>
      </c>
      <c r="AG115" s="12">
        <v>76.0</v>
      </c>
      <c r="AH115" s="12">
        <v>1006.0</v>
      </c>
      <c r="AI115" s="12">
        <v>1140.0</v>
      </c>
      <c r="AJ115" s="12">
        <v>32.0</v>
      </c>
      <c r="AK115" s="12">
        <v>678.0</v>
      </c>
      <c r="AL115" s="12" t="s">
        <v>15615</v>
      </c>
      <c r="AM115" s="12" t="s">
        <v>12170</v>
      </c>
      <c r="AN115" s="12" t="s">
        <v>16017</v>
      </c>
      <c r="AO115" s="12" t="s">
        <v>2151</v>
      </c>
      <c r="AP115" s="12" t="s">
        <v>12129</v>
      </c>
      <c r="AQ115" s="12" t="s">
        <v>12129</v>
      </c>
      <c r="AR115" s="12" t="s">
        <v>12746</v>
      </c>
      <c r="AS115" s="12" t="s">
        <v>12747</v>
      </c>
      <c r="AT115" s="12" t="s">
        <v>12301</v>
      </c>
      <c r="AU115" s="12">
        <v>2016.0</v>
      </c>
      <c r="AV115" s="12">
        <v>7.0</v>
      </c>
      <c r="AW115" s="12" t="s">
        <v>12129</v>
      </c>
      <c r="AX115" s="12" t="s">
        <v>12129</v>
      </c>
      <c r="AY115" s="12" t="s">
        <v>12129</v>
      </c>
      <c r="AZ115" s="12" t="s">
        <v>12129</v>
      </c>
      <c r="BA115" s="12" t="s">
        <v>12129</v>
      </c>
      <c r="BB115" s="12" t="s">
        <v>12129</v>
      </c>
      <c r="BC115" s="12" t="s">
        <v>12129</v>
      </c>
      <c r="BD115" s="12">
        <v>12485.0</v>
      </c>
      <c r="BE115" s="12" t="s">
        <v>209</v>
      </c>
      <c r="BF115" s="25" t="str">
        <f>HYPERLINK("http://dx.doi.org/10.1038/ncomms12485","http://dx.doi.org/10.1038/ncomms12485")</f>
        <v>http://dx.doi.org/10.1038/ncomms12485</v>
      </c>
      <c r="BG115" s="12" t="s">
        <v>12129</v>
      </c>
      <c r="BH115" s="12" t="s">
        <v>12129</v>
      </c>
      <c r="BI115" s="12">
        <v>9.0</v>
      </c>
      <c r="BJ115" s="12" t="s">
        <v>39</v>
      </c>
      <c r="BK115" s="12" t="s">
        <v>12176</v>
      </c>
      <c r="BL115" s="12" t="s">
        <v>12202</v>
      </c>
      <c r="BM115" s="12" t="s">
        <v>16954</v>
      </c>
      <c r="BN115" s="12">
        <v>2.7549569E7</v>
      </c>
      <c r="BO115" s="12" t="s">
        <v>12179</v>
      </c>
      <c r="BP115" s="12" t="s">
        <v>12129</v>
      </c>
      <c r="BQ115" s="12" t="s">
        <v>12129</v>
      </c>
      <c r="BR115" s="12" t="s">
        <v>15851</v>
      </c>
      <c r="BS115" s="12" t="s">
        <v>211</v>
      </c>
      <c r="BT115" s="12" t="str">
        <f>HYPERLINK("https%3A%2F%2Fwww.webofscience.com%2Fwos%2Fwoscc%2Ffull-record%2FWOS:000381947800001","View Full Record in Web of Science")</f>
        <v>View Full Record in Web of Science</v>
      </c>
    </row>
    <row r="116" ht="12.75" customHeight="1">
      <c r="A116" s="12" t="s">
        <v>23</v>
      </c>
      <c r="B116" s="12" t="s">
        <v>423</v>
      </c>
      <c r="C116" s="12" t="s">
        <v>12129</v>
      </c>
      <c r="D116" s="12" t="s">
        <v>12129</v>
      </c>
      <c r="E116" s="12" t="s">
        <v>12129</v>
      </c>
      <c r="F116" s="12" t="s">
        <v>9482</v>
      </c>
      <c r="G116" s="12" t="s">
        <v>12129</v>
      </c>
      <c r="H116" s="12" t="s">
        <v>12129</v>
      </c>
      <c r="I116" s="12" t="s">
        <v>424</v>
      </c>
      <c r="J116" s="12" t="s">
        <v>425</v>
      </c>
      <c r="K116" s="12" t="s">
        <v>12129</v>
      </c>
      <c r="L116" s="12" t="s">
        <v>12129</v>
      </c>
      <c r="M116" s="12" t="s">
        <v>3263</v>
      </c>
      <c r="N116" s="12" t="s">
        <v>266</v>
      </c>
      <c r="O116" s="12" t="s">
        <v>16955</v>
      </c>
      <c r="P116" s="12" t="s">
        <v>16956</v>
      </c>
      <c r="Q116" s="12" t="s">
        <v>16957</v>
      </c>
      <c r="R116" s="12" t="s">
        <v>12129</v>
      </c>
      <c r="S116" s="12" t="s">
        <v>12129</v>
      </c>
      <c r="T116" s="12" t="s">
        <v>12129</v>
      </c>
      <c r="U116" s="12" t="s">
        <v>15411</v>
      </c>
      <c r="V116" s="12" t="s">
        <v>426</v>
      </c>
      <c r="W116" s="12" t="s">
        <v>16958</v>
      </c>
      <c r="X116" s="12" t="s">
        <v>16959</v>
      </c>
      <c r="Y116" s="12" t="s">
        <v>16960</v>
      </c>
      <c r="Z116" s="12" t="s">
        <v>16961</v>
      </c>
      <c r="AA116" s="12" t="s">
        <v>16962</v>
      </c>
      <c r="AB116" s="12" t="s">
        <v>16963</v>
      </c>
      <c r="AC116" s="12" t="s">
        <v>16964</v>
      </c>
      <c r="AD116" s="12" t="s">
        <v>16965</v>
      </c>
      <c r="AE116" s="12" t="s">
        <v>16966</v>
      </c>
      <c r="AF116" s="12" t="s">
        <v>12129</v>
      </c>
      <c r="AG116" s="12">
        <v>38.0</v>
      </c>
      <c r="AH116" s="12">
        <v>84.0</v>
      </c>
      <c r="AI116" s="12">
        <v>92.0</v>
      </c>
      <c r="AJ116" s="12">
        <v>3.0</v>
      </c>
      <c r="AK116" s="12">
        <v>56.0</v>
      </c>
      <c r="AL116" s="12" t="s">
        <v>12954</v>
      </c>
      <c r="AM116" s="12" t="s">
        <v>12955</v>
      </c>
      <c r="AN116" s="12" t="s">
        <v>12956</v>
      </c>
      <c r="AO116" s="12" t="s">
        <v>12129</v>
      </c>
      <c r="AP116" s="12" t="s">
        <v>3103</v>
      </c>
      <c r="AQ116" s="12" t="s">
        <v>12129</v>
      </c>
      <c r="AR116" s="12" t="s">
        <v>15412</v>
      </c>
      <c r="AS116" s="12" t="s">
        <v>3102</v>
      </c>
      <c r="AT116" s="12" t="s">
        <v>12660</v>
      </c>
      <c r="AU116" s="12">
        <v>2015.0</v>
      </c>
      <c r="AV116" s="12">
        <v>7.0</v>
      </c>
      <c r="AW116" s="12">
        <v>2.0</v>
      </c>
      <c r="AX116" s="12" t="s">
        <v>12129</v>
      </c>
      <c r="AY116" s="12" t="s">
        <v>12129</v>
      </c>
      <c r="AZ116" s="12" t="s">
        <v>12129</v>
      </c>
      <c r="BA116" s="12" t="s">
        <v>12129</v>
      </c>
      <c r="BB116" s="12">
        <v>2086.0</v>
      </c>
      <c r="BC116" s="12">
        <v>2112.0</v>
      </c>
      <c r="BD116" s="12" t="s">
        <v>12129</v>
      </c>
      <c r="BE116" s="12" t="s">
        <v>427</v>
      </c>
      <c r="BF116" s="25" t="str">
        <f>HYPERLINK("http://dx.doi.org/10.3390/su7022086","http://dx.doi.org/10.3390/su7022086")</f>
        <v>http://dx.doi.org/10.3390/su7022086</v>
      </c>
      <c r="BG116" s="12" t="s">
        <v>12129</v>
      </c>
      <c r="BH116" s="12" t="s">
        <v>12129</v>
      </c>
      <c r="BI116" s="12">
        <v>27.0</v>
      </c>
      <c r="BJ116" s="12" t="s">
        <v>429</v>
      </c>
      <c r="BK116" s="12" t="s">
        <v>16967</v>
      </c>
      <c r="BL116" s="12" t="s">
        <v>15413</v>
      </c>
      <c r="BM116" s="12" t="s">
        <v>16968</v>
      </c>
      <c r="BN116" s="12" t="s">
        <v>12129</v>
      </c>
      <c r="BO116" s="12" t="s">
        <v>12179</v>
      </c>
      <c r="BP116" s="12" t="s">
        <v>12129</v>
      </c>
      <c r="BQ116" s="12" t="s">
        <v>12129</v>
      </c>
      <c r="BR116" s="12" t="s">
        <v>15851</v>
      </c>
      <c r="BS116" s="12" t="s">
        <v>430</v>
      </c>
      <c r="BT116" s="12" t="str">
        <f>HYPERLINK("https%3A%2F%2Fwww.webofscience.com%2Fwos%2Fwoscc%2Ffull-record%2FWOS:000350217700053","View Full Record in Web of Science")</f>
        <v>View Full Record in Web of Science</v>
      </c>
    </row>
    <row r="117" ht="12.75" customHeight="1">
      <c r="A117" s="12" t="s">
        <v>23</v>
      </c>
      <c r="B117" s="12" t="s">
        <v>511</v>
      </c>
      <c r="C117" s="12" t="s">
        <v>12129</v>
      </c>
      <c r="D117" s="12" t="s">
        <v>12129</v>
      </c>
      <c r="E117" s="12" t="s">
        <v>12129</v>
      </c>
      <c r="F117" s="12" t="s">
        <v>16969</v>
      </c>
      <c r="G117" s="12" t="s">
        <v>12129</v>
      </c>
      <c r="H117" s="12" t="s">
        <v>12129</v>
      </c>
      <c r="I117" s="12" t="s">
        <v>512</v>
      </c>
      <c r="J117" s="12" t="s">
        <v>34</v>
      </c>
      <c r="K117" s="12" t="s">
        <v>12129</v>
      </c>
      <c r="L117" s="12" t="s">
        <v>12129</v>
      </c>
      <c r="M117" s="12" t="s">
        <v>3263</v>
      </c>
      <c r="N117" s="12" t="s">
        <v>35</v>
      </c>
      <c r="O117" s="12" t="s">
        <v>12129</v>
      </c>
      <c r="P117" s="12" t="s">
        <v>12129</v>
      </c>
      <c r="Q117" s="12" t="s">
        <v>12129</v>
      </c>
      <c r="R117" s="12" t="s">
        <v>12129</v>
      </c>
      <c r="S117" s="12" t="s">
        <v>12129</v>
      </c>
      <c r="T117" s="12" t="s">
        <v>15585</v>
      </c>
      <c r="U117" s="12" t="s">
        <v>15586</v>
      </c>
      <c r="V117" s="12" t="s">
        <v>513</v>
      </c>
      <c r="W117" s="12" t="s">
        <v>16970</v>
      </c>
      <c r="X117" s="12" t="s">
        <v>16971</v>
      </c>
      <c r="Y117" s="12" t="s">
        <v>16972</v>
      </c>
      <c r="Z117" s="12" t="s">
        <v>16973</v>
      </c>
      <c r="AA117" s="12" t="s">
        <v>16974</v>
      </c>
      <c r="AB117" s="12" t="s">
        <v>16975</v>
      </c>
      <c r="AC117" s="12" t="s">
        <v>16976</v>
      </c>
      <c r="AD117" s="12" t="s">
        <v>16977</v>
      </c>
      <c r="AE117" s="12" t="s">
        <v>16978</v>
      </c>
      <c r="AF117" s="12" t="s">
        <v>12129</v>
      </c>
      <c r="AG117" s="12">
        <v>38.0</v>
      </c>
      <c r="AH117" s="12">
        <v>1042.0</v>
      </c>
      <c r="AI117" s="12">
        <v>1174.0</v>
      </c>
      <c r="AJ117" s="12">
        <v>24.0</v>
      </c>
      <c r="AK117" s="12">
        <v>798.0</v>
      </c>
      <c r="AL117" s="12" t="s">
        <v>12631</v>
      </c>
      <c r="AM117" s="12" t="s">
        <v>12632</v>
      </c>
      <c r="AN117" s="12" t="s">
        <v>12633</v>
      </c>
      <c r="AO117" s="12" t="s">
        <v>1689</v>
      </c>
      <c r="AP117" s="12" t="s">
        <v>3248</v>
      </c>
      <c r="AQ117" s="12" t="s">
        <v>12129</v>
      </c>
      <c r="AR117" s="12" t="s">
        <v>12634</v>
      </c>
      <c r="AS117" s="12" t="s">
        <v>12635</v>
      </c>
      <c r="AT117" s="12" t="s">
        <v>15587</v>
      </c>
      <c r="AU117" s="12">
        <v>2014.0</v>
      </c>
      <c r="AV117" s="12">
        <v>111.0</v>
      </c>
      <c r="AW117" s="12">
        <v>9.0</v>
      </c>
      <c r="AX117" s="12" t="s">
        <v>12129</v>
      </c>
      <c r="AY117" s="12" t="s">
        <v>12129</v>
      </c>
      <c r="AZ117" s="12" t="s">
        <v>12129</v>
      </c>
      <c r="BA117" s="12" t="s">
        <v>12129</v>
      </c>
      <c r="BB117" s="12">
        <v>3251.0</v>
      </c>
      <c r="BC117" s="12">
        <v>3256.0</v>
      </c>
      <c r="BD117" s="12" t="s">
        <v>12129</v>
      </c>
      <c r="BE117" s="12" t="s">
        <v>514</v>
      </c>
      <c r="BF117" s="25" t="str">
        <f>HYPERLINK("http://dx.doi.org/10.1073/pnas.1222475110","http://dx.doi.org/10.1073/pnas.1222475110")</f>
        <v>http://dx.doi.org/10.1073/pnas.1222475110</v>
      </c>
      <c r="BG117" s="12" t="s">
        <v>12129</v>
      </c>
      <c r="BH117" s="12" t="s">
        <v>12129</v>
      </c>
      <c r="BI117" s="12">
        <v>6.0</v>
      </c>
      <c r="BJ117" s="12" t="s">
        <v>39</v>
      </c>
      <c r="BK117" s="12" t="s">
        <v>12176</v>
      </c>
      <c r="BL117" s="12" t="s">
        <v>12202</v>
      </c>
      <c r="BM117" s="12" t="s">
        <v>16979</v>
      </c>
      <c r="BN117" s="12">
        <v>2.4344275E7</v>
      </c>
      <c r="BO117" s="12" t="s">
        <v>12378</v>
      </c>
      <c r="BP117" s="12" t="s">
        <v>12129</v>
      </c>
      <c r="BQ117" s="12" t="s">
        <v>12129</v>
      </c>
      <c r="BR117" s="12" t="s">
        <v>15851</v>
      </c>
      <c r="BS117" s="12" t="s">
        <v>516</v>
      </c>
      <c r="BT117" s="12" t="str">
        <f>HYPERLINK("https%3A%2F%2Fwww.webofscience.com%2Fwos%2Fwoscc%2Ffull-record%2FWOS:000332560300026","View Full Record in Web of Science")</f>
        <v>View Full Record in Web of Science</v>
      </c>
    </row>
    <row r="118" ht="12.75" customHeight="1">
      <c r="A118" s="12" t="s">
        <v>23</v>
      </c>
      <c r="B118" s="12" t="s">
        <v>586</v>
      </c>
      <c r="C118" s="12" t="s">
        <v>12129</v>
      </c>
      <c r="D118" s="12" t="s">
        <v>12129</v>
      </c>
      <c r="E118" s="12" t="s">
        <v>12129</v>
      </c>
      <c r="F118" s="12" t="s">
        <v>10185</v>
      </c>
      <c r="G118" s="12" t="s">
        <v>12129</v>
      </c>
      <c r="H118" s="12" t="s">
        <v>12129</v>
      </c>
      <c r="I118" s="12" t="s">
        <v>587</v>
      </c>
      <c r="J118" s="12" t="s">
        <v>34</v>
      </c>
      <c r="K118" s="12" t="s">
        <v>12129</v>
      </c>
      <c r="L118" s="12" t="s">
        <v>12129</v>
      </c>
      <c r="M118" s="12" t="s">
        <v>3263</v>
      </c>
      <c r="N118" s="12" t="s">
        <v>35</v>
      </c>
      <c r="O118" s="12" t="s">
        <v>12129</v>
      </c>
      <c r="P118" s="12" t="s">
        <v>12129</v>
      </c>
      <c r="Q118" s="12" t="s">
        <v>12129</v>
      </c>
      <c r="R118" s="12" t="s">
        <v>12129</v>
      </c>
      <c r="S118" s="12" t="s">
        <v>12129</v>
      </c>
      <c r="T118" s="12" t="s">
        <v>15588</v>
      </c>
      <c r="U118" s="12" t="s">
        <v>15589</v>
      </c>
      <c r="V118" s="12" t="s">
        <v>588</v>
      </c>
      <c r="W118" s="12" t="s">
        <v>16980</v>
      </c>
      <c r="X118" s="12" t="s">
        <v>16981</v>
      </c>
      <c r="Y118" s="12" t="s">
        <v>16982</v>
      </c>
      <c r="Z118" s="12" t="s">
        <v>16983</v>
      </c>
      <c r="AA118" s="12" t="s">
        <v>16984</v>
      </c>
      <c r="AB118" s="12" t="s">
        <v>16985</v>
      </c>
      <c r="AC118" s="12" t="s">
        <v>16986</v>
      </c>
      <c r="AD118" s="12" t="s">
        <v>16987</v>
      </c>
      <c r="AE118" s="12" t="s">
        <v>16988</v>
      </c>
      <c r="AF118" s="12" t="s">
        <v>12129</v>
      </c>
      <c r="AG118" s="12">
        <v>40.0</v>
      </c>
      <c r="AH118" s="12">
        <v>450.0</v>
      </c>
      <c r="AI118" s="12">
        <v>527.0</v>
      </c>
      <c r="AJ118" s="12">
        <v>3.0</v>
      </c>
      <c r="AK118" s="12">
        <v>397.0</v>
      </c>
      <c r="AL118" s="12" t="s">
        <v>12631</v>
      </c>
      <c r="AM118" s="12" t="s">
        <v>12632</v>
      </c>
      <c r="AN118" s="12" t="s">
        <v>12633</v>
      </c>
      <c r="AO118" s="12" t="s">
        <v>1689</v>
      </c>
      <c r="AP118" s="12" t="s">
        <v>12129</v>
      </c>
      <c r="AQ118" s="12" t="s">
        <v>12129</v>
      </c>
      <c r="AR118" s="12" t="s">
        <v>12634</v>
      </c>
      <c r="AS118" s="12" t="s">
        <v>12635</v>
      </c>
      <c r="AT118" s="12" t="s">
        <v>15496</v>
      </c>
      <c r="AU118" s="12">
        <v>2013.0</v>
      </c>
      <c r="AV118" s="12">
        <v>110.0</v>
      </c>
      <c r="AW118" s="12">
        <v>25.0</v>
      </c>
      <c r="AX118" s="12" t="s">
        <v>12129</v>
      </c>
      <c r="AY118" s="12" t="s">
        <v>12129</v>
      </c>
      <c r="AZ118" s="12" t="s">
        <v>12129</v>
      </c>
      <c r="BA118" s="12" t="s">
        <v>12129</v>
      </c>
      <c r="BB118" s="12">
        <v>10324.0</v>
      </c>
      <c r="BC118" s="12">
        <v>10329.0</v>
      </c>
      <c r="BD118" s="12" t="s">
        <v>12129</v>
      </c>
      <c r="BE118" s="12" t="s">
        <v>589</v>
      </c>
      <c r="BF118" s="25" t="str">
        <f>HYPERLINK("http://dx.doi.org/10.1073/pnas.1211349110","http://dx.doi.org/10.1073/pnas.1211349110")</f>
        <v>http://dx.doi.org/10.1073/pnas.1211349110</v>
      </c>
      <c r="BG118" s="12" t="s">
        <v>12129</v>
      </c>
      <c r="BH118" s="12" t="s">
        <v>12129</v>
      </c>
      <c r="BI118" s="12">
        <v>6.0</v>
      </c>
      <c r="BJ118" s="12" t="s">
        <v>39</v>
      </c>
      <c r="BK118" s="12" t="s">
        <v>12176</v>
      </c>
      <c r="BL118" s="12" t="s">
        <v>12202</v>
      </c>
      <c r="BM118" s="12" t="s">
        <v>16989</v>
      </c>
      <c r="BN118" s="12">
        <v>2.373394E7</v>
      </c>
      <c r="BO118" s="12" t="s">
        <v>12378</v>
      </c>
      <c r="BP118" s="12" t="s">
        <v>12129</v>
      </c>
      <c r="BQ118" s="12" t="s">
        <v>12129</v>
      </c>
      <c r="BR118" s="12" t="s">
        <v>15851</v>
      </c>
      <c r="BS118" s="12" t="s">
        <v>591</v>
      </c>
      <c r="BT118" s="12" t="str">
        <f>HYPERLINK("https%3A%2F%2Fwww.webofscience.com%2Fwos%2Fwoscc%2Ffull-record%2FWOS:000321500200066","View Full Record in Web of Science")</f>
        <v>View Full Record in Web of Science</v>
      </c>
    </row>
    <row r="119" ht="12.75" customHeight="1">
      <c r="A119" s="12" t="s">
        <v>23</v>
      </c>
      <c r="B119" s="12" t="s">
        <v>754</v>
      </c>
      <c r="C119" s="12" t="s">
        <v>12129</v>
      </c>
      <c r="D119" s="12" t="s">
        <v>12129</v>
      </c>
      <c r="E119" s="12" t="s">
        <v>12129</v>
      </c>
      <c r="F119" s="12" t="s">
        <v>10263</v>
      </c>
      <c r="G119" s="12" t="s">
        <v>12129</v>
      </c>
      <c r="H119" s="12" t="s">
        <v>12129</v>
      </c>
      <c r="I119" s="12" t="s">
        <v>755</v>
      </c>
      <c r="J119" s="12" t="s">
        <v>34</v>
      </c>
      <c r="K119" s="12" t="s">
        <v>12129</v>
      </c>
      <c r="L119" s="12" t="s">
        <v>12129</v>
      </c>
      <c r="M119" s="12" t="s">
        <v>3263</v>
      </c>
      <c r="N119" s="12" t="s">
        <v>35</v>
      </c>
      <c r="O119" s="12" t="s">
        <v>12129</v>
      </c>
      <c r="P119" s="12" t="s">
        <v>12129</v>
      </c>
      <c r="Q119" s="12" t="s">
        <v>12129</v>
      </c>
      <c r="R119" s="12" t="s">
        <v>12129</v>
      </c>
      <c r="S119" s="12" t="s">
        <v>12129</v>
      </c>
      <c r="T119" s="12" t="s">
        <v>15593</v>
      </c>
      <c r="U119" s="12" t="s">
        <v>15594</v>
      </c>
      <c r="V119" s="12" t="s">
        <v>756</v>
      </c>
      <c r="W119" s="12" t="s">
        <v>16990</v>
      </c>
      <c r="X119" s="12" t="s">
        <v>16991</v>
      </c>
      <c r="Y119" s="12" t="s">
        <v>16992</v>
      </c>
      <c r="Z119" s="12" t="s">
        <v>16993</v>
      </c>
      <c r="AA119" s="12" t="s">
        <v>16994</v>
      </c>
      <c r="AB119" s="12" t="s">
        <v>16995</v>
      </c>
      <c r="AC119" s="12" t="s">
        <v>16996</v>
      </c>
      <c r="AD119" s="12" t="s">
        <v>16997</v>
      </c>
      <c r="AE119" s="12" t="s">
        <v>16998</v>
      </c>
      <c r="AF119" s="12" t="s">
        <v>12129</v>
      </c>
      <c r="AG119" s="12">
        <v>95.0</v>
      </c>
      <c r="AH119" s="12">
        <v>2177.0</v>
      </c>
      <c r="AI119" s="12">
        <v>2570.0</v>
      </c>
      <c r="AJ119" s="12">
        <v>34.0</v>
      </c>
      <c r="AK119" s="12">
        <v>1443.0</v>
      </c>
      <c r="AL119" s="12" t="s">
        <v>12631</v>
      </c>
      <c r="AM119" s="12" t="s">
        <v>12632</v>
      </c>
      <c r="AN119" s="12" t="s">
        <v>12633</v>
      </c>
      <c r="AO119" s="12" t="s">
        <v>1689</v>
      </c>
      <c r="AP119" s="12" t="s">
        <v>12129</v>
      </c>
      <c r="AQ119" s="12" t="s">
        <v>12129</v>
      </c>
      <c r="AR119" s="12" t="s">
        <v>12634</v>
      </c>
      <c r="AS119" s="12" t="s">
        <v>12635</v>
      </c>
      <c r="AT119" s="12" t="s">
        <v>15595</v>
      </c>
      <c r="AU119" s="12">
        <v>2011.0</v>
      </c>
      <c r="AV119" s="12">
        <v>108.0</v>
      </c>
      <c r="AW119" s="12">
        <v>9.0</v>
      </c>
      <c r="AX119" s="12" t="s">
        <v>12129</v>
      </c>
      <c r="AY119" s="12" t="s">
        <v>12129</v>
      </c>
      <c r="AZ119" s="12" t="s">
        <v>12129</v>
      </c>
      <c r="BA119" s="12" t="s">
        <v>12129</v>
      </c>
      <c r="BB119" s="12">
        <v>3465.0</v>
      </c>
      <c r="BC119" s="12">
        <v>3472.0</v>
      </c>
      <c r="BD119" s="12" t="s">
        <v>12129</v>
      </c>
      <c r="BE119" s="12" t="s">
        <v>757</v>
      </c>
      <c r="BF119" s="25" t="str">
        <f>HYPERLINK("http://dx.doi.org/10.1073/pnas.1100480108","http://dx.doi.org/10.1073/pnas.1100480108")</f>
        <v>http://dx.doi.org/10.1073/pnas.1100480108</v>
      </c>
      <c r="BG119" s="12" t="s">
        <v>12129</v>
      </c>
      <c r="BH119" s="12" t="s">
        <v>12129</v>
      </c>
      <c r="BI119" s="12">
        <v>8.0</v>
      </c>
      <c r="BJ119" s="12" t="s">
        <v>39</v>
      </c>
      <c r="BK119" s="12" t="s">
        <v>12729</v>
      </c>
      <c r="BL119" s="12" t="s">
        <v>12202</v>
      </c>
      <c r="BM119" s="12" t="s">
        <v>16999</v>
      </c>
      <c r="BN119" s="12">
        <v>2.1321211E7</v>
      </c>
      <c r="BO119" s="12" t="s">
        <v>12129</v>
      </c>
      <c r="BP119" s="12" t="s">
        <v>12129</v>
      </c>
      <c r="BQ119" s="12" t="s">
        <v>12129</v>
      </c>
      <c r="BR119" s="12" t="s">
        <v>15851</v>
      </c>
      <c r="BS119" s="12" t="s">
        <v>759</v>
      </c>
      <c r="BT119" s="12" t="str">
        <f>HYPERLINK("https%3A%2F%2Fwww.webofscience.com%2Fwos%2Fwoscc%2Ffull-record%2FWOS:000287844400010","View Full Record in Web of Science")</f>
        <v>View Full Record in Web of Science</v>
      </c>
    </row>
    <row r="120" ht="12.75" customHeight="1">
      <c r="A120" s="12" t="s">
        <v>23</v>
      </c>
      <c r="B120" s="12" t="s">
        <v>1248</v>
      </c>
      <c r="C120" s="12" t="s">
        <v>12129</v>
      </c>
      <c r="D120" s="12" t="s">
        <v>12129</v>
      </c>
      <c r="E120" s="12" t="s">
        <v>12129</v>
      </c>
      <c r="F120" s="12" t="s">
        <v>1248</v>
      </c>
      <c r="G120" s="12" t="s">
        <v>12129</v>
      </c>
      <c r="H120" s="12" t="s">
        <v>12129</v>
      </c>
      <c r="I120" s="12" t="s">
        <v>1249</v>
      </c>
      <c r="J120" s="12" t="s">
        <v>1250</v>
      </c>
      <c r="K120" s="12" t="s">
        <v>12129</v>
      </c>
      <c r="L120" s="12" t="s">
        <v>12129</v>
      </c>
      <c r="M120" s="12" t="s">
        <v>3263</v>
      </c>
      <c r="N120" s="12" t="s">
        <v>266</v>
      </c>
      <c r="O120" s="12" t="s">
        <v>17000</v>
      </c>
      <c r="P120" s="12" t="s">
        <v>17001</v>
      </c>
      <c r="Q120" s="12" t="s">
        <v>17002</v>
      </c>
      <c r="R120" s="12" t="s">
        <v>17003</v>
      </c>
      <c r="S120" s="12" t="s">
        <v>17004</v>
      </c>
      <c r="T120" s="12" t="s">
        <v>15605</v>
      </c>
      <c r="U120" s="12" t="s">
        <v>15606</v>
      </c>
      <c r="V120" s="12" t="s">
        <v>1251</v>
      </c>
      <c r="W120" s="12" t="s">
        <v>17005</v>
      </c>
      <c r="X120" s="12" t="s">
        <v>17006</v>
      </c>
      <c r="Y120" s="12" t="s">
        <v>17007</v>
      </c>
      <c r="Z120" s="12" t="s">
        <v>17008</v>
      </c>
      <c r="AA120" s="12" t="s">
        <v>12129</v>
      </c>
      <c r="AB120" s="12" t="s">
        <v>15927</v>
      </c>
      <c r="AC120" s="12" t="s">
        <v>12129</v>
      </c>
      <c r="AD120" s="12" t="s">
        <v>12129</v>
      </c>
      <c r="AE120" s="12" t="s">
        <v>12129</v>
      </c>
      <c r="AF120" s="12" t="s">
        <v>12129</v>
      </c>
      <c r="AG120" s="12">
        <v>45.0</v>
      </c>
      <c r="AH120" s="12">
        <v>153.0</v>
      </c>
      <c r="AI120" s="12">
        <v>191.0</v>
      </c>
      <c r="AJ120" s="12">
        <v>1.0</v>
      </c>
      <c r="AK120" s="12">
        <v>68.0</v>
      </c>
      <c r="AL120" s="12" t="s">
        <v>12243</v>
      </c>
      <c r="AM120" s="12" t="s">
        <v>12244</v>
      </c>
      <c r="AN120" s="12" t="s">
        <v>12245</v>
      </c>
      <c r="AO120" s="12" t="s">
        <v>12681</v>
      </c>
      <c r="AP120" s="12" t="s">
        <v>12682</v>
      </c>
      <c r="AQ120" s="12" t="s">
        <v>12129</v>
      </c>
      <c r="AR120" s="12" t="s">
        <v>12683</v>
      </c>
      <c r="AS120" s="12" t="s">
        <v>12684</v>
      </c>
      <c r="AT120" s="12" t="s">
        <v>15607</v>
      </c>
      <c r="AU120" s="12">
        <v>1999.0</v>
      </c>
      <c r="AV120" s="12">
        <v>8.0</v>
      </c>
      <c r="AW120" s="12" t="s">
        <v>5460</v>
      </c>
      <c r="AX120" s="12" t="s">
        <v>12129</v>
      </c>
      <c r="AY120" s="12" t="s">
        <v>12129</v>
      </c>
      <c r="AZ120" s="12" t="s">
        <v>12129</v>
      </c>
      <c r="BA120" s="12" t="s">
        <v>12129</v>
      </c>
      <c r="BB120" s="12">
        <v>191.0</v>
      </c>
      <c r="BC120" s="12">
        <v>198.0</v>
      </c>
      <c r="BD120" s="12" t="s">
        <v>12129</v>
      </c>
      <c r="BE120" s="12" t="s">
        <v>1252</v>
      </c>
      <c r="BF120" s="25" t="str">
        <f>HYPERLINK("http://dx.doi.org/10.1046/j.1365-2699.1999.00123.x","http://dx.doi.org/10.1046/j.1365-2699.1999.00123.x")</f>
        <v>http://dx.doi.org/10.1046/j.1365-2699.1999.00123.x</v>
      </c>
      <c r="BG120" s="12" t="s">
        <v>12129</v>
      </c>
      <c r="BH120" s="12" t="s">
        <v>12129</v>
      </c>
      <c r="BI120" s="12">
        <v>8.0</v>
      </c>
      <c r="BJ120" s="12" t="s">
        <v>1254</v>
      </c>
      <c r="BK120" s="12" t="s">
        <v>14627</v>
      </c>
      <c r="BL120" s="12" t="s">
        <v>12686</v>
      </c>
      <c r="BM120" s="12" t="s">
        <v>17009</v>
      </c>
      <c r="BN120" s="12" t="s">
        <v>12129</v>
      </c>
      <c r="BO120" s="12" t="s">
        <v>12129</v>
      </c>
      <c r="BP120" s="12" t="s">
        <v>12129</v>
      </c>
      <c r="BQ120" s="12" t="s">
        <v>12129</v>
      </c>
      <c r="BR120" s="12" t="s">
        <v>15851</v>
      </c>
      <c r="BS120" s="12" t="s">
        <v>1255</v>
      </c>
      <c r="BT120" s="12" t="str">
        <f>HYPERLINK("https%3A%2F%2Fwww.webofscience.com%2Fwos%2Fwoscc%2Ffull-record%2FWOS:000084868000003","View Full Record in Web of Science")</f>
        <v>View Full Record in Web of Science</v>
      </c>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88"/>
    <col customWidth="1" min="2" max="2" width="2.25"/>
    <col customWidth="1" min="3" max="3" width="43.5"/>
    <col customWidth="1" min="4" max="4" width="12.63"/>
    <col customWidth="1" hidden="1" min="5" max="23" width="12.63"/>
  </cols>
  <sheetData>
    <row r="2">
      <c r="C2" s="26" t="s">
        <v>17010</v>
      </c>
    </row>
    <row r="3" ht="1726.5" customHeight="1">
      <c r="A3" s="27"/>
      <c r="B3" s="27"/>
      <c r="C3" s="28" t="s">
        <v>17011</v>
      </c>
      <c r="D3" s="27"/>
      <c r="E3" s="27"/>
      <c r="F3" s="27"/>
      <c r="G3" s="27"/>
      <c r="H3" s="27"/>
      <c r="I3" s="27"/>
      <c r="J3" s="27"/>
      <c r="K3" s="27"/>
      <c r="L3" s="27"/>
      <c r="M3" s="27"/>
      <c r="N3" s="27"/>
      <c r="O3" s="27"/>
      <c r="P3" s="27"/>
      <c r="Q3" s="27"/>
      <c r="R3" s="27"/>
      <c r="S3" s="27"/>
      <c r="T3" s="27"/>
      <c r="U3" s="27"/>
      <c r="V3" s="27"/>
      <c r="W3" s="27"/>
      <c r="X3" s="27"/>
      <c r="Y3" s="27"/>
      <c r="Z3"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